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9720B386-D370-4E90-A21C-621A6CB6AF87}" xr6:coauthVersionLast="47" xr6:coauthVersionMax="47" xr10:uidLastSave="{00000000-0000-0000-0000-000000000000}"/>
  <bookViews>
    <workbookView xWindow="-120" yWindow="-120" windowWidth="38640" windowHeight="21240" tabRatio="899" firstSheet="11"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state="hidden" r:id="rId31"/>
    <sheet name="Sheet1" sheetId="87" state="hidden" r:id="rId32"/>
    <sheet name="比较法-住宅" sheetId="89" r:id="rId33"/>
    <sheet name="Sheet2" sheetId="88"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 r:id="rId47"/>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32"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definedName>
    <definedName name="_xlnm.Print_Area" localSheetId="3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2">'[2]比较法-办公'!$B$119:$M$119</definedName>
    <definedName name="办公层高">#REF!</definedName>
    <definedName name="办公朝向" localSheetId="32">'[2]比较法-办公'!$B$91:$M$91</definedName>
    <definedName name="办公朝向">#REF!</definedName>
    <definedName name="办公道路级别" localSheetId="32">'[2]比较法-办公'!$B$87:$M$87</definedName>
    <definedName name="办公道路级别">#REF!</definedName>
    <definedName name="办公公共部分装修" localSheetId="32">'[2]比较法-办公'!$B$108:$M$108</definedName>
    <definedName name="办公公共部分装修">#REF!</definedName>
    <definedName name="办公基础设施水平" localSheetId="32">'[2]比较法-办公'!$B$117:$M$117</definedName>
    <definedName name="办公基础设施水平">#REF!</definedName>
    <definedName name="办公集聚程度" localSheetId="32">[2]定义!$M$1:$M$6</definedName>
    <definedName name="办公集聚程度">定义!$M$1:$M$6</definedName>
    <definedName name="办公建筑结构" localSheetId="32">'[2]比较法-办公'!$B$106:$M$106</definedName>
    <definedName name="办公建筑结构">#REF!</definedName>
    <definedName name="办公建筑类型" localSheetId="32">'[2]比较法-办公'!$B$101:$M$101</definedName>
    <definedName name="办公建筑类型">#REF!</definedName>
    <definedName name="办公交易情况" localSheetId="32">'[2]比较法-办公'!$A$62:$M$62</definedName>
    <definedName name="办公交易情况">#REF!</definedName>
    <definedName name="办公楼层" localSheetId="32">'[2]比较法-办公'!$B$89:$M$89</definedName>
    <definedName name="办公楼层">#REF!</definedName>
    <definedName name="办公内部装修" localSheetId="32">'[2]比较法-办公'!$B$123:$M$123</definedName>
    <definedName name="办公内部装修">#REF!</definedName>
    <definedName name="办公物业管理" localSheetId="32">'[2]比较法-办公'!$B$115:$M$115</definedName>
    <definedName name="办公物业管理">#REF!</definedName>
    <definedName name="办公用途" localSheetId="32">'[2]比较法-办公'!$B$64:$M$64</definedName>
    <definedName name="办公用途">#REF!</definedName>
    <definedName name="仓储公共部分装修" localSheetId="32">'[2]比较法-仓储'!$B$77:$M$77</definedName>
    <definedName name="仓储公共部分装修">'比较法-仓储'!$B$77:$M$77</definedName>
    <definedName name="仓储交易情况" localSheetId="32">'[2]比较法-仓储'!$A$49:$M$49</definedName>
    <definedName name="仓储交易情况">'比较法-仓储'!$A$49:$M$49</definedName>
    <definedName name="仓储楼层" localSheetId="32">'[2]比较法-仓储'!$B$69:$M$69</definedName>
    <definedName name="仓储楼层">'比较法-仓储'!$B$69:$M$69</definedName>
    <definedName name="仓储物业等级" localSheetId="32">'[2]比较法-仓储'!$B$82:$M$82</definedName>
    <definedName name="仓储物业等级">'比较法-仓储'!$B$82:$M$82</definedName>
    <definedName name="仓储用途" localSheetId="32">'[2]比较法-仓储'!$B$51:$M$51</definedName>
    <definedName name="仓储用途">'比较法-仓储'!$B$51:$M$51</definedName>
    <definedName name="产业集聚程度" localSheetId="32">[2]定义!$N$1:$N$6</definedName>
    <definedName name="产业集聚程度">定义!$N$1:$N$6</definedName>
    <definedName name="车位公共部分装修" localSheetId="32">'[2]比较法-车位月租'!$B$83:$M$83</definedName>
    <definedName name="车位公共部分装修">'比较法-车位'!$B$83:$M$83</definedName>
    <definedName name="车位交易情况" localSheetId="32">'[2]比较法-车位月租'!$A$51:$M$51</definedName>
    <definedName name="车位交易情况">'比较法-车位'!$A$51:$M$51</definedName>
    <definedName name="车位类型" localSheetId="32">'[2]比较法-车位月租'!$B$93:$M$93</definedName>
    <definedName name="车位类型">'比较法-车位'!$B$93:$M$93</definedName>
    <definedName name="车位楼层" localSheetId="32">'[2]比较法-车位月租'!$B$71:$M$71</definedName>
    <definedName name="车位楼层">'比较法-车位'!$B$71:$M$71</definedName>
    <definedName name="车位配套类型" localSheetId="32">'[2]比较法-车位月租'!$B$79:$M$79</definedName>
    <definedName name="车位配套类型">'比较法-车位'!$B$79:$M$79</definedName>
    <definedName name="车位物业等级" localSheetId="32">'[2]比较法-车位月租'!$B$88:$M$88</definedName>
    <definedName name="车位物业等级">'比较法-车位'!$B$88:$M$88</definedName>
    <definedName name="车位用途" localSheetId="32">'[2]比较法-车位月租'!$B$53:$M$53</definedName>
    <definedName name="车位用途">'比较法-车位'!$B$53:$M$53</definedName>
    <definedName name="城镇土地纳税等级分级范围" localSheetId="32">'[2]数据-取费表'!$A$53:$A$63</definedName>
    <definedName name="城镇土地纳税等级分级范围">'数据-取费表'!$A$53:$A$63</definedName>
    <definedName name="单价内涵" localSheetId="32">[2]定义!$V$1:$V$3</definedName>
    <definedName name="单价内涵">定义!$V$1:$V$3</definedName>
    <definedName name="地类判定" localSheetId="32">[2]定义!$H$1:$H$9</definedName>
    <definedName name="地类判定">定义!$H$1:$H$9</definedName>
    <definedName name="二级">区片价!$J$1:$J$21</definedName>
    <definedName name="二级分类">修正!$C$19:$C$53</definedName>
    <definedName name="法定最高年限" localSheetId="32">[2]定义!$G$1:$G$6</definedName>
    <definedName name="法定最高年限">定义!$G$1:$G$6</definedName>
    <definedName name="工业">定义!$AB$2:$AB$12</definedName>
    <definedName name="工业公共部分装修" localSheetId="32">'[2]比较法-工业'!$B$95:$M$95</definedName>
    <definedName name="工业公共部分装修">'比较法-工业'!$B$95:$M$95</definedName>
    <definedName name="工业基础设施水平" localSheetId="32">'[2]比较法-工业'!$B$102:$M$102</definedName>
    <definedName name="工业基础设施水平">'比较法-工业'!$B$102:$M$102</definedName>
    <definedName name="工业建筑结构" localSheetId="32">'[2]比较法-工业'!$B$93:$M$93</definedName>
    <definedName name="工业建筑结构">'比较法-工业'!$B$93:$M$93</definedName>
    <definedName name="工业建筑类型" localSheetId="32">'[2]比较法-工业'!$B$88:$M$88</definedName>
    <definedName name="工业建筑类型">'比较法-工业'!$B$88:$M$88</definedName>
    <definedName name="工业交易情况" localSheetId="32">'[2]比较法-工业'!$A$55:$M$55</definedName>
    <definedName name="工业交易情况">'比较法-工业'!$A$55:$M$55</definedName>
    <definedName name="工业内部装修" localSheetId="32">'[2]比较法-工业'!$B$104:$M$104</definedName>
    <definedName name="工业内部装修">'比较法-工业'!$B$104:$M$104</definedName>
    <definedName name="工业物业管理" localSheetId="32">'[2]比较法-工业'!$B$100:$M$100</definedName>
    <definedName name="工业物业管理">'比较法-工业'!$B$100:$M$100</definedName>
    <definedName name="工业用途" localSheetId="32">'[2]比较法-工业'!$B$57:$M$57</definedName>
    <definedName name="工业用途">'比较法-工业'!$B$57:$M$57</definedName>
    <definedName name="公共服务">定义!$Z$2:$Z$14</definedName>
    <definedName name="公共配套设施" localSheetId="32">[2]定义!$Q$1:$Q$6</definedName>
    <definedName name="公共配套设施">定义!$Q$1:$Q$6</definedName>
    <definedName name="估价范围判定" localSheetId="32">[2]定义!$D$1:$D$4</definedName>
    <definedName name="估价范围判定">定义!$D$1:$D$4</definedName>
    <definedName name="估价方法" localSheetId="32">[2]定义!$B$1:$B$50</definedName>
    <definedName name="估价方法">定义!$B$1:$B$50</definedName>
    <definedName name="环境" localSheetId="32">[2]定义!$S$1:$S$6</definedName>
    <definedName name="环境">定义!$S$1:$S$6</definedName>
    <definedName name="基础设施水平" localSheetId="32">[2]定义!$R$1:$R$6</definedName>
    <definedName name="基础设施水平">定义!$R$1:$R$6</definedName>
    <definedName name="季度">基准地价修正!$Q$19:$AD$19</definedName>
    <definedName name="价值类型2" localSheetId="32">[2]定义!$B$54:$B$56</definedName>
    <definedName name="价值类型2">定义!$B$54:$B$56</definedName>
    <definedName name="交通便捷度" localSheetId="32">[2]定义!$O$1:$O$6</definedName>
    <definedName name="交通便捷度">定义!$O$1:$O$6</definedName>
    <definedName name="九级">区片价!$Q$1:$Q$51</definedName>
    <definedName name="居住社区成熟度" localSheetId="32">[2]定义!$K$1:$K$6</definedName>
    <definedName name="居住社区成熟度">定义!$K$1:$K$6</definedName>
    <definedName name="类别" localSheetId="32">[2]定义!$J$1:$J$3</definedName>
    <definedName name="类别">定义!$J$1:$J$3</definedName>
    <definedName name="临街状况" localSheetId="32">[2]定义!$T$1:$T$5</definedName>
    <definedName name="临街状况">定义!$T$1:$T$5</definedName>
    <definedName name="六级">区片价!$N$1:$N$64</definedName>
    <definedName name="内部装修维护情况" localSheetId="32">[2]定义!$U$1:$U$6</definedName>
    <definedName name="内部装修维护情况">定义!$U$1:$U$6</definedName>
    <definedName name="七级">区片价!$O$1:$O$45</definedName>
    <definedName name="七通一平" localSheetId="32">[2]修正!$A$8:$A$16</definedName>
    <definedName name="七通一平">修正!$A$8:$A$16</definedName>
    <definedName name="区域土地利用方向" localSheetId="32">[2]定义!$P$1:$P$6</definedName>
    <definedName name="区域土地利用方向">定义!$P$1:$P$6</definedName>
    <definedName name="三级">区片价!$K$1:$K$26</definedName>
    <definedName name="商业">定义!$X$2:$X$9</definedName>
    <definedName name="商业层高" localSheetId="32">'[2]比较法-商业'!$B$116:$M$116</definedName>
    <definedName name="商业层高">'比较法-商业'!$B$116:$M$116</definedName>
    <definedName name="商业成新度">'比较法-商业'!$B$109:$M$109</definedName>
    <definedName name="商业繁华度" localSheetId="32">[2]定义!$L$1:$L$6</definedName>
    <definedName name="商业繁华度">定义!$L$1:$L$6</definedName>
    <definedName name="商业公共部分装修" localSheetId="32">'[2]比较法-商业'!$B$107:$M$107</definedName>
    <definedName name="商业公共部分装修">'比较法-商业'!$B$107:$M$107</definedName>
    <definedName name="商业基础设施水平" localSheetId="32">'[2]比较法-商业'!$B$112:$M$112</definedName>
    <definedName name="商业基础设施水平">'比较法-商业'!$B$112:$M$112</definedName>
    <definedName name="商业建筑结构" localSheetId="32">'[2]比较法-商业'!$B$105:$M$105</definedName>
    <definedName name="商业建筑结构">'比较法-商业'!$B$105:$M$105</definedName>
    <definedName name="商业交易情况" localSheetId="32">'[2]比较法-商业'!$A$61:$M$61</definedName>
    <definedName name="商业交易情况">'比较法-商业'!$A$61:$M$61</definedName>
    <definedName name="商业街名称" localSheetId="32">[2]修正!$C$73:$C$140</definedName>
    <definedName name="商业街名称">修正!$C$73:$C$140</definedName>
    <definedName name="商业进深比" localSheetId="32">'[2]比较法-商业'!$B$120:$M$120</definedName>
    <definedName name="商业进深比">'比较法-商业'!$B$120:$M$120</definedName>
    <definedName name="商业类型" localSheetId="32">'[2]比较法-商业'!$B$100:$M$100</definedName>
    <definedName name="商业类型">'比较法-商业'!$B$100:$M$100</definedName>
    <definedName name="商业临街状况" localSheetId="32">'[2]比较法-商业'!$B$86:$M$86</definedName>
    <definedName name="商业临街状况">'比较法-商业'!$B$86:$M$86</definedName>
    <definedName name="商业楼层" localSheetId="32">'[2]比较法-商业'!$B$92:$M$92</definedName>
    <definedName name="商业楼层">'比较法-商业'!$B$92:$M$92</definedName>
    <definedName name="商业内部装修" localSheetId="32">'[2]比较法-商业'!$B$122:$M$122</definedName>
    <definedName name="商业内部装修">'比较法-商业'!$B$122:$M$122</definedName>
    <definedName name="商业人流量" localSheetId="32">'[2]比较法-商业'!$B$90:$M$90</definedName>
    <definedName name="商业人流量">'比较法-商业'!$B$90:$M$90</definedName>
    <definedName name="商业业态" localSheetId="32">'[2]比较法-商业'!$B$114:$M$114</definedName>
    <definedName name="商业业态">'比较法-商业'!$B$114:$M$114</definedName>
    <definedName name="商业用途" localSheetId="3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2">'[2]比较法-仓储'!$B$89:$M$89</definedName>
    <definedName name="是否封闭">'比较法-仓储'!$B$89:$M$89</definedName>
    <definedName name="是否直接入户" localSheetId="32">'[2]比较法-车位月租'!$B$95:$M$95</definedName>
    <definedName name="是否直接入户">'比较法-车位'!$B$95:$M$95</definedName>
    <definedName name="四级">区片价!$L$1:$L$33</definedName>
    <definedName name="套工道路等级" localSheetId="32">'[2]土地比较法-工业'!$B$97:$M$97</definedName>
    <definedName name="套工道路等级">'土地比较法-工业'!$B$97:$M$97</definedName>
    <definedName name="套工地质条件" localSheetId="32">'[2]土地比较法-工业'!$B$114:$M$114</definedName>
    <definedName name="套工地质条件">'土地比较法-工业'!$B$114:$M$114</definedName>
    <definedName name="套工交易情况" localSheetId="32">'[2]土地比较法-住宅、综合'!$A$72:$M$72</definedName>
    <definedName name="套工交易情况">'土地比较法-住宅、综合'!$A$72:$M$72</definedName>
    <definedName name="套工土地级别" localSheetId="32">'[2]土地比较法-工业'!$B$99:$M$99</definedName>
    <definedName name="套工土地级别">'土地比较法-工业'!$B$99:$M$99</definedName>
    <definedName name="套工用途" localSheetId="32">'[2]土地比较法-工业'!$B$70:$M$70</definedName>
    <definedName name="套工用途">'土地比较法-工业'!$B$70:$M$70</definedName>
    <definedName name="套工宗地开发程度" localSheetId="32">'[2]土地比较法-工业'!$B$112:$M$112</definedName>
    <definedName name="套工宗地开发程度">'土地比较法-工业'!$B$112:$M$112</definedName>
    <definedName name="套工宗地形状" localSheetId="32">'[2]土地比较法-工业'!$B$110:$M$110</definedName>
    <definedName name="套工宗地形状">'土地比较法-工业'!$B$110:$M$110</definedName>
    <definedName name="套综道路等级" localSheetId="32">'[2]土地比较法-住宅、综合'!$B$105:$M$105</definedName>
    <definedName name="套综道路等级">'土地比较法-住宅、综合'!$B$105:$M$105</definedName>
    <definedName name="套综工程地质条件" localSheetId="32">'[2]土地比较法-住宅、综合'!$B$124:$M$124</definedName>
    <definedName name="套综工程地质条件">'土地比较法-住宅、综合'!$B$124:$M$124</definedName>
    <definedName name="套综交易情况" localSheetId="32">'[2]土地比较法-住宅、综合'!$A$72:$M$72</definedName>
    <definedName name="套综交易情况">'土地比较法-住宅、综合'!$A$72:$M$72</definedName>
    <definedName name="套综临街宽度及深度" localSheetId="32">'[2]土地比较法-住宅、综合'!$B$120:$M$120</definedName>
    <definedName name="套综临街宽度及深度">'土地比较法-住宅、综合'!$B$120:$M$120</definedName>
    <definedName name="套综土地级别" localSheetId="32">'[2]土地比较法-住宅、综合'!$B$107:$M$107</definedName>
    <definedName name="套综土地级别">'土地比较法-住宅、综合'!$B$107:$M$107</definedName>
    <definedName name="套综用途" localSheetId="32">'[2]土地比较法-住宅、综合'!$B$74:$M$74</definedName>
    <definedName name="套综用途">'土地比较法-住宅、综合'!$B$74:$M$74</definedName>
    <definedName name="套综宗地内开发程度" localSheetId="32">'[2]土地比较法-住宅、综合'!$B$122:$M$122</definedName>
    <definedName name="套综宗地内开发程度">'土地比较法-住宅、综合'!$B$122:$M$122</definedName>
    <definedName name="套综宗地形状" localSheetId="32">'[2]土地比较法-住宅、综合'!$B$118:$M$118</definedName>
    <definedName name="套综宗地形状">'土地比较法-住宅、综合'!$B$118:$M$118</definedName>
    <definedName name="土地估价师">估价师及机构信息!$D$3:$D$24</definedName>
    <definedName name="土地级别" localSheetId="32">[2]定义!$C$1:$C$14</definedName>
    <definedName name="土地级别">定义!$C$1:$C$14</definedName>
    <definedName name="土地利用方向">定义!$P$1:$P$6</definedName>
    <definedName name="土地年限区间">定义!$I$1:$I$16</definedName>
    <definedName name="位置" localSheetId="32">[2]定义!$E$2:$E$4</definedName>
    <definedName name="位置">定义!$E$2:$E$4</definedName>
    <definedName name="五等判定" localSheetId="32">[2]定义!$W$1:$W$6</definedName>
    <definedName name="五等判定">定义!$W$1:$W$6</definedName>
    <definedName name="五级">区片价!$M$1:$M$41</definedName>
    <definedName name="项目类型" localSheetId="32">'[2]数据-汇总表'!$C$17:$C$26</definedName>
    <definedName name="项目类型" localSheetId="23">'[1]数据-汇总表'!$C$17:$C$26</definedName>
    <definedName name="项目类型">'数据-汇总表'!$C$17:$C$26</definedName>
    <definedName name="写字楼等级" localSheetId="32">'[2]比较法-办公'!$B$113:$M$113</definedName>
    <definedName name="写字楼等级">#REF!</definedName>
    <definedName name="一级">区片价!$I$1:$I$6</definedName>
    <definedName name="一修多修正项2" localSheetId="32">[2]典型户型修正!$5:$5</definedName>
    <definedName name="一修多修正项2">#REF!</definedName>
    <definedName name="一修多修正项3" localSheetId="32">[2]典型户型修正!$7:$7</definedName>
    <definedName name="一修多修正项3">#REF!</definedName>
    <definedName name="一修多修正项4" localSheetId="32">[2]典型户型修正!$9:$9</definedName>
    <definedName name="一修多修正项4">#REF!</definedName>
    <definedName name="一修多修正项5" localSheetId="32">[2]典型户型修正!$11:$11</definedName>
    <definedName name="一修多修正项5">#REF!</definedName>
    <definedName name="一修多修正项6" localSheetId="32">[2]典型户型修正!$13:$13</definedName>
    <definedName name="一修多修正项6">#REF!</definedName>
    <definedName name="一修多修正项7" localSheetId="32">[2]典型户型修正!$15:$15</definedName>
    <definedName name="一修多修正项7">#REF!</definedName>
    <definedName name="一修多修正项8" localSheetId="32">[2]典型户型修正!$17:$17</definedName>
    <definedName name="一修多修正项8">#REF!</definedName>
    <definedName name="用途明细" localSheetId="32">[2]定义!$A$1:$A$50</definedName>
    <definedName name="用途明细">定义!$A$1:$A$50</definedName>
    <definedName name="有无电梯" localSheetId="32">'[2]比较法-仓储'!$B$84:$M$84</definedName>
    <definedName name="有无电梯">'比较法-仓储'!$B$84:$M$84</definedName>
    <definedName name="主用途" localSheetId="32">[2]定义!$F$1:$F$12</definedName>
    <definedName name="主用途">定义!$F$1:$F$12</definedName>
    <definedName name="住宅">定义!$AA$2</definedName>
    <definedName name="住宅朝向" localSheetId="32">'比较法-住宅'!$B$88:$M$88</definedName>
    <definedName name="住宅朝向">#REF!</definedName>
    <definedName name="住宅房型" localSheetId="32">'比较法-住宅'!$B$118:$M$118</definedName>
    <definedName name="住宅房型">#REF!</definedName>
    <definedName name="住宅公共部分装修" localSheetId="32">'比较法-住宅'!$B$109:$M$109</definedName>
    <definedName name="住宅公共部分装修">#REF!</definedName>
    <definedName name="住宅基础设施水平" localSheetId="32">'比较法-住宅'!$B$116:$M$116</definedName>
    <definedName name="住宅基础设施水平">#REF!</definedName>
    <definedName name="住宅建筑结构" localSheetId="32">'比较法-住宅'!$B$105:$M$105</definedName>
    <definedName name="住宅建筑结构">#REF!</definedName>
    <definedName name="住宅建筑类型" localSheetId="32">'比较法-住宅'!$B$100:$M$100</definedName>
    <definedName name="住宅建筑类型">#REF!</definedName>
    <definedName name="住宅建筑品质" localSheetId="32">'比较法-住宅'!$B$107:$M$107</definedName>
    <definedName name="住宅建筑品质">#REF!</definedName>
    <definedName name="住宅交易情况" localSheetId="32">'比较法-住宅'!$A$61:$M$61</definedName>
    <definedName name="住宅交易情况">#REF!</definedName>
    <definedName name="住宅楼层" localSheetId="32">'比较法-住宅'!$B$86:$M$86</definedName>
    <definedName name="住宅楼层">#REF!</definedName>
    <definedName name="住宅内部装修" localSheetId="32">'比较法-住宅'!$B$122:$M$122</definedName>
    <definedName name="住宅内部装修">#REF!</definedName>
    <definedName name="住宅物业管理" localSheetId="32">'比较法-住宅'!$B$114:$M$114</definedName>
    <definedName name="住宅物业管理">#REF!</definedName>
    <definedName name="住宅用途" localSheetId="32">'比较法-住宅'!$B$63:$M$63</definedName>
    <definedName name="住宅用途">#REF!</definedName>
    <definedName name="住宅主力户型面积" localSheetId="32">'比较法-住宅'!$B$120:$M$120</definedName>
    <definedName name="住宅主力户型面积">#REF!</definedName>
    <definedName name="注册房地产估价师" localSheetId="3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47" i="89" l="1"/>
  <c r="I54" i="89" s="1"/>
  <c r="J54" i="89" s="1"/>
  <c r="G47" i="89"/>
  <c r="T47" i="89" s="1"/>
  <c r="E47" i="89"/>
  <c r="C145" i="89"/>
  <c r="J142" i="89"/>
  <c r="J140" i="89"/>
  <c r="K145" i="89" s="1"/>
  <c r="K139" i="89"/>
  <c r="K143" i="89" s="1"/>
  <c r="B130" i="89"/>
  <c r="B128" i="89"/>
  <c r="B126" i="89"/>
  <c r="D125" i="89"/>
  <c r="E125" i="89" s="1"/>
  <c r="F125" i="89" s="1"/>
  <c r="G125" i="89" s="1"/>
  <c r="E123" i="89"/>
  <c r="F123" i="89" s="1"/>
  <c r="G123" i="89" s="1"/>
  <c r="H123" i="89" s="1"/>
  <c r="I123" i="89" s="1"/>
  <c r="J123" i="89" s="1"/>
  <c r="K123" i="89" s="1"/>
  <c r="L123" i="89" s="1"/>
  <c r="M123" i="89" s="1"/>
  <c r="D123" i="89"/>
  <c r="D119" i="89"/>
  <c r="E119" i="89" s="1"/>
  <c r="F119" i="89" s="1"/>
  <c r="G119" i="89" s="1"/>
  <c r="H119" i="89" s="1"/>
  <c r="I119" i="89" s="1"/>
  <c r="J119" i="89" s="1"/>
  <c r="K119" i="89" s="1"/>
  <c r="L119" i="89" s="1"/>
  <c r="M119" i="89" s="1"/>
  <c r="D117" i="89"/>
  <c r="E117" i="89" s="1"/>
  <c r="F117" i="89" s="1"/>
  <c r="G117" i="89" s="1"/>
  <c r="E115" i="89"/>
  <c r="F115" i="89" s="1"/>
  <c r="G115" i="89" s="1"/>
  <c r="H115" i="89" s="1"/>
  <c r="I115" i="89" s="1"/>
  <c r="J115" i="89" s="1"/>
  <c r="K115" i="89" s="1"/>
  <c r="L115" i="89" s="1"/>
  <c r="M115" i="89" s="1"/>
  <c r="D115" i="89"/>
  <c r="D113" i="89"/>
  <c r="E113" i="89" s="1"/>
  <c r="F113" i="89" s="1"/>
  <c r="G113" i="89" s="1"/>
  <c r="H113" i="89" s="1"/>
  <c r="H111" i="89"/>
  <c r="G111" i="89"/>
  <c r="F111" i="89"/>
  <c r="E111" i="89"/>
  <c r="D111" i="89"/>
  <c r="C111" i="89"/>
  <c r="D110" i="89"/>
  <c r="E110" i="89" s="1"/>
  <c r="F110" i="89" s="1"/>
  <c r="G110" i="89" s="1"/>
  <c r="H110" i="89" s="1"/>
  <c r="I110" i="89" s="1"/>
  <c r="J110" i="89" s="1"/>
  <c r="K110" i="89" s="1"/>
  <c r="L110" i="89" s="1"/>
  <c r="M110" i="89" s="1"/>
  <c r="D108" i="89"/>
  <c r="E108" i="89" s="1"/>
  <c r="F108" i="89" s="1"/>
  <c r="G108" i="89" s="1"/>
  <c r="H108" i="89" s="1"/>
  <c r="I108" i="89" s="1"/>
  <c r="J108" i="89" s="1"/>
  <c r="K108" i="89" s="1"/>
  <c r="L108" i="89" s="1"/>
  <c r="M108" i="89" s="1"/>
  <c r="D106" i="89"/>
  <c r="E106" i="89" s="1"/>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B92" i="89"/>
  <c r="B90" i="89"/>
  <c r="D89" i="89"/>
  <c r="E89" i="89" s="1"/>
  <c r="F89" i="89" s="1"/>
  <c r="G89" i="89" s="1"/>
  <c r="H89" i="89" s="1"/>
  <c r="I89" i="89" s="1"/>
  <c r="J89" i="89" s="1"/>
  <c r="K89" i="89" s="1"/>
  <c r="L89" i="89" s="1"/>
  <c r="M89" i="89" s="1"/>
  <c r="M87" i="89"/>
  <c r="L87" i="89"/>
  <c r="K87" i="89"/>
  <c r="J87" i="89"/>
  <c r="I87" i="89"/>
  <c r="H87" i="89"/>
  <c r="G87" i="89"/>
  <c r="F87" i="89"/>
  <c r="E87" i="89"/>
  <c r="D87" i="89"/>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B70" i="89"/>
  <c r="E69" i="89"/>
  <c r="F69" i="89" s="1"/>
  <c r="G69" i="89" s="1"/>
  <c r="H69" i="89" s="1"/>
  <c r="I69" i="89" s="1"/>
  <c r="J69" i="89" s="1"/>
  <c r="K69" i="89" s="1"/>
  <c r="L69" i="89" s="1"/>
  <c r="M69" i="89" s="1"/>
  <c r="D69" i="89"/>
  <c r="M67" i="89"/>
  <c r="L67" i="89"/>
  <c r="K67" i="89"/>
  <c r="J67" i="89"/>
  <c r="I67" i="89"/>
  <c r="H67" i="89"/>
  <c r="G67" i="89"/>
  <c r="F67" i="89"/>
  <c r="E67" i="89"/>
  <c r="D67" i="89"/>
  <c r="C67" i="89"/>
  <c r="C63" i="89"/>
  <c r="E54" i="89"/>
  <c r="F54" i="89" s="1"/>
  <c r="P49" i="89"/>
  <c r="P48" i="89"/>
  <c r="K48" i="89"/>
  <c r="V47" i="89"/>
  <c r="R47" i="89"/>
  <c r="P47" i="89"/>
  <c r="AC46" i="89"/>
  <c r="Q46" i="89"/>
  <c r="Z46" i="89" s="1"/>
  <c r="J46" i="89"/>
  <c r="W46" i="89" s="1"/>
  <c r="H46" i="89"/>
  <c r="AB46" i="89" s="1"/>
  <c r="F46" i="89"/>
  <c r="AA46" i="89" s="1"/>
  <c r="U45" i="89"/>
  <c r="Q45" i="89"/>
  <c r="Z45" i="89" s="1"/>
  <c r="J45" i="89"/>
  <c r="AC45" i="89" s="1"/>
  <c r="H45" i="89"/>
  <c r="AB45" i="89" s="1"/>
  <c r="F45" i="89"/>
  <c r="AA45" i="89" s="1"/>
  <c r="AA44" i="89"/>
  <c r="Q44" i="89"/>
  <c r="Z44" i="89" s="1"/>
  <c r="J44" i="89"/>
  <c r="AC44" i="89" s="1"/>
  <c r="H44" i="89"/>
  <c r="AB44" i="89" s="1"/>
  <c r="F44" i="89"/>
  <c r="S44" i="89" s="1"/>
  <c r="Q43" i="89"/>
  <c r="Z43" i="89" s="1"/>
  <c r="J43" i="89"/>
  <c r="AC43" i="89" s="1"/>
  <c r="H43" i="89"/>
  <c r="AB43" i="89" s="1"/>
  <c r="F43" i="89"/>
  <c r="AA43" i="89" s="1"/>
  <c r="W42" i="89"/>
  <c r="Q42" i="89"/>
  <c r="Z42" i="89" s="1"/>
  <c r="J42" i="89"/>
  <c r="AC42" i="89" s="1"/>
  <c r="H42" i="89"/>
  <c r="AB42" i="89" s="1"/>
  <c r="F42" i="89"/>
  <c r="AA42" i="89" s="1"/>
  <c r="U41" i="89"/>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U37" i="89" s="1"/>
  <c r="F37" i="89"/>
  <c r="AA37" i="89" s="1"/>
  <c r="Q36" i="89"/>
  <c r="Z36" i="89" s="1"/>
  <c r="J36" i="89"/>
  <c r="AC36" i="89" s="1"/>
  <c r="H36" i="89"/>
  <c r="AB36" i="89" s="1"/>
  <c r="F36" i="89"/>
  <c r="AA36" i="89" s="1"/>
  <c r="Z35" i="89"/>
  <c r="Q35" i="89"/>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AC30" i="89"/>
  <c r="Q30" i="89"/>
  <c r="Z30" i="89" s="1"/>
  <c r="J30" i="89"/>
  <c r="W30" i="89" s="1"/>
  <c r="H30" i="89"/>
  <c r="AB30" i="89" s="1"/>
  <c r="F30" i="89"/>
  <c r="AA30" i="89" s="1"/>
  <c r="Q29" i="89"/>
  <c r="Z29" i="89" s="1"/>
  <c r="J29" i="89"/>
  <c r="AC29" i="89" s="1"/>
  <c r="H29" i="89"/>
  <c r="AB29" i="89" s="1"/>
  <c r="F29" i="89"/>
  <c r="AA29" i="89" s="1"/>
  <c r="AA28" i="89"/>
  <c r="Q28" i="89"/>
  <c r="Z28" i="89" s="1"/>
  <c r="J28" i="89"/>
  <c r="AC28" i="89" s="1"/>
  <c r="H28" i="89"/>
  <c r="AB28" i="89" s="1"/>
  <c r="F28" i="89"/>
  <c r="S28" i="89" s="1"/>
  <c r="Z27" i="89"/>
  <c r="Q27" i="89"/>
  <c r="J27" i="89"/>
  <c r="AC27" i="89" s="1"/>
  <c r="H27" i="89"/>
  <c r="AB27" i="89" s="1"/>
  <c r="F27" i="89"/>
  <c r="AA27" i="89" s="1"/>
  <c r="W26" i="89"/>
  <c r="Q26" i="89"/>
  <c r="Z26" i="89" s="1"/>
  <c r="J26" i="89"/>
  <c r="AC26" i="89" s="1"/>
  <c r="H26" i="89"/>
  <c r="AB26" i="89" s="1"/>
  <c r="F26" i="89"/>
  <c r="AA26" i="89" s="1"/>
  <c r="U25" i="89"/>
  <c r="Q25" i="89"/>
  <c r="Z25" i="89" s="1"/>
  <c r="J25" i="89"/>
  <c r="AC25" i="89" s="1"/>
  <c r="H25" i="89"/>
  <c r="AB25" i="89" s="1"/>
  <c r="F25" i="89"/>
  <c r="AA25" i="89" s="1"/>
  <c r="Q23" i="89"/>
  <c r="Z23" i="89" s="1"/>
  <c r="J23" i="89"/>
  <c r="AC23" i="89" s="1"/>
  <c r="H23" i="89"/>
  <c r="AB23" i="89" s="1"/>
  <c r="F23" i="89"/>
  <c r="AA23" i="89" s="1"/>
  <c r="C23" i="89"/>
  <c r="W21" i="89"/>
  <c r="Q21" i="89"/>
  <c r="Z21" i="89" s="1"/>
  <c r="J21" i="89"/>
  <c r="AC21" i="89" s="1"/>
  <c r="H21" i="89"/>
  <c r="AB21" i="89" s="1"/>
  <c r="F21" i="89"/>
  <c r="S21" i="89" s="1"/>
  <c r="C21" i="89"/>
  <c r="Q19" i="89"/>
  <c r="Z19" i="89" s="1"/>
  <c r="J19" i="89"/>
  <c r="W19" i="89" s="1"/>
  <c r="H19" i="89"/>
  <c r="U19" i="89" s="1"/>
  <c r="F19" i="89"/>
  <c r="AA19" i="89" s="1"/>
  <c r="C19" i="89"/>
  <c r="Q17" i="89"/>
  <c r="Z17" i="89" s="1"/>
  <c r="J17" i="89"/>
  <c r="W17" i="89" s="1"/>
  <c r="H17" i="89"/>
  <c r="U17" i="89" s="1"/>
  <c r="F17" i="89"/>
  <c r="S17" i="89" s="1"/>
  <c r="C17" i="89"/>
  <c r="Q15" i="89"/>
  <c r="Z15" i="89" s="1"/>
  <c r="F15" i="89"/>
  <c r="S15" i="89" s="1"/>
  <c r="C15" i="89"/>
  <c r="AC14" i="89"/>
  <c r="AA14" i="89"/>
  <c r="Q14" i="89"/>
  <c r="Z14" i="89" s="1"/>
  <c r="J14" i="89"/>
  <c r="W14" i="89" s="1"/>
  <c r="H14" i="89"/>
  <c r="AB14" i="89" s="1"/>
  <c r="F14" i="89"/>
  <c r="S14" i="89" s="1"/>
  <c r="AB13" i="89"/>
  <c r="Z13" i="89"/>
  <c r="Q13" i="89"/>
  <c r="J13" i="89"/>
  <c r="H13" i="89"/>
  <c r="U13" i="89" s="1"/>
  <c r="F13" i="89"/>
  <c r="S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U8" i="89" s="1"/>
  <c r="F8" i="89"/>
  <c r="S8" i="89" s="1"/>
  <c r="C7" i="89"/>
  <c r="C58" i="89" s="1"/>
  <c r="D3" i="89"/>
  <c r="B2" i="89"/>
  <c r="B3" i="89" s="1"/>
  <c r="D2" i="89"/>
  <c r="G54" i="89" l="1"/>
  <c r="H54" i="89" s="1"/>
  <c r="AA17" i="89"/>
  <c r="AB19" i="89"/>
  <c r="J15" i="89"/>
  <c r="AC15" i="89" s="1"/>
  <c r="H15" i="89"/>
  <c r="U15" i="89" s="1"/>
  <c r="U33" i="89"/>
  <c r="W8" i="89"/>
  <c r="AB8" i="89"/>
  <c r="AA8" i="89"/>
  <c r="S19" i="89"/>
  <c r="AB37" i="89"/>
  <c r="D58" i="89"/>
  <c r="S23" i="89"/>
  <c r="S40" i="89"/>
  <c r="S10" i="89"/>
  <c r="U11" i="89"/>
  <c r="W12" i="89"/>
  <c r="AA13" i="89"/>
  <c r="AA15" i="89"/>
  <c r="AB17" i="89"/>
  <c r="AC19" i="89"/>
  <c r="AA21" i="89"/>
  <c r="U29" i="89"/>
  <c r="S36" i="89"/>
  <c r="W38" i="89"/>
  <c r="W9" i="89"/>
  <c r="S11" i="89"/>
  <c r="U12" i="89"/>
  <c r="AC13" i="89"/>
  <c r="W13" i="89"/>
  <c r="U14" i="89"/>
  <c r="S9" i="89"/>
  <c r="U10" i="89"/>
  <c r="W11" i="89"/>
  <c r="AC17" i="89"/>
  <c r="S32" i="89"/>
  <c r="W34" i="89"/>
  <c r="U9" i="89"/>
  <c r="W10" i="89"/>
  <c r="S12" i="89"/>
  <c r="U21" i="89"/>
  <c r="U23" i="89"/>
  <c r="W25" i="89"/>
  <c r="S27" i="89"/>
  <c r="U28" i="89"/>
  <c r="W29" i="89"/>
  <c r="S31" i="89"/>
  <c r="U32" i="89"/>
  <c r="W33" i="89"/>
  <c r="S35" i="89"/>
  <c r="U36" i="89"/>
  <c r="W37" i="89"/>
  <c r="S39" i="89"/>
  <c r="U40" i="89"/>
  <c r="W41" i="89"/>
  <c r="S43" i="89"/>
  <c r="U44" i="89"/>
  <c r="W45" i="89"/>
  <c r="W23" i="89"/>
  <c r="S26" i="89"/>
  <c r="U27" i="89"/>
  <c r="W28" i="89"/>
  <c r="S30" i="89"/>
  <c r="U31" i="89"/>
  <c r="W32" i="89"/>
  <c r="S34" i="89"/>
  <c r="U35" i="89"/>
  <c r="W36" i="89"/>
  <c r="S38" i="89"/>
  <c r="U39" i="89"/>
  <c r="W40" i="89"/>
  <c r="S42" i="89"/>
  <c r="U43" i="89"/>
  <c r="W44" i="89"/>
  <c r="S46" i="89"/>
  <c r="K144" i="89"/>
  <c r="S25" i="89"/>
  <c r="U26" i="89"/>
  <c r="W27" i="89"/>
  <c r="S29" i="89"/>
  <c r="U30" i="89"/>
  <c r="W31" i="89"/>
  <c r="S33" i="89"/>
  <c r="U34" i="89"/>
  <c r="W35" i="89"/>
  <c r="S37" i="89"/>
  <c r="U38" i="89"/>
  <c r="W39" i="89"/>
  <c r="S41" i="89"/>
  <c r="U42" i="89"/>
  <c r="W43" i="89"/>
  <c r="S45" i="89"/>
  <c r="U46" i="89"/>
  <c r="K141" i="89"/>
  <c r="V48" i="89" l="1"/>
  <c r="R48" i="89"/>
  <c r="W15" i="89"/>
  <c r="AB15" i="89"/>
  <c r="T48" i="89" s="1"/>
  <c r="E58" i="89"/>
  <c r="F58" i="89" s="1"/>
  <c r="G58" i="89" s="1"/>
  <c r="H58" i="89" s="1"/>
  <c r="I58" i="89" s="1"/>
  <c r="J58" i="89" s="1"/>
  <c r="K58" i="89" s="1"/>
  <c r="L58" i="89" s="1"/>
  <c r="M58" i="89" s="1"/>
  <c r="N58" i="89" s="1"/>
  <c r="O58" i="89" s="1"/>
  <c r="H7" i="89"/>
  <c r="R49" i="89" l="1"/>
  <c r="F7" i="89"/>
  <c r="AB7" i="89"/>
  <c r="G48" i="89" s="1"/>
  <c r="U7" i="89"/>
  <c r="J7" i="89"/>
  <c r="G52" i="89" l="1"/>
  <c r="H52" i="89" s="1"/>
  <c r="S7" i="89"/>
  <c r="AA7" i="89"/>
  <c r="W7" i="89"/>
  <c r="AC7" i="89"/>
  <c r="I48" i="89" s="1"/>
  <c r="I52" i="89" l="1"/>
  <c r="J52" i="89" s="1"/>
  <c r="G53" i="89"/>
  <c r="H53" i="89" s="1"/>
  <c r="E48" i="89"/>
  <c r="I53" i="89" s="1"/>
  <c r="J53" i="89" s="1"/>
  <c r="C49" i="89" l="1"/>
  <c r="C48" i="89"/>
  <c r="M43" i="89" s="1"/>
  <c r="E53" i="89"/>
  <c r="F53" i="89" s="1"/>
  <c r="E52" i="89"/>
  <c r="F52" i="89" s="1"/>
  <c r="R47" i="39" l="1"/>
  <c r="V47" i="39"/>
  <c r="T47" i="39"/>
  <c r="I46" i="39"/>
  <c r="G46" i="39"/>
  <c r="E46" i="39"/>
  <c r="M15" i="88"/>
  <c r="M14" i="88"/>
  <c r="M13" i="88"/>
  <c r="M9" i="88"/>
  <c r="M10" i="88"/>
  <c r="M11" i="88"/>
  <c r="M12" i="88"/>
  <c r="M7" i="88"/>
  <c r="M8" i="88"/>
  <c r="M6" i="88"/>
  <c r="E104" i="33"/>
  <c r="F104" i="33" s="1"/>
  <c r="G104" i="33" s="1"/>
  <c r="H104" i="33" s="1"/>
  <c r="D104" i="33"/>
  <c r="I47" i="33"/>
  <c r="G47" i="33"/>
  <c r="E47" i="33"/>
  <c r="D3" i="4"/>
  <c r="E33" i="33" l="1"/>
  <c r="I33" i="33"/>
  <c r="G33" i="33"/>
  <c r="V47" i="33"/>
  <c r="M34" i="33"/>
  <c r="B14" i="74"/>
  <c r="D15" i="4"/>
  <c r="M36" i="33"/>
  <c r="M35" i="33"/>
  <c r="J33" i="33"/>
  <c r="I5" i="33"/>
  <c r="G5" i="33"/>
  <c r="E5"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C5" i="78"/>
  <c r="D5" i="78" s="1"/>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M47" i="9" s="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s="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s="1"/>
  <c r="G53" i="39"/>
  <c r="H53" i="39"/>
  <c r="E53" i="39"/>
  <c r="F53" i="39" s="1"/>
  <c r="I42" i="36"/>
  <c r="J42" i="36"/>
  <c r="G42" i="36"/>
  <c r="H42" i="36"/>
  <c r="E42" i="36"/>
  <c r="F42" i="36"/>
  <c r="I44" i="35"/>
  <c r="J44" i="35"/>
  <c r="G44" i="35"/>
  <c r="H44" i="35"/>
  <c r="E44" i="35"/>
  <c r="F44" i="35"/>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s="1"/>
  <c r="H38" i="39"/>
  <c r="U38" i="39" s="1"/>
  <c r="F38" i="39"/>
  <c r="AA38" i="39" s="1"/>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s="1"/>
  <c r="F92" i="39" s="1"/>
  <c r="G92" i="39" s="1"/>
  <c r="D90" i="39"/>
  <c r="E90" i="39" s="1"/>
  <c r="F90" i="39" s="1"/>
  <c r="G90" i="39" s="1"/>
  <c r="D88" i="39"/>
  <c r="E88" i="39" s="1"/>
  <c r="F88" i="39" s="1"/>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s="1"/>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D79" i="33"/>
  <c r="E79" i="33"/>
  <c r="H17" i="33"/>
  <c r="U17" i="33"/>
  <c r="D77" i="33"/>
  <c r="E77" i="33" s="1"/>
  <c r="D69" i="33"/>
  <c r="E69" i="33"/>
  <c r="F69" i="33"/>
  <c r="G69" i="33"/>
  <c r="H69" i="33"/>
  <c r="I69" i="33"/>
  <c r="J69" i="33"/>
  <c r="K69" i="33"/>
  <c r="L69" i="33"/>
  <c r="M69" i="33"/>
  <c r="M67" i="33"/>
  <c r="L67" i="33"/>
  <c r="K67" i="33"/>
  <c r="J67" i="33"/>
  <c r="I67" i="33"/>
  <c r="H67" i="33"/>
  <c r="G67" i="33"/>
  <c r="F67" i="33"/>
  <c r="E67" i="33"/>
  <c r="D67" i="33"/>
  <c r="C67" i="33"/>
  <c r="C63" i="33"/>
  <c r="P49" i="33"/>
  <c r="P48" i="33"/>
  <c r="T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4" i="39"/>
  <c r="H34" i="39"/>
  <c r="U34" i="39"/>
  <c r="E108" i="39"/>
  <c r="F108" i="39"/>
  <c r="G108" i="39"/>
  <c r="H108" i="39"/>
  <c r="I108" i="39"/>
  <c r="J108" i="39"/>
  <c r="K108" i="39"/>
  <c r="L108" i="39"/>
  <c r="M108" i="39"/>
  <c r="F31" i="39"/>
  <c r="AA31" i="39"/>
  <c r="E100" i="39"/>
  <c r="F100" i="39"/>
  <c r="G100" i="39"/>
  <c r="H19" i="39"/>
  <c r="AB19" i="39" s="1"/>
  <c r="F19" i="39"/>
  <c r="S19" i="39" s="1"/>
  <c r="H17" i="39"/>
  <c r="AB17" i="39" s="1"/>
  <c r="F17" i="39"/>
  <c r="AA17" i="39" s="1"/>
  <c r="J23" i="40"/>
  <c r="AC23" i="40"/>
  <c r="F21" i="40"/>
  <c r="AA21" i="40"/>
  <c r="J21" i="40"/>
  <c r="W21" i="40"/>
  <c r="H42" i="39"/>
  <c r="AB42" i="39"/>
  <c r="J34" i="39"/>
  <c r="AC34" i="39"/>
  <c r="J31" i="39"/>
  <c r="W31" i="39"/>
  <c r="H27" i="39"/>
  <c r="U27" i="39"/>
  <c r="J19" i="39"/>
  <c r="AC19" i="39" s="1"/>
  <c r="J17" i="39"/>
  <c r="AC17" i="39" s="1"/>
  <c r="J27" i="39"/>
  <c r="AC27" i="39"/>
  <c r="F27" i="39"/>
  <c r="C25" i="39"/>
  <c r="H11" i="39"/>
  <c r="U11" i="39" s="1"/>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F32" i="33"/>
  <c r="AA32" i="33" s="1"/>
  <c r="J19" i="33"/>
  <c r="AC19" i="33"/>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S39" i="33" s="1"/>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H41" i="39"/>
  <c r="AB41" i="39"/>
  <c r="W27" i="39"/>
  <c r="AB34" i="39"/>
  <c r="U40" i="39"/>
  <c r="S42" i="39"/>
  <c r="W9" i="39"/>
  <c r="W8" i="39"/>
  <c r="J19" i="40"/>
  <c r="AC19" i="40"/>
  <c r="J50" i="40"/>
  <c r="H103" i="9"/>
  <c r="D8" i="53"/>
  <c r="B16" i="53"/>
  <c r="B33" i="72"/>
  <c r="C7" i="37"/>
  <c r="C52" i="37" s="1"/>
  <c r="C7" i="36"/>
  <c r="C46" i="36" s="1"/>
  <c r="A118" i="9"/>
  <c r="A4" i="52"/>
  <c r="B41" i="72"/>
  <c r="J11" i="39"/>
  <c r="W11" i="39" s="1"/>
  <c r="F11" i="39"/>
  <c r="S11" i="39" s="1"/>
  <c r="G4" i="4"/>
  <c r="K5" i="4" s="1"/>
  <c r="B47" i="48" s="1"/>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F79" i="33"/>
  <c r="G7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5"/>
  <c r="C48" i="35" s="1"/>
  <c r="D48" i="35" s="1"/>
  <c r="E48" i="35" s="1"/>
  <c r="F48" i="35" s="1"/>
  <c r="G48" i="35" s="1"/>
  <c r="H48" i="35" s="1"/>
  <c r="I48" i="35" s="1"/>
  <c r="J48" i="35" s="1"/>
  <c r="C7" i="33"/>
  <c r="C58" i="33" s="1"/>
  <c r="D58" i="33" s="1"/>
  <c r="E58" i="33" s="1"/>
  <c r="G23" i="43"/>
  <c r="O23" i="43" s="1"/>
  <c r="C23" i="43"/>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A27" i="39"/>
  <c r="S27" i="39"/>
  <c r="W17" i="39"/>
  <c r="S23" i="39"/>
  <c r="AA45" i="39"/>
  <c r="AB39"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s="1"/>
  <c r="B73" i="72" s="1"/>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2" i="33"/>
  <c r="AB32" i="33" s="1"/>
  <c r="J32" i="33"/>
  <c r="AC32" i="33" s="1"/>
  <c r="H39" i="33"/>
  <c r="U39" i="33" s="1"/>
  <c r="J39" i="33"/>
  <c r="AC39" i="33" s="1"/>
  <c r="W43" i="33"/>
  <c r="S43" i="33"/>
  <c r="F25" i="33"/>
  <c r="S25" i="33"/>
  <c r="J25" i="33"/>
  <c r="W25" i="33"/>
  <c r="H25" i="33"/>
  <c r="U25" i="33"/>
  <c r="F17" i="33"/>
  <c r="S17" i="33"/>
  <c r="J17" i="33"/>
  <c r="AC17" i="33"/>
  <c r="S28" i="33"/>
  <c r="AA25" i="33"/>
  <c r="U11"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AA17" i="33"/>
  <c r="W30" i="33"/>
  <c r="W29" i="36"/>
  <c r="U8" i="40"/>
  <c r="W27" i="40"/>
  <c r="S32" i="37"/>
  <c r="S43" i="39"/>
  <c r="AC17" i="40"/>
  <c r="AZ311" i="3"/>
  <c r="AZ372" i="3"/>
  <c r="AZ305" i="3"/>
  <c r="U32" i="39"/>
  <c r="D6" i="52"/>
  <c r="AA13" i="36"/>
  <c r="U32" i="36"/>
  <c r="W34" i="39"/>
  <c r="AC31" i="39"/>
  <c r="AC11" i="33"/>
  <c r="AB17" i="37"/>
  <c r="AA12" i="39"/>
  <c r="F48" i="9"/>
  <c r="O52" i="9"/>
  <c r="F30" i="68"/>
  <c r="F48" i="68"/>
  <c r="F52" i="9"/>
  <c r="F32" i="15"/>
  <c r="F60" i="15"/>
  <c r="F54" i="9"/>
  <c r="W37" i="33"/>
  <c r="S15" i="37"/>
  <c r="AZ387" i="3"/>
  <c r="AZ345" i="3"/>
  <c r="AZ310" i="3"/>
  <c r="AZ371" i="3"/>
  <c r="AZ309" i="3"/>
  <c r="AA41"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B17" i="33"/>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U8" i="33"/>
  <c r="F53" i="9"/>
  <c r="C5" i="11"/>
  <c r="C4" i="12"/>
  <c r="E14" i="6"/>
  <c r="E63" i="39" s="1"/>
  <c r="G3" i="43"/>
  <c r="E29" i="6"/>
  <c r="K15" i="1"/>
  <c r="L19" i="6"/>
  <c r="L27" i="6" s="1"/>
  <c r="M6" i="1"/>
  <c r="O6" i="1" s="1"/>
  <c r="P6" i="1" s="1"/>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S25" i="39"/>
  <c r="W39" i="39"/>
  <c r="W42" i="39"/>
  <c r="W14" i="39"/>
  <c r="S29" i="39"/>
  <c r="G21" i="43"/>
  <c r="C20" i="43" s="1"/>
  <c r="E11" i="43"/>
  <c r="E9" i="43"/>
  <c r="E10" i="43"/>
  <c r="E8" i="43"/>
  <c r="D23" i="67"/>
  <c r="G25" i="12"/>
  <c r="G41" i="11"/>
  <c r="G27" i="12"/>
  <c r="G41" i="68"/>
  <c r="K4" i="4"/>
  <c r="B46" i="48" s="1"/>
  <c r="B4" i="72" s="1"/>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U32" i="33"/>
  <c r="W17" i="33"/>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C7" i="43"/>
  <c r="D10" i="52"/>
  <c r="D125" i="9"/>
  <c r="D11" i="52"/>
  <c r="B7" i="74"/>
  <c r="M17" i="67"/>
  <c r="M17" i="15"/>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E8" i="70"/>
  <c r="B1" i="74"/>
  <c r="C17" i="71"/>
  <c r="D18" i="71"/>
  <c r="E6" i="70"/>
  <c r="S11" i="1"/>
  <c r="AR11" i="1" s="1"/>
  <c r="E11" i="70"/>
  <c r="S9" i="1"/>
  <c r="AR9" i="1" s="1"/>
  <c r="E7" i="70"/>
  <c r="S10" i="1"/>
  <c r="T10" i="1" s="1"/>
  <c r="E10" i="70"/>
  <c r="S12" i="1"/>
  <c r="AQ12" i="1" s="1"/>
  <c r="B2" i="74"/>
  <c r="R9" i="1"/>
  <c r="R11" i="1"/>
  <c r="C16" i="71"/>
  <c r="D17" i="71"/>
  <c r="R10" i="1"/>
  <c r="E12" i="70"/>
  <c r="F34" i="1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E14" i="74"/>
  <c r="F14" i="74"/>
  <c r="B5" i="74"/>
  <c r="D5" i="74"/>
  <c r="B6" i="74"/>
  <c r="D6" i="74"/>
  <c r="L48" i="67"/>
  <c r="E11" i="76"/>
  <c r="M8" i="67"/>
  <c r="F42" i="67"/>
  <c r="M9" i="67"/>
  <c r="AO9" i="1"/>
  <c r="B10" i="76"/>
  <c r="D2" i="36"/>
  <c r="AO8" i="1"/>
  <c r="E12" i="76"/>
  <c r="F6" i="15"/>
  <c r="AO13" i="1"/>
  <c r="M24" i="15"/>
  <c r="J15" i="15"/>
  <c r="D2" i="35"/>
  <c r="D3" i="73"/>
  <c r="D34" i="9"/>
  <c r="AO12" i="1"/>
  <c r="F5" i="73"/>
  <c r="D7" i="73"/>
  <c r="F6" i="67"/>
  <c r="F41" i="15"/>
  <c r="AO11" i="1"/>
  <c r="D35" i="9"/>
  <c r="M23" i="67"/>
  <c r="M6" i="67"/>
  <c r="F37" i="15"/>
  <c r="L48" i="15"/>
  <c r="F36" i="67"/>
  <c r="D19" i="9"/>
  <c r="E2" i="68"/>
  <c r="M22" i="67"/>
  <c r="B8" i="76"/>
  <c r="AO6" i="1"/>
  <c r="M27" i="15"/>
  <c r="L47" i="67"/>
  <c r="C19" i="9"/>
  <c r="F43" i="15"/>
  <c r="E9" i="76"/>
  <c r="AO7" i="1"/>
  <c r="F3" i="73"/>
  <c r="C20" i="9"/>
  <c r="M8" i="15"/>
  <c r="B13" i="76"/>
  <c r="M28" i="15"/>
  <c r="M29" i="67"/>
  <c r="F41" i="67"/>
  <c r="F13" i="15"/>
  <c r="AO10" i="1"/>
  <c r="M22" i="15"/>
  <c r="M29" i="15"/>
  <c r="M26" i="15"/>
  <c r="F9" i="67"/>
  <c r="F8" i="67"/>
  <c r="F16" i="15"/>
  <c r="C76" i="15"/>
  <c r="F16" i="67"/>
  <c r="M23" i="15"/>
  <c r="F6" i="73"/>
  <c r="D20" i="9"/>
  <c r="B7" i="76"/>
  <c r="F26" i="15"/>
  <c r="F7" i="73"/>
  <c r="B11" i="76"/>
  <c r="E8" i="76"/>
  <c r="E7" i="76"/>
  <c r="D2" i="37"/>
  <c r="E13" i="76"/>
  <c r="E10" i="76"/>
  <c r="F38" i="15"/>
  <c r="D2" i="33"/>
  <c r="J15" i="67"/>
  <c r="C76" i="67"/>
  <c r="F26" i="67"/>
  <c r="D6" i="73"/>
  <c r="D4" i="73"/>
  <c r="F7" i="67"/>
  <c r="F9" i="15"/>
  <c r="F8" i="15"/>
  <c r="F43" i="67"/>
  <c r="M26" i="67"/>
  <c r="E2" i="69"/>
  <c r="F13" i="67"/>
  <c r="F36" i="15"/>
  <c r="L47" i="15"/>
  <c r="M24" i="67"/>
  <c r="B12" i="76"/>
  <c r="F42" i="15"/>
  <c r="M27" i="67"/>
  <c r="M6" i="15"/>
  <c r="D5" i="73"/>
  <c r="M28" i="67"/>
  <c r="F7" i="15"/>
  <c r="F40" i="15"/>
  <c r="F40" i="67"/>
  <c r="M9" i="15"/>
  <c r="F38" i="67"/>
  <c r="F4" i="73"/>
  <c r="B9" i="76"/>
  <c r="F37" i="67"/>
  <c r="C5" i="43" l="1"/>
  <c r="D5" i="43"/>
  <c r="AC11" i="39"/>
  <c r="AB11" i="39"/>
  <c r="AA11" i="39"/>
  <c r="S38" i="39"/>
  <c r="AB38" i="39"/>
  <c r="AC38" i="39"/>
  <c r="J15" i="39"/>
  <c r="W15" i="39" s="1"/>
  <c r="F15" i="39"/>
  <c r="G88" i="39"/>
  <c r="H15" i="39"/>
  <c r="AC15" i="39"/>
  <c r="AA19" i="39"/>
  <c r="U19" i="39"/>
  <c r="W32" i="33"/>
  <c r="S32" i="33"/>
  <c r="H15" i="33"/>
  <c r="F15" i="33"/>
  <c r="J15" i="33"/>
  <c r="W15" i="33" s="1"/>
  <c r="F77" i="33"/>
  <c r="G77" i="33" s="1"/>
  <c r="M24" i="43"/>
  <c r="P25" i="43"/>
  <c r="C36" i="11"/>
  <c r="C77" i="9"/>
  <c r="C74" i="9" s="1"/>
  <c r="C7" i="40"/>
  <c r="C63" i="40" s="1"/>
  <c r="C7" i="39"/>
  <c r="C67" i="39" s="1"/>
  <c r="C69" i="39" s="1"/>
  <c r="C48" i="69"/>
  <c r="C6" i="78"/>
  <c r="D6" i="78" s="1"/>
  <c r="C48" i="68"/>
  <c r="C28" i="15"/>
  <c r="C31" i="12"/>
  <c r="C30" i="69"/>
  <c r="AB39" i="33"/>
  <c r="AA39" i="33"/>
  <c r="W39" i="33"/>
  <c r="G54" i="33"/>
  <c r="H54" i="33" s="1"/>
  <c r="I54" i="33"/>
  <c r="J54" i="33" s="1"/>
  <c r="W33" i="33"/>
  <c r="AC33" i="33"/>
  <c r="S33" i="33"/>
  <c r="U33" i="33"/>
  <c r="R47" i="33"/>
  <c r="E54" i="33"/>
  <c r="F54" i="33" s="1"/>
  <c r="AR10" i="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J7" i="36"/>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J7" i="33"/>
  <c r="F7" i="35"/>
  <c r="D67" i="39"/>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AB42" i="33"/>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15"/>
  <c r="C16" i="67"/>
  <c r="G1" i="73"/>
  <c r="C41" i="43" l="1"/>
  <c r="C42" i="43"/>
  <c r="U15" i="39"/>
  <c r="AB15" i="39"/>
  <c r="S15" i="39"/>
  <c r="AA15" i="39"/>
  <c r="AA15" i="33"/>
  <c r="S15" i="33"/>
  <c r="AB15" i="33"/>
  <c r="U15" i="33"/>
  <c r="F7" i="36"/>
  <c r="C65" i="40"/>
  <c r="D63" i="40"/>
  <c r="D118" i="43"/>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AA7" i="35"/>
  <c r="R38" i="35" s="1"/>
  <c r="S7" i="35"/>
  <c r="W7" i="36"/>
  <c r="AC7" i="36"/>
  <c r="V36" i="36" s="1"/>
  <c r="I36" i="36" s="1"/>
  <c r="AC7" i="35"/>
  <c r="V38" i="35" s="1"/>
  <c r="I38" i="35" s="1"/>
  <c r="W7" i="35"/>
  <c r="E67" i="39"/>
  <c r="D69" i="39"/>
  <c r="W7" i="33"/>
  <c r="AC7" i="33"/>
  <c r="S7" i="36"/>
  <c r="AA7" i="36"/>
  <c r="R36" i="36" s="1"/>
  <c r="AB7" i="35"/>
  <c r="T38" i="35" s="1"/>
  <c r="G38" i="35" s="1"/>
  <c r="U7" i="35"/>
  <c r="E52" i="37"/>
  <c r="F52" i="37" s="1"/>
  <c r="G52" i="37" s="1"/>
  <c r="H52" i="37" s="1"/>
  <c r="I52" i="37" s="1"/>
  <c r="J52" i="37" s="1"/>
  <c r="K52" i="37" s="1"/>
  <c r="L52" i="37" s="1"/>
  <c r="M52" i="37" s="1"/>
  <c r="N52" i="37" s="1"/>
  <c r="O52" i="37" s="1"/>
  <c r="F7" i="37"/>
  <c r="J7" i="37"/>
  <c r="G39" i="43"/>
  <c r="I39" i="43" s="1"/>
  <c r="E39" i="43"/>
  <c r="G38" i="43"/>
  <c r="I38" i="43" s="1"/>
  <c r="E38" i="43"/>
  <c r="E40" i="43"/>
  <c r="G40" i="43"/>
  <c r="I40" i="43" s="1"/>
  <c r="E37" i="43"/>
  <c r="G37" i="43"/>
  <c r="I37"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4" i="67"/>
  <c r="C17" i="67"/>
  <c r="C17" i="15"/>
  <c r="G42" i="43" l="1"/>
  <c r="I42" i="43" s="1"/>
  <c r="E42" i="43"/>
  <c r="E41" i="43"/>
  <c r="G41" i="43"/>
  <c r="I41" i="43" s="1"/>
  <c r="E63" i="40"/>
  <c r="D65" i="40"/>
  <c r="C34" i="43"/>
  <c r="E34" i="43" s="1"/>
  <c r="C31" i="43" s="1"/>
  <c r="T7" i="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AA7" i="37"/>
  <c r="R42" i="37" s="1"/>
  <c r="S7" i="37"/>
  <c r="R37" i="36"/>
  <c r="E36" i="36"/>
  <c r="I41" i="36"/>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AB10" i="39"/>
  <c r="U10" i="39"/>
  <c r="C30" i="43"/>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 i="76"/>
  <c r="E65" i="40" l="1"/>
  <c r="F63" i="40"/>
  <c r="I48" i="33"/>
  <c r="I52" i="33" s="1"/>
  <c r="J52" i="33" s="1"/>
  <c r="C19" i="67"/>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46" i="37"/>
  <c r="J46" i="37" s="1"/>
  <c r="I47" i="37"/>
  <c r="J47" i="37" s="1"/>
  <c r="I43" i="35"/>
  <c r="J43" i="35" s="1"/>
  <c r="E2" i="76"/>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F35" i="67"/>
  <c r="F35" i="15"/>
  <c r="M21" i="67"/>
  <c r="B6" i="76"/>
  <c r="M21" i="15"/>
  <c r="G63" i="40" l="1"/>
  <c r="F65" i="40"/>
  <c r="R49" i="33"/>
  <c r="G48" i="33"/>
  <c r="C23" i="67"/>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G69" i="39"/>
  <c r="H67" i="39"/>
  <c r="E47" i="37"/>
  <c r="F47" i="37" s="1"/>
  <c r="E46" i="37"/>
  <c r="F46" i="37" s="1"/>
  <c r="G46" i="37"/>
  <c r="H46" i="37" s="1"/>
  <c r="G47" i="37"/>
  <c r="H47" i="37" s="1"/>
  <c r="C43" i="37"/>
  <c r="C42" i="37"/>
  <c r="B2" i="76"/>
  <c r="B3" i="76" s="1"/>
  <c r="B3" i="43"/>
  <c r="E48" i="33"/>
  <c r="C31" i="68"/>
  <c r="C31" i="69"/>
  <c r="C31" i="11"/>
  <c r="O37" i="43"/>
  <c r="M37" i="43"/>
  <c r="N37" i="43"/>
  <c r="P37" i="43"/>
  <c r="Q37" i="43"/>
  <c r="G65" i="40" l="1"/>
  <c r="H63" i="40"/>
  <c r="C49" i="33"/>
  <c r="Q49" i="67"/>
  <c r="G53" i="33"/>
  <c r="H53" i="33" s="1"/>
  <c r="G52" i="33"/>
  <c r="H52" i="33" s="1"/>
  <c r="C57" i="67"/>
  <c r="C64" i="67" s="1"/>
  <c r="J14" i="67"/>
  <c r="J13" i="67" s="1"/>
  <c r="J23" i="67" s="1"/>
  <c r="C36" i="67"/>
  <c r="J59" i="67"/>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H69" i="39"/>
  <c r="I67" i="39"/>
  <c r="Q70" i="67"/>
  <c r="C37" i="67"/>
  <c r="C48" i="33"/>
  <c r="M45" i="33" s="1"/>
  <c r="E52" i="33"/>
  <c r="F52" i="33" s="1"/>
  <c r="E53" i="33"/>
  <c r="F53" i="33" s="1"/>
  <c r="I53" i="33"/>
  <c r="J53" i="33" s="1"/>
  <c r="C52" i="69"/>
  <c r="B2" i="69" s="1"/>
  <c r="B3" i="69" s="1"/>
  <c r="C56" i="67"/>
  <c r="C65" i="67" s="1"/>
  <c r="I63" i="40" l="1"/>
  <c r="H65" i="40"/>
  <c r="E10" i="74"/>
  <c r="B10" i="74" s="1"/>
  <c r="N44" i="33"/>
  <c r="C58" i="67"/>
  <c r="C67" i="67" s="1"/>
  <c r="C68" i="67" s="1"/>
  <c r="C71" i="67" s="1"/>
  <c r="C30" i="67"/>
  <c r="C39" i="67" s="1"/>
  <c r="C80" i="67" s="1"/>
  <c r="C79" i="67" s="1"/>
  <c r="J22" i="67"/>
  <c r="J16" i="67" s="1"/>
  <c r="J25" i="67" s="1"/>
  <c r="L46" i="67"/>
  <c r="C23" i="15"/>
  <c r="C29" i="15" s="1"/>
  <c r="C49" i="68"/>
  <c r="C51" i="68" s="1"/>
  <c r="C52" i="68" s="1"/>
  <c r="B2" i="68" s="1"/>
  <c r="B3" i="68" s="1"/>
  <c r="J67" i="39"/>
  <c r="I69" i="39"/>
  <c r="C56" i="11"/>
  <c r="C57" i="11" s="1"/>
  <c r="C57" i="69"/>
  <c r="C56" i="69" s="1"/>
  <c r="L51" i="67"/>
  <c r="J63" i="40" l="1"/>
  <c r="I65" i="40"/>
  <c r="B11" i="74"/>
  <c r="Q69" i="67"/>
  <c r="Q68" i="67" s="1"/>
  <c r="C40" i="67"/>
  <c r="D2" i="67" s="1"/>
  <c r="B2" i="67" s="1"/>
  <c r="C57" i="68"/>
  <c r="C56" i="68" s="1"/>
  <c r="C13" i="15"/>
  <c r="C57" i="15"/>
  <c r="C64" i="15" s="1"/>
  <c r="Q49" i="15"/>
  <c r="J59" i="15"/>
  <c r="J60" i="15" s="1"/>
  <c r="J14" i="15"/>
  <c r="C36" i="15"/>
  <c r="J69" i="39"/>
  <c r="K67" i="39"/>
  <c r="L57" i="67"/>
  <c r="L60" i="67" s="1"/>
  <c r="Q57" i="67" s="1"/>
  <c r="Q67" i="67"/>
  <c r="J65" i="40" l="1"/>
  <c r="K63" i="40"/>
  <c r="Q56" i="67"/>
  <c r="Q62" i="67" s="1"/>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K69" i="39"/>
  <c r="L67" i="39"/>
  <c r="Q66" i="67"/>
  <c r="L51" i="15"/>
  <c r="K65" i="40" l="1"/>
  <c r="L63" i="40"/>
  <c r="Q75" i="67"/>
  <c r="Q67" i="15"/>
  <c r="L57" i="15"/>
  <c r="L60" i="15" s="1"/>
  <c r="C71" i="15"/>
  <c r="C40" i="15"/>
  <c r="C46" i="15" s="1"/>
  <c r="Q69" i="15"/>
  <c r="Q68" i="15" s="1"/>
  <c r="C80" i="15"/>
  <c r="C79" i="15" s="1"/>
  <c r="J16" i="15"/>
  <c r="J25" i="15" s="1"/>
  <c r="L69" i="39"/>
  <c r="M67" i="39"/>
  <c r="L65" i="40" l="1"/>
  <c r="M63" i="40"/>
  <c r="Q47" i="15"/>
  <c r="Q53" i="15" s="1"/>
  <c r="Q65" i="15"/>
  <c r="C43" i="15"/>
  <c r="C83" i="15"/>
  <c r="C82" i="15" s="1"/>
  <c r="B2" i="15"/>
  <c r="B3" i="15" s="1"/>
  <c r="Q56" i="15"/>
  <c r="Q57" i="15"/>
  <c r="Q66" i="15"/>
  <c r="M69" i="39"/>
  <c r="N67" i="39"/>
  <c r="N63" i="40" l="1"/>
  <c r="M65" i="40"/>
  <c r="Q62" i="15"/>
  <c r="Q75" i="15"/>
  <c r="O67" i="39"/>
  <c r="O69" i="39" s="1"/>
  <c r="N69" i="39"/>
  <c r="H7" i="40" l="1"/>
  <c r="J7" i="40"/>
  <c r="O63" i="40"/>
  <c r="O65" i="40" s="1"/>
  <c r="N65" i="40"/>
  <c r="F7" i="40" s="1"/>
  <c r="F7" i="39"/>
  <c r="H7" i="39"/>
  <c r="J7" i="39"/>
  <c r="AA7" i="40" l="1"/>
  <c r="R42" i="40" s="1"/>
  <c r="S7" i="40"/>
  <c r="AC7" i="40"/>
  <c r="V42" i="40" s="1"/>
  <c r="I42" i="40" s="1"/>
  <c r="I46" i="40" s="1"/>
  <c r="J46" i="40" s="1"/>
  <c r="W7" i="40"/>
  <c r="AB7" i="40"/>
  <c r="T42" i="40" s="1"/>
  <c r="G42" i="40" s="1"/>
  <c r="U7" i="40"/>
  <c r="U7" i="39"/>
  <c r="AB7" i="39"/>
  <c r="G47" i="39" s="1"/>
  <c r="AA7" i="39"/>
  <c r="S7" i="39"/>
  <c r="W7" i="39"/>
  <c r="AC7" i="39"/>
  <c r="I47" i="39" s="1"/>
  <c r="G47" i="40" l="1"/>
  <c r="H47" i="40" s="1"/>
  <c r="G46" i="40"/>
  <c r="H46" i="40" s="1"/>
  <c r="R43" i="40"/>
  <c r="E42" i="40"/>
  <c r="E47" i="39"/>
  <c r="R48" i="39"/>
  <c r="G51" i="39"/>
  <c r="H51" i="39" s="1"/>
  <c r="G52" i="39"/>
  <c r="H52" i="39" s="1"/>
  <c r="I51" i="39"/>
  <c r="J51" i="39" s="1"/>
  <c r="I47" i="40" l="1"/>
  <c r="J47" i="40" s="1"/>
  <c r="E46" i="40"/>
  <c r="F46" i="40" s="1"/>
  <c r="E47" i="40"/>
  <c r="F47" i="40" s="1"/>
  <c r="C42" i="40"/>
  <c r="C43" i="40"/>
  <c r="C48" i="39"/>
  <c r="C47" i="39"/>
  <c r="E51" i="39"/>
  <c r="F51" i="39" s="1"/>
  <c r="E52" i="39"/>
  <c r="F52" i="39" s="1"/>
  <c r="I52" i="39"/>
  <c r="J52" i="39" s="1"/>
  <c r="B54" i="40" l="1"/>
  <c r="F54" i="40" s="1"/>
  <c r="B60" i="40"/>
  <c r="F60" i="40" s="1"/>
  <c r="F61" i="40"/>
  <c r="B2" i="40" s="1"/>
  <c r="B3" i="40" s="1"/>
  <c r="B52" i="40"/>
  <c r="F52" i="40" s="1"/>
  <c r="B57" i="40"/>
  <c r="F57" i="40" s="1"/>
  <c r="B59" i="40"/>
  <c r="F59" i="40" s="1"/>
  <c r="B58" i="40"/>
  <c r="F58" i="40" s="1"/>
  <c r="B53" i="40"/>
  <c r="F53" i="40" s="1"/>
  <c r="B56" i="40"/>
  <c r="F56" i="40" s="1"/>
  <c r="B51" i="40"/>
  <c r="F51" i="40" s="1"/>
  <c r="B60" i="39"/>
  <c r="F60" i="39" s="1"/>
  <c r="B62" i="39"/>
  <c r="F62" i="39" s="1"/>
  <c r="B56" i="39"/>
  <c r="F56" i="39" s="1"/>
  <c r="B64" i="39"/>
  <c r="F64" i="39" s="1"/>
  <c r="B59" i="39"/>
  <c r="F59" i="39" s="1"/>
  <c r="B57" i="39"/>
  <c r="F57" i="39" s="1"/>
  <c r="B61" i="39"/>
  <c r="F61" i="39" s="1"/>
  <c r="B63" i="39"/>
  <c r="F63" i="39" s="1"/>
  <c r="B58" i="39"/>
  <c r="F58" i="39" s="1"/>
  <c r="F65" i="39" l="1"/>
  <c r="B2" i="39" s="1"/>
  <c r="B3" i="39" s="1"/>
  <c r="B21" i="72"/>
  <c r="D7" i="53"/>
  <c r="D9" i="52"/>
  <c r="D123" i="9"/>
  <c r="B30" i="72"/>
  <c r="E97" i="9"/>
  <c r="E96" i="9"/>
  <c r="C96" i="9"/>
  <c r="C81" i="9"/>
  <c r="B31" i="72"/>
  <c r="D15" i="53"/>
  <c r="C85" i="9"/>
  <c r="C95" i="9"/>
  <c r="C97" i="9"/>
  <c r="D58" i="9"/>
  <c r="D56" i="9"/>
  <c r="M54" i="9"/>
  <c r="B53" i="72"/>
  <c r="F5" i="52"/>
  <c r="F119" i="9"/>
  <c r="P57" i="9"/>
  <c r="N58" i="9"/>
  <c r="B47" i="72"/>
  <c r="D4" i="52"/>
  <c r="G4" i="52"/>
  <c r="B52" i="72"/>
  <c r="C68" i="9"/>
  <c r="D54" i="9"/>
  <c r="C64" i="9"/>
  <c r="C63" i="9"/>
  <c r="C67" i="9"/>
  <c r="D59" i="9"/>
  <c r="M55" i="9"/>
  <c r="M48" i="9"/>
  <c r="C73" i="9"/>
  <c r="C78" i="9"/>
  <c r="B22" i="72"/>
  <c r="D6" i="53"/>
  <c r="E81" i="9"/>
  <c r="C72" i="9"/>
  <c r="C79" i="9"/>
  <c r="C80" i="9"/>
  <c r="E80" i="9"/>
  <c r="D53" i="9"/>
  <c r="D52" i="9"/>
  <c r="D118" i="9"/>
  <c r="D119" i="9"/>
  <c r="D5" i="52"/>
  <c r="B49" i="72"/>
  <c r="B51" i="72"/>
  <c r="G118" i="9"/>
  <c r="F118" i="9"/>
  <c r="F4" i="52"/>
  <c r="H4" i="52"/>
  <c r="C104" i="9"/>
  <c r="N61" i="9"/>
  <c r="D55" i="9"/>
  <c r="M53" i="9"/>
  <c r="N57" i="9"/>
  <c r="N59" i="9"/>
  <c r="N60" i="9"/>
  <c r="D13" i="53"/>
  <c r="D14" i="53"/>
  <c r="B32" i="72"/>
  <c r="C105" i="9"/>
  <c r="I4" i="52"/>
  <c r="H102" i="9"/>
  <c r="C5" i="74"/>
  <c r="D122" i="9"/>
  <c r="D8" i="52"/>
  <c r="D5" i="53"/>
  <c r="B20" i="72"/>
  <c r="H119" i="9"/>
  <c r="H5" i="52"/>
  <c r="D45" i="9"/>
  <c r="C93" i="9"/>
  <c r="C86" i="9"/>
  <c r="E118" i="9"/>
  <c r="E4" i="52"/>
  <c r="B48" i="7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88BB5C3-D5A3-4C8A-8E9B-C4C3603EC8F6}">
      <text>
        <r>
          <rPr>
            <b/>
            <sz val="9"/>
            <color indexed="81"/>
            <rFont val="宋体"/>
            <family val="3"/>
            <charset val="134"/>
          </rPr>
          <t>权重验证</t>
        </r>
        <r>
          <rPr>
            <sz val="9"/>
            <color indexed="81"/>
            <rFont val="宋体"/>
            <family val="3"/>
            <charset val="134"/>
          </rPr>
          <t xml:space="preserve">
</t>
        </r>
      </text>
    </comment>
    <comment ref="C58" authorId="1" shapeId="0" xr:uid="{25E591B9-D30A-4D68-92BB-EA4C6D0D0015}">
      <text>
        <r>
          <rPr>
            <b/>
            <sz val="12"/>
            <color indexed="81"/>
            <rFont val="宋体"/>
            <family val="3"/>
            <charset val="134"/>
          </rPr>
          <t>价值时点所在月度</t>
        </r>
        <r>
          <rPr>
            <sz val="12"/>
            <color indexed="81"/>
            <rFont val="宋体"/>
            <family val="3"/>
            <charset val="134"/>
          </rPr>
          <t xml:space="preserve">
</t>
        </r>
      </text>
    </comment>
    <comment ref="B102" authorId="1" shapeId="0" xr:uid="{79A8130B-7AED-43FB-B81C-41B4E235146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<sst xmlns="http://schemas.openxmlformats.org/spreadsheetml/2006/main" count="7685" uniqueCount="3416">
  <si>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</si>
  <si>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</si>
  <si>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</si>
  <si>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</si>
  <si>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</si>
  <si>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</si>
  <si>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</si>
  <si>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</si>
  <si>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</si>
  <si>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</si>
  <si>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</si>
  <si>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</si>
  <si>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</si>
  <si>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</si>
  <si>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</si>
  <si>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</si>
  <si>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</si>
  <si>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</si>
  <si>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</si>
  <si>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</si>
  <si>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</si>
  <si>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</si>
  <si>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</si>
  <si>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</si>
  <si>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</si>
  <si>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</si>
  <si>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</si>
  <si>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</si>
  <si>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</si>
  <si>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</si>
  <si>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</si>
  <si>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</si>
  <si>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</si>
  <si>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</si>
  <si>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</si>
  <si>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</si>
  <si>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</si>
  <si>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</si>
  <si>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</si>
  <si>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</si>
  <si>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</si>
  <si>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</si>
  <si>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</si>
  <si>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</si>
  <si>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</si>
  <si>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</si>
  <si>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</si>
  <si>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</si>
  <si>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</si>
  <si>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</si>
  <si>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</si>
  <si>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</si>
  <si>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</si>
  <si>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</si>
  <si>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</si>
  <si>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</si>
  <si>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</si>
  <si>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</si>
  <si>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</si>
  <si>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</si>
  <si>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</si>
  <si>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</si>
  <si>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</si>
  <si>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</si>
  <si>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</si>
  <si>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</si>
  <si>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</si>
  <si>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</si>
  <si>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</si>
  <si>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</si>
  <si>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</si>
  <si>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</si>
  <si>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</si>
  <si>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</si>
  <si>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</si>
  <si>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</si>
  <si>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</si>
  <si>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</si>
  <si>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</si>
  <si>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</si>
  <si>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</si>
  <si>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</si>
  <si>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</si>
  <si>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</si>
  <si>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</si>
  <si>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</si>
  <si>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</si>
  <si>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</si>
  <si>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</si>
  <si>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</si>
  <si>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</si>
  <si>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</si>
  <si>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</si>
  <si>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</si>
  <si>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</si>
  <si>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</si>
  <si>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</si>
  <si>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</si>
  <si>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</si>
  <si>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</si>
  <si>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</si>
  <si>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</si>
  <si>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</si>
  <si>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</si>
  <si>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</si>
  <si>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</si>
  <si>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</si>
  <si>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</si>
  <si>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</si>
  <si>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</si>
  <si>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</si>
  <si>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</si>
  <si>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</si>
  <si>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</si>
  <si>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</si>
  <si>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</si>
  <si>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</si>
  <si>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</si>
  <si>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</si>
  <si>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</si>
  <si>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</si>
  <si>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</si>
  <si>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</si>
  <si>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</si>
  <si>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</si>
  <si>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</si>
  <si>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</si>
  <si>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</si>
  <si>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</si>
  <si>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</si>
  <si>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</si>
  <si>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</si>
  <si>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</si>
  <si>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</si>
  <si>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</si>
  <si>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</si>
  <si>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</si>
  <si>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</si>
  <si>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</si>
  <si>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</si>
  <si>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</si>
  <si>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</si>
  <si>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</si>
  <si>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</si>
  <si>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</si>
  <si>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</si>
  <si>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</si>
  <si>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</si>
  <si>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</si>
  <si>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</si>
  <si>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</si>
  <si>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</si>
  <si>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</si>
  <si>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</si>
  <si>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</si>
  <si>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</si>
  <si>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</si>
  <si>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</si>
  <si>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</si>
  <si>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</si>
  <si>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</si>
  <si>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</si>
  <si>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</si>
  <si>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</si>
  <si>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</si>
  <si>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</si>
  <si>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</si>
  <si>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</si>
  <si>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</si>
  <si>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</si>
  <si>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</si>
  <si>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</si>
  <si>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</si>
  <si>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</si>
  <si>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</si>
  <si>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</si>
  <si>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</si>
  <si>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</si>
  <si>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</si>
  <si>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</si>
  <si>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</si>
  <si>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</si>
  <si>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</si>
  <si>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</si>
  <si>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</si>
  <si>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</si>
  <si>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</si>
  <si>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</si>
  <si>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</si>
  <si>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</si>
  <si>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</si>
  <si>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</si>
  <si>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</si>
  <si>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</si>
  <si>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</si>
  <si>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</si>
  <si>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</si>
  <si>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</si>
  <si>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</si>
  <si>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</si>
  <si>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</si>
  <si>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</si>
  <si>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</si>
  <si>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</si>
  <si>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</si>
  <si>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</si>
  <si>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</si>
  <si>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</si>
  <si>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</si>
  <si>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</si>
  <si>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</si>
  <si>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</si>
  <si>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</si>
  <si>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</si>
  <si>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</si>
  <si>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</si>
  <si>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</si>
  <si>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</si>
  <si>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</si>
  <si>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</si>
  <si>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</si>
  <si>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</si>
  <si>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</si>
  <si>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</si>
  <si>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</si>
  <si>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</si>
  <si>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</si>
  <si>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</si>
  <si>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</si>
  <si>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</si>
  <si>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</si>
  <si>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</si>
  <si>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</si>
  <si>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</si>
  <si>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</si>
  <si>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</si>
  <si>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</si>
  <si>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</si>
  <si>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</si>
  <si>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</si>
  <si>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</si>
  <si>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</si>
  <si>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</si>
  <si>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</si>
  <si>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</si>
  <si>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</si>
  <si>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</si>
  <si>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</si>
  <si>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</si>
  <si>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</si>
  <si>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</si>
  <si>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</si>
  <si>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</si>
  <si>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</si>
  <si>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</si>
  <si>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</si>
  <si>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</si>
  <si>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</si>
  <si>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</si>
  <si>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</si>
  <si>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</si>
  <si>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</si>
  <si>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</si>
  <si>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</si>
  <si>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</si>
  <si>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</si>
  <si>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</si>
  <si>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</si>
  <si>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</si>
  <si>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</si>
  <si>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</si>
  <si>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</si>
  <si>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</si>
  <si>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</si>
  <si>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</si>
  <si>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</si>
  <si>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</si>
  <si>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</si>
  <si>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</si>
  <si>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</si>
  <si>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</si>
  <si>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</si>
  <si>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</si>
  <si>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</si>
  <si>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</si>
  <si>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</si>
  <si>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</si>
  <si>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</si>
  <si>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</si>
  <si>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</si>
  <si>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</si>
  <si>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</si>
  <si>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</si>
  <si>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</si>
  <si>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</si>
  <si>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</si>
  <si>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</si>
  <si>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</si>
  <si>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</si>
  <si>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</si>
  <si>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</si>
  <si>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</si>
  <si>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</si>
  <si>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</si>
  <si>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</si>
  <si>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</si>
  <si>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</si>
  <si>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</si>
  <si>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</si>
  <si>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</si>
  <si>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</si>
  <si>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</si>
  <si>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</si>
  <si>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</si>
  <si>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</si>
  <si>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</si>
  <si>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</si>
  <si>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</si>
  <si>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</si>
  <si>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</si>
  <si>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</si>
  <si>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</si>
  <si>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</si>
  <si>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</si>
  <si>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</si>
  <si>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</si>
  <si>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</si>
  <si>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</si>
  <si>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</si>
  <si>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</si>
  <si>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</si>
  <si>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</si>
  <si>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</si>
  <si>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</si>
  <si>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</si>
  <si>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</si>
  <si>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</si>
  <si>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</si>
  <si>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</si>
  <si>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</si>
  <si>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</si>
  <si>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</si>
  <si>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</si>
  <si>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</si>
  <si>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</si>
  <si>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</si>
  <si>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</si>
  <si>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</si>
  <si>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</si>
  <si>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</si>
  <si>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</si>
  <si>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</si>
  <si>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</si>
  <si>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</si>
  <si>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</si>
  <si>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</si>
  <si>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</si>
  <si>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</si>
  <si>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</si>
  <si>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</si>
  <si>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</si>
  <si>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</si>
  <si>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</si>
  <si>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</si>
  <si>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</si>
  <si>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</si>
  <si>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</si>
  <si>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</si>
  <si>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</si>
  <si>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</si>
  <si>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</si>
  <si>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</si>
  <si>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</si>
  <si>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</si>
  <si>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</si>
  <si>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</si>
  <si>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</si>
  <si>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</si>
  <si>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</si>
  <si>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</si>
  <si>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</si>
  <si>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</si>
  <si>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</si>
  <si>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</si>
  <si>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</si>
  <si>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</si>
  <si>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</si>
  <si>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</si>
  <si>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</si>
  <si>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</si>
  <si>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</si>
  <si>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</si>
  <si>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</si>
  <si>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</si>
  <si>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</si>
  <si>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</si>
  <si>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</si>
  <si>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</si>
  <si>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</si>
  <si>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</si>
  <si>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</si>
  <si>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</si>
  <si>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</si>
  <si>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</si>
  <si>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</si>
  <si>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</si>
  <si>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</si>
  <si>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</si>
  <si>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</si>
  <si>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</si>
  <si>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</si>
  <si>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</si>
  <si>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</si>
  <si>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</si>
  <si>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</si>
  <si>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</si>
  <si>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</si>
  <si>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</si>
  <si>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</si>
  <si>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</si>
  <si>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</si>
  <si>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</si>
  <si>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</si>
  <si>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</si>
  <si>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</si>
  <si>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</si>
  <si>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</si>
  <si>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</si>
  <si>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</si>
  <si>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</si>
  <si>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</si>
  <si>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</si>
  <si>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</si>
  <si>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</si>
  <si>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</si>
  <si>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</si>
  <si>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</si>
  <si>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</si>
  <si>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</si>
  <si>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</si>
  <si>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</si>
  <si>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</si>
  <si>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</si>
  <si>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</si>
  <si>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</si>
  <si>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</si>
  <si>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</si>
  <si>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</si>
  <si>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</si>
  <si>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</si>
  <si>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</si>
  <si>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</si>
  <si>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</si>
  <si>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</si>
  <si>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</si>
  <si>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</si>
  <si>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</si>
  <si>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</si>
  <si>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</si>
  <si>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</si>
  <si>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</si>
  <si>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</si>
  <si>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</si>
  <si>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</si>
  <si>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</si>
  <si>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</si>
  <si>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</si>
  <si>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</si>
  <si>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</si>
  <si>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</si>
  <si>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</si>
  <si>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</si>
  <si>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</si>
  <si>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</si>
  <si>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</si>
  <si>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</si>
  <si>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</si>
  <si>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</si>
  <si>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</si>
  <si>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</si>
  <si>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</si>
  <si>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</si>
  <si>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</si>
  <si>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</si>
  <si>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</si>
  <si>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</si>
  <si>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</si>
  <si>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</si>
  <si>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</si>
  <si>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</si>
  <si>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</si>
  <si>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</si>
  <si>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</si>
  <si>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</si>
  <si>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</si>
  <si>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</si>
  <si>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</si>
  <si>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</si>
  <si>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</si>
  <si>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</si>
  <si>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</si>
  <si>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</si>
  <si>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</si>
  <si>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</si>
  <si>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</si>
  <si>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</si>
  <si>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</si>
  <si>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</si>
  <si>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</si>
  <si>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</si>
  <si>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</si>
  <si>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</si>
  <si>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</si>
  <si>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</si>
  <si>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</si>
  <si>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</si>
  <si>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</si>
  <si>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</si>
  <si>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</si>
  <si>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</si>
  <si>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</si>
  <si>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</si>
  <si>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</si>
  <si>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</si>
  <si>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</si>
  <si>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</si>
  <si>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</si>
  <si>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</si>
  <si>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</si>
  <si>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</si>
  <si>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</si>
  <si>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</si>
  <si>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</si>
  <si>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</si>
  <si>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</si>
  <si>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</si>
  <si>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</si>
  <si>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</si>
  <si>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</si>
  <si>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</si>
  <si>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</si>
  <si>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</si>
  <si>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</si>
  <si>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</si>
  <si>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</si>
  <si>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</si>
  <si>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</si>
  <si>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</si>
  <si>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</si>
  <si>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</si>
  <si>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</si>
  <si>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</si>
  <si>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</si>
  <si>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</si>
  <si>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</si>
  <si>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</si>
  <si>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</si>
  <si>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</si>
  <si>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</si>
  <si>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</si>
  <si>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</si>
  <si>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</si>
  <si>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</si>
  <si>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</si>
  <si>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</si>
  <si>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</si>
  <si>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</si>
  <si>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</si>
  <si>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</si>
  <si>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</si>
  <si>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</si>
  <si>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</si>
  <si>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</si>
  <si>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</si>
  <si>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</si>
  <si>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</si>
  <si>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</si>
  <si>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</si>
  <si>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</si>
  <si>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</si>
  <si>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</si>
  <si>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</si>
  <si>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</si>
  <si>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</si>
  <si>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</si>
  <si>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</si>
  <si>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</si>
  <si>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</si>
  <si>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</si>
  <si>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</si>
  <si>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</si>
  <si>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</si>
  <si>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</si>
  <si>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</si>
  <si>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</si>
  <si>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</si>
  <si>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</si>
  <si>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</si>
  <si>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</si>
  <si>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</si>
  <si>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</si>
  <si>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</si>
  <si>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</si>
  <si>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</si>
  <si>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</si>
  <si>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</si>
  <si>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</si>
  <si>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</si>
  <si>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</si>
  <si>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</si>
  <si>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</si>
  <si>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</si>
  <si>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</si>
  <si>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</si>
  <si>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</si>
  <si>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</si>
  <si>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</si>
  <si>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</si>
  <si>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</si>
  <si>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</si>
  <si>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</si>
  <si>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</si>
  <si>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</si>
  <si>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</si>
  <si>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</si>
  <si>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</si>
  <si>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</si>
  <si>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</si>
  <si>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</si>
  <si>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</si>
  <si>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</si>
  <si>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</si>
  <si>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</si>
  <si>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</si>
  <si>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</si>
  <si>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</si>
  <si>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</si>
  <si>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</si>
  <si>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</si>
  <si>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</si>
  <si>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</si>
  <si>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</si>
  <si>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</si>
  <si>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</si>
  <si>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</si>
  <si>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</si>
  <si>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</si>
  <si>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</si>
  <si>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</si>
  <si>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</si>
  <si>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</si>
  <si>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</si>
  <si>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</si>
  <si>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</si>
  <si>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</si>
  <si>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</si>
  <si>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</si>
  <si>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</si>
  <si>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</si>
  <si>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</si>
  <si>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</si>
  <si>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</si>
  <si>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</si>
  <si>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</si>
  <si>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</si>
  <si>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</si>
  <si>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</si>
  <si>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</si>
  <si>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</si>
  <si>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</si>
  <si>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</si>
  <si>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</si>
  <si>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</si>
  <si>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</si>
  <si>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</si>
  <si>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</si>
  <si>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</si>
  <si>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</si>
  <si>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</si>
  <si>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</si>
  <si>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</si>
  <si>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</si>
  <si>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</si>
  <si>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</si>
  <si>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</si>
  <si>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</si>
  <si>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</si>
  <si>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</si>
  <si>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</si>
  <si>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</si>
  <si>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</si>
  <si>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</si>
  <si>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</si>
  <si>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</si>
  <si>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</si>
  <si>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</si>
  <si>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</si>
  <si>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</si>
  <si>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</si>
  <si>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</si>
  <si>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</si>
  <si>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</si>
  <si>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</si>
  <si>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</si>
  <si>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</si>
  <si>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</si>
  <si>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</si>
  <si>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</si>
  <si>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</si>
  <si>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</si>
  <si>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</si>
  <si>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</si>
  <si>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</si>
  <si>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</si>
  <si>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</si>
  <si>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</si>
  <si>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</si>
  <si>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</si>
  <si>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</si>
  <si>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</si>
  <si>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</si>
  <si>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</si>
  <si>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</si>
  <si>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</si>
  <si>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</si>
  <si>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</si>
  <si>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</si>
  <si>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</si>
  <si>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</si>
  <si>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</si>
  <si>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</si>
  <si>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</si>
  <si>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</si>
  <si>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</si>
  <si>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</si>
  <si>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</si>
  <si>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</si>
  <si>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</si>
  <si>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</si>
  <si>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</si>
  <si>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</si>
  <si>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</si>
  <si>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</si>
  <si>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</si>
  <si>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</si>
  <si>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</si>
  <si>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</si>
  <si>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</si>
  <si>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</si>
  <si>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</si>
  <si>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</si>
  <si>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</si>
  <si>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</si>
  <si>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</si>
  <si>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</si>
  <si>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</si>
  <si>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</si>
  <si>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</si>
  <si>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</si>
  <si>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</si>
  <si>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</si>
  <si>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</si>
  <si>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</si>
  <si>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</si>
  <si>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</si>
  <si>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</si>
  <si>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</si>
  <si>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</si>
  <si>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</si>
  <si>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</si>
  <si>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</si>
  <si>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</si>
  <si>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</si>
  <si>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</si>
  <si>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</si>
  <si>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</si>
  <si>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</si>
  <si>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</si>
  <si>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</si>
  <si>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</si>
  <si>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</si>
  <si>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</si>
  <si>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</si>
  <si>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</si>
  <si>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</si>
  <si>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</si>
  <si>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</si>
  <si>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</si>
  <si>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</si>
  <si>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</si>
  <si>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</si>
  <si>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</si>
  <si>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</si>
  <si>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</si>
  <si>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</si>
  <si>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</si>
  <si>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</si>
  <si>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</si>
  <si>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</si>
  <si>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</si>
  <si>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</si>
  <si>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</si>
  <si>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</si>
  <si>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</si>
  <si>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</si>
  <si>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</si>
  <si>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</si>
  <si>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</si>
  <si>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</si>
  <si>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</si>
  <si>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</si>
  <si>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</si>
  <si>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</si>
  <si>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</si>
  <si>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</si>
  <si>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</si>
  <si>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</si>
  <si>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</si>
  <si>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</si>
  <si>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</si>
  <si>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</si>
  <si>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</si>
  <si>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</si>
  <si>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</si>
  <si>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</si>
  <si>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</si>
  <si>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</si>
  <si>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</si>
  <si>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</si>
  <si>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</si>
  <si>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</si>
  <si>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</si>
  <si>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</si>
  <si>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</si>
  <si>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</si>
  <si>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</si>
  <si>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</si>
  <si>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</si>
  <si>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</si>
  <si>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</si>
  <si>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</si>
  <si>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</si>
  <si>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</si>
  <si>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</si>
  <si>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</si>
  <si>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</si>
  <si>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</si>
  <si>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</si>
  <si>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</si>
  <si>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</si>
  <si>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</si>
  <si>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</si>
  <si>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</si>
  <si>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</si>
  <si>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</si>
  <si>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</si>
  <si>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</si>
  <si>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</si>
  <si>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</si>
  <si>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</si>
  <si>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</si>
  <si>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</si>
  <si>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</si>
  <si>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</si>
  <si>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</si>
  <si>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</si>
  <si>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</si>
  <si>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</si>
  <si>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</si>
  <si>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</si>
  <si>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</si>
  <si>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</si>
  <si>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</si>
  <si>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</si>
  <si>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</si>
  <si>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</si>
  <si>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</si>
  <si>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</si>
  <si>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</si>
  <si>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</si>
  <si>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</si>
  <si>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</si>
  <si>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</si>
  <si>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</si>
  <si>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</si>
  <si>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</si>
  <si>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</si>
  <si>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</si>
  <si>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</si>
  <si>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</si>
  <si>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</si>
  <si>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</si>
  <si>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</si>
  <si>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</si>
  <si>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</si>
  <si>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</si>
  <si>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</si>
  <si>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</si>
  <si>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</si>
  <si>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</si>
  <si>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</si>
  <si>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</si>
  <si>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</si>
  <si>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</si>
  <si>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</si>
  <si>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</si>
  <si>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</si>
  <si>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</si>
  <si>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</si>
  <si>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</si>
  <si>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</si>
  <si>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</si>
  <si>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</si>
  <si>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</si>
  <si>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</si>
  <si>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</si>
  <si>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</si>
  <si>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</si>
  <si>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</si>
  <si>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</si>
  <si>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</si>
  <si>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</si>
  <si>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</si>
  <si>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</si>
  <si>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</si>
  <si>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</si>
  <si>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</si>
  <si>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</si>
  <si>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</si>
  <si>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</si>
  <si>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</si>
  <si>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</si>
  <si>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</si>
  <si>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</si>
  <si>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</si>
  <si>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</si>
  <si>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</si>
  <si>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</si>
  <si>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</si>
  <si>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</si>
  <si>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</si>
  <si>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</si>
  <si>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</si>
  <si>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</si>
  <si>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</si>
  <si>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</si>
  <si>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</si>
  <si>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</si>
  <si>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</si>
  <si>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</si>
  <si>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</si>
  <si>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</si>
  <si>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</si>
  <si>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</si>
  <si>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</si>
  <si>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</si>
  <si>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</si>
  <si>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</si>
  <si>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</si>
  <si>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</si>
  <si>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</si>
  <si>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</si>
  <si>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</si>
  <si>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</si>
  <si>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</si>
  <si>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</si>
  <si>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</si>
  <si>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</si>
  <si>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</si>
  <si>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</si>
  <si>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</si>
  <si>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</si>
  <si>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</si>
  <si>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</si>
  <si>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</si>
  <si>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</si>
  <si>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</si>
  <si>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</si>
  <si>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</si>
  <si>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</si>
  <si>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</si>
  <si>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</si>
  <si>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</si>
  <si>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</si>
  <si>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</si>
  <si>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</si>
  <si>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</si>
  <si>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</si>
  <si>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</si>
  <si>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</si>
  <si>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</si>
  <si>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</si>
  <si>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</si>
  <si>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</si>
  <si>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</si>
  <si>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</si>
  <si>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</si>
  <si>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</si>
  <si>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</si>
  <si>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</si>
  <si>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</si>
  <si>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</si>
  <si>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</si>
  <si>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</si>
  <si>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</si>
  <si>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</si>
  <si>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</si>
  <si>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</si>
  <si>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</si>
  <si>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</si>
  <si>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</si>
  <si>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</si>
  <si>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</si>
  <si>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</si>
  <si>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</si>
  <si>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</si>
  <si>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</si>
  <si>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</si>
  <si>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</si>
  <si>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</si>
  <si>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</si>
  <si>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</si>
  <si>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</si>
  <si>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</si>
  <si>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</si>
  <si>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</si>
  <si>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</si>
  <si>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</si>
  <si>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</si>
  <si>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</si>
  <si>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</si>
  <si>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</si>
  <si>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</si>
  <si>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</si>
  <si>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</si>
  <si>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</si>
  <si>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</si>
  <si>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</si>
  <si>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</si>
  <si>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</si>
  <si>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</si>
  <si>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</si>
  <si>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</si>
  <si>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</si>
  <si>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</si>
  <si>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</si>
  <si>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</si>
  <si>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</si>
  <si>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</si>
  <si>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</si>
  <si>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</si>
  <si>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</si>
  <si>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</si>
  <si>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</si>
  <si>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</si>
  <si>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</si>
  <si>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</si>
  <si>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</si>
  <si>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</si>
  <si>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</si>
  <si>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</si>
  <si>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</si>
  <si>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</si>
  <si>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</si>
  <si>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</si>
  <si>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</si>
  <si>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</si>
  <si>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</si>
  <si>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</si>
  <si>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</si>
  <si>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</si>
  <si>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</si>
  <si>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</si>
  <si>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</si>
  <si>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</si>
  <si>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</si>
  <si>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</si>
  <si>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</si>
  <si>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</si>
  <si>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</si>
  <si>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</si>
  <si>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</si>
  <si>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</si>
  <si>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</si>
  <si>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</si>
  <si>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</si>
  <si>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</si>
  <si>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</si>
  <si>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</si>
  <si>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</si>
  <si>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</si>
  <si>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</si>
  <si>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</si>
  <si>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</si>
  <si>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</si>
  <si>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</si>
  <si>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</si>
  <si>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</si>
  <si>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</si>
  <si>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</si>
  <si>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</si>
  <si>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</si>
  <si>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</si>
  <si>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</si>
  <si>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</si>
  <si>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</si>
  <si>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</si>
  <si>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</si>
  <si>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</si>
  <si>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</si>
  <si>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</si>
  <si>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</si>
  <si>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</si>
  <si>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</si>
  <si>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</si>
  <si>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</si>
  <si>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</si>
  <si>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</si>
  <si>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</si>
  <si>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</si>
  <si>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</si>
  <si>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</si>
  <si>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</si>
  <si>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</si>
  <si>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</si>
  <si>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</si>
  <si>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</si>
  <si>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</si>
  <si>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</si>
  <si>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</si>
  <si>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</si>
  <si>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</si>
  <si>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</si>
  <si>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</si>
  <si>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</si>
  <si>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</si>
  <si>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</si>
  <si>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</si>
  <si>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</si>
  <si>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</si>
  <si>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</si>
  <si>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</si>
  <si>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</si>
  <si>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</si>
  <si>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</si>
  <si>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</si>
  <si>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</si>
  <si>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</si>
  <si>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</si>
  <si>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</si>
  <si>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</si>
  <si>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</si>
  <si>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</si>
  <si>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</si>
  <si>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</si>
  <si>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</si>
  <si>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</si>
  <si>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</si>
  <si>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</si>
  <si>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</si>
  <si>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</si>
  <si>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</si>
  <si>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</si>
  <si>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</si>
  <si>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</si>
  <si>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</si>
  <si>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</si>
  <si>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</si>
  <si>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</si>
  <si>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</si>
  <si>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</si>
  <si>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</si>
  <si>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</si>
  <si>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</si>
  <si>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</si>
  <si>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</si>
  <si>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</si>
  <si>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</si>
  <si>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</si>
  <si>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</si>
  <si>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</si>
  <si>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</si>
  <si>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</si>
  <si>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</si>
  <si>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</si>
  <si>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</si>
  <si>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</si>
  <si>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</si>
  <si>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</si>
  <si>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</si>
  <si>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</si>
  <si>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</si>
  <si>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</si>
  <si>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</si>
  <si>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</si>
  <si>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</si>
  <si>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</si>
  <si>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</si>
  <si>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</si>
  <si>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</si>
  <si>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</si>
  <si>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</si>
  <si>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</si>
  <si>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</si>
  <si>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</si>
  <si>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</si>
  <si>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</si>
  <si>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</si>
  <si>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</si>
  <si>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</si>
  <si>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</si>
  <si>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</si>
  <si>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</si>
  <si>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</si>
  <si>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</si>
  <si>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</si>
  <si>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</si>
  <si>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</si>
  <si>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</si>
  <si>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</si>
  <si>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</si>
  <si>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</si>
  <si>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</si>
  <si>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</si>
  <si>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</si>
  <si>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</si>
  <si>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</si>
  <si>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</si>
  <si>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</si>
  <si>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</si>
  <si>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</si>
  <si>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</si>
  <si>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</si>
  <si>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</si>
  <si>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</si>
  <si>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</si>
  <si>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</si>
  <si>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</si>
  <si>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</si>
  <si>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</si>
  <si>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</si>
  <si>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</si>
  <si>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</si>
  <si>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</si>
  <si>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</si>
  <si>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</si>
  <si>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</si>
  <si>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</si>
  <si>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</si>
  <si>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</si>
  <si>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</si>
  <si>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</si>
  <si>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</si>
  <si>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</si>
  <si>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</si>
  <si>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</si>
  <si>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</si>
  <si>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</si>
  <si>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</si>
  <si>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</si>
  <si>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</si>
  <si>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</si>
  <si>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</si>
  <si>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</si>
  <si>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</si>
  <si>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</si>
  <si>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</si>
  <si>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</si>
  <si>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</si>
  <si>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</si>
  <si>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</si>
  <si>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</si>
  <si>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</si>
  <si>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</si>
  <si>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</si>
  <si>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</si>
  <si>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</si>
  <si>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</si>
  <si>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</si>
  <si>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</si>
  <si>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</si>
  <si>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</si>
  <si>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</si>
  <si>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</si>
  <si>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</si>
  <si>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</si>
  <si>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</si>
  <si>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</si>
  <si>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</si>
  <si>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</si>
  <si>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</si>
  <si>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</si>
  <si>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</si>
  <si>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</si>
  <si>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</si>
  <si>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</si>
  <si>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</si>
  <si>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</si>
  <si>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</si>
  <si>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</si>
  <si>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</si>
  <si>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</si>
  <si>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</si>
  <si>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</si>
  <si>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</si>
  <si>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</si>
  <si>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</si>
  <si>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</si>
  <si>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</si>
  <si>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</si>
  <si>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</si>
  <si>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</si>
  <si>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</si>
  <si>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</si>
  <si>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</si>
  <si>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</si>
  <si>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</si>
  <si>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</si>
  <si>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</si>
  <si>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</si>
  <si>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</si>
  <si>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</si>
  <si>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</si>
  <si>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</si>
  <si>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</si>
  <si>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</si>
  <si>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</si>
  <si>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</si>
  <si>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</si>
  <si>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</si>
  <si>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</si>
  <si>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</si>
  <si>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</si>
  <si>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</si>
  <si>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</si>
  <si>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</si>
  <si>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</si>
  <si>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</si>
  <si>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</si>
  <si>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</si>
  <si>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</si>
  <si>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</si>
  <si>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</si>
  <si>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</si>
  <si>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</si>
  <si>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</si>
  <si>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</si>
  <si>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</si>
  <si>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</si>
  <si>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</si>
  <si>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</si>
  <si>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</si>
  <si>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</si>
  <si>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</si>
  <si>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</si>
  <si>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</si>
  <si>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</si>
  <si>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</si>
  <si>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</si>
  <si>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</si>
  <si>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</si>
  <si>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</si>
  <si>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</si>
  <si>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</si>
  <si>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</si>
  <si>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</si>
  <si>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</si>
  <si>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</si>
  <si>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</si>
  <si>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</si>
  <si>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</si>
  <si>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</si>
  <si>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</si>
  <si>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</si>
  <si>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</si>
  <si>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</si>
  <si>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</si>
  <si>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</si>
  <si>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</si>
  <si>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</si>
  <si>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</si>
  <si>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</si>
  <si>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</si>
  <si>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</si>
  <si>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</si>
  <si>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</si>
  <si>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</si>
  <si>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</si>
  <si>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</si>
  <si>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</si>
  <si>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</si>
  <si>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</si>
  <si>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</si>
  <si>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</si>
  <si>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</si>
  <si>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</si>
  <si>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</si>
  <si>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</si>
  <si>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</si>
  <si>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</si>
  <si>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</si>
  <si>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</si>
  <si>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</si>
  <si>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</si>
  <si>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</si>
  <si>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</si>
  <si>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</si>
  <si>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</si>
  <si>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</si>
  <si>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</si>
  <si>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</si>
  <si>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</si>
  <si>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</si>
  <si>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</si>
  <si>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</si>
  <si>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</si>
  <si>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</si>
  <si>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</si>
  <si>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</si>
  <si>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</si>
  <si>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</si>
  <si>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</si>
  <si>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</si>
  <si>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</si>
  <si>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</si>
  <si>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</si>
  <si>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</si>
  <si>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</si>
  <si>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</si>
  <si>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</si>
  <si>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</si>
  <si>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</si>
  <si>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</si>
  <si>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</si>
  <si>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</si>
  <si>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</si>
  <si>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</si>
  <si>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</si>
  <si>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</si>
  <si>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</si>
  <si>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</si>
  <si>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</si>
  <si>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</si>
  <si>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</si>
  <si>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</si>
  <si>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</si>
  <si>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</si>
  <si>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</si>
  <si>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</si>
  <si>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</si>
  <si>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</si>
  <si>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</si>
  <si>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</si>
  <si>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</si>
  <si>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</si>
  <si>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</si>
  <si>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</si>
  <si>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</si>
  <si>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</si>
  <si>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</si>
  <si>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</si>
  <si>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</si>
  <si>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</si>
  <si>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</si>
  <si>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</si>
  <si>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</si>
  <si>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</si>
  <si>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</si>
  <si>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</si>
  <si>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</si>
  <si>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</si>
  <si>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</si>
  <si>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</si>
  <si>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</si>
  <si>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</si>
  <si>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</si>
  <si>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</si>
  <si>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</si>
  <si>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</si>
  <si>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</si>
  <si>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</si>
  <si>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</si>
  <si>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</si>
  <si>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</si>
  <si>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</si>
  <si>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</si>
  <si>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</si>
  <si>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</si>
  <si>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</si>
  <si>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</si>
  <si>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</si>
  <si>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</si>
  <si>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</si>
  <si>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</si>
  <si>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</si>
  <si>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</si>
  <si>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</si>
  <si>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</si>
  <si>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</si>
  <si>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</si>
  <si>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</si>
  <si>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</si>
  <si>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</si>
  <si>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</si>
  <si>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</si>
  <si>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</si>
  <si>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</si>
  <si>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</si>
  <si>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</si>
  <si>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</si>
  <si>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</si>
  <si>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</si>
  <si>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</si>
  <si>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</si>
  <si>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</si>
  <si>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</si>
  <si>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</si>
  <si>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</si>
  <si>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</si>
  <si>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</si>
  <si>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</si>
  <si>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</si>
  <si>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</si>
  <si>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</si>
  <si>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</si>
  <si>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</si>
  <si>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</si>
  <si>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</si>
  <si>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</si>
  <si>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</si>
  <si>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</si>
  <si>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</si>
  <si>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</si>
  <si>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</si>
  <si>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</si>
  <si>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</si>
  <si>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</si>
  <si>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</si>
  <si>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</si>
  <si>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</si>
  <si>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</si>
  <si>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</si>
  <si>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</si>
  <si>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</si>
  <si>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</si>
  <si>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</si>
  <si>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</si>
  <si>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</si>
  <si>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</si>
  <si>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</si>
  <si>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</si>
  <si>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</si>
  <si>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</si>
  <si>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</si>
  <si>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</si>
  <si>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</si>
  <si>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</si>
  <si>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</si>
  <si>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</si>
  <si>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</si>
  <si>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</si>
  <si>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</si>
  <si>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</si>
  <si>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</si>
  <si>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</si>
  <si>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</si>
  <si>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</si>
  <si>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</si>
  <si>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</si>
  <si>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</si>
  <si>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</si>
  <si>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</si>
  <si>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</si>
  <si>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</si>
  <si>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</si>
  <si>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</si>
  <si>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</si>
  <si>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</si>
  <si>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</si>
  <si>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</si>
  <si>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</si>
  <si>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</si>
  <si>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</si>
  <si>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</si>
  <si>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</si>
  <si>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</si>
  <si>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</si>
  <si>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</si>
  <si>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</si>
  <si>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</si>
  <si>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</si>
  <si>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</si>
  <si>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</si>
  <si>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</si>
  <si>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</si>
  <si>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</si>
  <si>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</si>
  <si>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</si>
  <si>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</si>
  <si>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</si>
  <si>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</si>
  <si>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</si>
  <si>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</si>
  <si>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</si>
  <si>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</si>
  <si>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</si>
  <si>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</si>
  <si>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</si>
  <si>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</si>
  <si>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</si>
  <si>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</si>
  <si>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</si>
  <si>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</si>
  <si>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</si>
  <si>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</si>
  <si>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</si>
  <si>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</si>
  <si>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</si>
  <si>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</si>
  <si>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</si>
  <si>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</si>
  <si>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</si>
  <si>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</si>
  <si>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</si>
  <si>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</si>
  <si>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</si>
  <si>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</si>
  <si>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</si>
  <si>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</si>
  <si>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</si>
  <si>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</si>
  <si>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</si>
  <si>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</si>
  <si>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</si>
  <si>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</si>
  <si>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</si>
  <si>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</si>
  <si>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</si>
  <si>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</si>
  <si>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</si>
  <si>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</si>
  <si>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</si>
  <si>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</si>
  <si>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</si>
  <si>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</si>
  <si>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</si>
  <si>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</si>
  <si>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</si>
  <si>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</si>
  <si>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</si>
  <si>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</si>
  <si>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</si>
  <si>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</si>
  <si>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</si>
  <si>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</si>
  <si>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</si>
  <si>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</si>
  <si>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</si>
  <si>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</si>
  <si>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</si>
  <si>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</si>
  <si>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</si>
  <si>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</si>
  <si>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</si>
  <si>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</si>
  <si>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</si>
  <si>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</si>
  <si>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</si>
  <si>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</si>
  <si>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</si>
  <si>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</si>
  <si>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</si>
  <si>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</si>
  <si>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</si>
  <si>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</si>
  <si>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</si>
  <si>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</si>
  <si>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</si>
  <si>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</si>
  <si>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</si>
  <si>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</si>
  <si>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</si>
  <si>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</si>
  <si>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</si>
  <si>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</si>
  <si>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</si>
  <si>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</si>
  <si>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</si>
  <si>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</si>
  <si>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</si>
  <si>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</si>
  <si>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</si>
  <si>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</si>
  <si>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</si>
  <si>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</si>
  <si>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</si>
  <si>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</si>
  <si>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</si>
  <si>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</si>
  <si>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</si>
  <si>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</si>
  <si>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</si>
  <si>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</si>
  <si>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</si>
  <si>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</si>
  <si>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</si>
  <si>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</si>
  <si>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</si>
  <si>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</si>
  <si>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</si>
  <si>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</si>
  <si>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</si>
  <si>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</si>
  <si>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</si>
  <si>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</si>
  <si>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</si>
  <si>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</si>
  <si>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</si>
  <si>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</si>
  <si>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</si>
  <si>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</si>
  <si>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</si>
  <si>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</si>
  <si>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</si>
  <si>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</si>
  <si>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</si>
  <si>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</si>
  <si>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</si>
  <si>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</si>
  <si>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</si>
  <si>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</si>
  <si>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</si>
  <si>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</si>
  <si>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</si>
  <si>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</si>
  <si>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</si>
  <si>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</si>
  <si>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</si>
  <si>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</si>
  <si>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</si>
  <si>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</si>
  <si>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</si>
  <si>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</si>
  <si>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</si>
  <si>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</si>
  <si>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</si>
  <si>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</si>
  <si>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</si>
  <si>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</si>
  <si>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</si>
  <si>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</si>
  <si>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</si>
  <si>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</si>
  <si>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</si>
  <si>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</si>
  <si>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</si>
  <si>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</si>
  <si>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</si>
  <si>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</si>
  <si>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</si>
  <si>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</si>
  <si>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</si>
  <si>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</si>
  <si>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</si>
  <si>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</si>
  <si>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</si>
  <si>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</si>
  <si>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</si>
  <si>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</si>
  <si>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</si>
  <si>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</si>
  <si>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</si>
  <si>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</si>
  <si>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</si>
  <si>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</si>
  <si>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</si>
  <si>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</si>
  <si>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</si>
  <si>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</si>
  <si>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</si>
  <si>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</si>
  <si>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</si>
  <si>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</si>
  <si>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</si>
  <si>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</si>
  <si>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</si>
  <si>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</si>
  <si>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</si>
  <si>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</si>
  <si>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</si>
  <si>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</si>
  <si>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</si>
  <si>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</si>
  <si>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</si>
  <si>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</si>
  <si>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</si>
  <si>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</si>
  <si>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</si>
  <si>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</si>
  <si>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</si>
  <si>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</si>
  <si>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</si>
  <si>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</si>
  <si>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</si>
  <si>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</si>
  <si>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</si>
  <si>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</si>
  <si>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</si>
  <si>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</si>
  <si>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</si>
  <si>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</si>
  <si>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</si>
  <si>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</si>
  <si>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</si>
  <si>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</si>
  <si>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</si>
  <si>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</si>
  <si>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</si>
  <si>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</si>
  <si>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</si>
  <si>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</si>
  <si>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</si>
  <si>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</si>
  <si>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</si>
  <si>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</si>
  <si>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</si>
  <si>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</si>
  <si>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</si>
  <si>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</si>
  <si>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</si>
  <si>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</si>
  <si>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</si>
  <si>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</si>
  <si>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</si>
  <si>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</si>
  <si>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</si>
  <si>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</si>
  <si>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</si>
  <si>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</si>
  <si>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</si>
  <si>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</si>
  <si>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</si>
  <si>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</si>
  <si>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</si>
  <si>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</si>
  <si>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</si>
  <si>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</si>
  <si>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</si>
  <si>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</si>
  <si>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</si>
  <si>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</si>
  <si>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</si>
  <si>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</si>
  <si>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</si>
  <si>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</si>
  <si>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</si>
  <si>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</si>
  <si>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</si>
  <si>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</si>
  <si>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</si>
  <si>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</si>
  <si>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</si>
  <si>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</si>
  <si>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</si>
  <si>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</si>
  <si>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</si>
  <si>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</si>
  <si>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</si>
  <si>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</si>
  <si>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</si>
  <si>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</si>
  <si>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</si>
  <si>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</si>
  <si>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</si>
  <si>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</si>
  <si>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</si>
  <si>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</si>
  <si>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</si>
  <si>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</si>
  <si>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</si>
  <si>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</si>
  <si>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</si>
  <si>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</si>
  <si>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</si>
  <si>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</si>
  <si>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</si>
  <si>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</si>
  <si>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</si>
  <si>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</si>
  <si>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</si>
  <si>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</si>
  <si>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</si>
  <si>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</si>
  <si>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</si>
  <si>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</si>
  <si>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</si>
  <si>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</si>
  <si>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</si>
  <si>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</si>
  <si>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</si>
  <si>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</si>
  <si>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</si>
  <si>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</si>
  <si>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</si>
  <si>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</si>
  <si>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</si>
  <si>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</si>
  <si>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</si>
  <si>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</si>
  <si>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</si>
  <si>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</si>
  <si>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</si>
  <si>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</si>
  <si>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</si>
  <si>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</si>
  <si>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</si>
  <si>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</si>
  <si>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</si>
  <si>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</si>
  <si>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</si>
  <si>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</si>
  <si>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</si>
  <si>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</si>
  <si>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</si>
  <si>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</si>
  <si>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</si>
  <si>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</si>
  <si>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</si>
  <si>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</si>
  <si>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</si>
  <si>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</si>
  <si>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</si>
  <si>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</si>
  <si>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</si>
  <si>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</si>
  <si>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</si>
  <si>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</si>
  <si>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</si>
  <si>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</si>
  <si>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</si>
  <si>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</si>
  <si>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</si>
  <si>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</si>
  <si>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</si>
  <si>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</si>
  <si>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</si>
  <si>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</si>
  <si>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</si>
  <si>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</si>
  <si>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</si>
  <si>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</si>
  <si>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</si>
  <si>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</si>
  <si>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</si>
  <si>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</si>
  <si>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</si>
  <si>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</si>
  <si>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</si>
  <si>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</si>
  <si>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</si>
  <si>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</si>
  <si>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</si>
  <si>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</si>
  <si>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</si>
  <si>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</si>
  <si>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</si>
  <si>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</si>
  <si>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</si>
  <si>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</si>
  <si>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</si>
  <si>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</si>
  <si>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</si>
  <si>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</si>
  <si>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</si>
  <si>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</si>
  <si>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</si>
  <si>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</si>
  <si>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</si>
  <si>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</si>
  <si>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</si>
  <si>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</si>
  <si>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</si>
  <si>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</si>
  <si>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</si>
  <si>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</si>
  <si>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</si>
  <si>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</si>
  <si>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</si>
  <si>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</si>
  <si>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</si>
  <si>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</si>
  <si>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</si>
  <si>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</si>
  <si>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</si>
  <si>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</si>
  <si>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</si>
  <si>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</si>
  <si>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</si>
  <si>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</si>
  <si>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</si>
  <si>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</si>
  <si>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</si>
  <si>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</si>
  <si>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</si>
  <si>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</si>
  <si>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</si>
  <si>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</si>
  <si>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</si>
  <si>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</si>
  <si>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</si>
  <si>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</si>
  <si>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</si>
  <si>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</si>
  <si>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</si>
  <si>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</si>
  <si>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</si>
  <si>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</si>
  <si>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</si>
  <si>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</si>
  <si>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</si>
  <si>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</si>
  <si>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</si>
  <si>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</si>
  <si>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</si>
  <si>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</si>
  <si>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</si>
  <si>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</si>
  <si>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</si>
  <si>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</si>
  <si>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</si>
  <si>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</si>
  <si>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</si>
  <si>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</si>
  <si>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</si>
  <si>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</si>
  <si>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</si>
  <si>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</si>
  <si>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</si>
  <si>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</si>
  <si>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</si>
  <si>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</si>
  <si>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</si>
  <si>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</si>
  <si>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</si>
  <si>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</si>
  <si>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</si>
  <si>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</si>
  <si>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</si>
  <si>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</si>
  <si>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</si>
  <si>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</si>
  <si>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</si>
  <si>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</si>
  <si>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</si>
  <si>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</si>
  <si>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</si>
  <si>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</si>
  <si>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</si>
  <si>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</si>
  <si>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</si>
  <si>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</si>
  <si>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</si>
  <si>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</si>
  <si>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</si>
  <si>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</si>
  <si>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</si>
  <si>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</si>
  <si>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</si>
  <si>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</si>
  <si>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</si>
  <si>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</si>
  <si>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</si>
  <si>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</si>
  <si>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</si>
  <si>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</si>
  <si>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</si>
  <si>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</si>
  <si>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</si>
  <si>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</si>
  <si>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</si>
  <si>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</si>
  <si>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</si>
  <si>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</si>
  <si>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</si>
  <si>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</si>
  <si>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</si>
  <si>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</si>
  <si>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</si>
  <si>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</si>
  <si>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</si>
  <si>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</si>
  <si>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</si>
  <si>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</si>
  <si>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</si>
  <si>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</si>
  <si>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</si>
  <si>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</si>
  <si>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</si>
  <si>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</si>
  <si>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</si>
  <si>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</si>
  <si>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</si>
  <si>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</si>
  <si>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</si>
  <si>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</si>
  <si>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</si>
  <si>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</si>
  <si>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</si>
  <si>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</si>
  <si>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</si>
  <si>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</si>
  <si>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</si>
  <si>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</si>
  <si>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</si>
  <si>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</si>
  <si>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</si>
  <si>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</si>
  <si>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</si>
  <si>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</si>
  <si>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</si>
  <si>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</si>
  <si>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</si>
  <si>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</si>
  <si>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</si>
  <si>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</si>
  <si>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</si>
  <si>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</si>
  <si>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</si>
  <si>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</si>
  <si>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</si>
  <si>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</si>
  <si>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</si>
  <si>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</si>
  <si>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</si>
  <si>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</si>
  <si>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</si>
  <si>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</si>
  <si>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</si>
  <si>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</si>
  <si>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</si>
  <si>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</si>
  <si>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</si>
  <si>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</si>
  <si>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</si>
  <si>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</si>
  <si>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</si>
  <si>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</si>
  <si>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</si>
  <si>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</si>
  <si>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</si>
  <si>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</si>
  <si>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</si>
  <si>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</si>
  <si>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</si>
  <si>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</si>
  <si>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</si>
  <si>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</si>
  <si>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</si>
  <si>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</si>
  <si>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</si>
  <si>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</si>
  <si>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</si>
  <si>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</si>
  <si>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</si>
  <si>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</si>
  <si>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</si>
  <si>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</si>
  <si>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</si>
  <si>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</si>
  <si>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</si>
  <si>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</si>
  <si>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</si>
  <si>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</si>
  <si>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</si>
  <si>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</si>
  <si>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</si>
  <si>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</si>
  <si>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</si>
  <si>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</si>
  <si>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</si>
  <si>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</si>
  <si>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</si>
  <si>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</si>
  <si>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</si>
  <si>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</si>
  <si>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</si>
  <si>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</si>
  <si>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</si>
  <si>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</si>
  <si>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</si>
  <si>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</si>
  <si>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</si>
  <si>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</si>
  <si>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</si>
  <si>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</si>
  <si>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</si>
  <si>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</si>
  <si>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</si>
  <si>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</si>
  <si>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</si>
  <si>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</si>
  <si>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</si>
  <si>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</si>
  <si>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</si>
  <si>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</si>
  <si>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</si>
  <si>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</si>
  <si>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</si>
  <si>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</si>
  <si>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</si>
  <si>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</si>
  <si>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</si>
  <si>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</si>
  <si>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</si>
  <si>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</si>
  <si>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</si>
  <si>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</si>
  <si>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</si>
  <si>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</si>
  <si>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</si>
  <si>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</si>
  <si>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</si>
  <si>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</si>
  <si>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</si>
  <si>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</si>
  <si>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</si>
  <si>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</si>
  <si>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</si>
  <si>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</si>
  <si>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</si>
  <si>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</si>
  <si>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</si>
  <si>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</si>
  <si>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</si>
  <si>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</si>
  <si>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</si>
  <si>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</si>
  <si>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</si>
  <si>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</si>
  <si>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</si>
  <si>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</si>
  <si>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</si>
  <si>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</si>
  <si>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</si>
  <si>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</si>
  <si>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</si>
  <si>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</si>
  <si>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</si>
  <si>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</si>
  <si>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</si>
  <si>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</si>
  <si>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</si>
  <si>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</si>
  <si>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</si>
  <si>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</si>
  <si>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</si>
  <si>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</si>
  <si>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</si>
  <si>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</si>
  <si>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</si>
  <si>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</si>
  <si>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</si>
  <si>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</si>
  <si>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</si>
  <si>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</si>
  <si>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</si>
  <si>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</si>
  <si>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</si>
  <si>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</si>
  <si>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</si>
  <si>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</si>
  <si>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</si>
  <si>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</si>
  <si>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</si>
  <si>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</si>
  <si>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</si>
  <si>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</si>
  <si>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</si>
  <si>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</si>
  <si>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</si>
  <si>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</si>
  <si>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</si>
  <si>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</si>
  <si>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</si>
  <si>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</si>
  <si>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</si>
  <si>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</si>
  <si>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</si>
  <si>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</si>
  <si>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</si>
  <si>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</si>
  <si>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</si>
  <si>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</si>
  <si>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</si>
  <si>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</si>
  <si>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</si>
  <si>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</si>
  <si>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</si>
  <si>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</si>
  <si>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</si>
  <si>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</si>
  <si>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</si>
  <si>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</si>
  <si>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</si>
  <si>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</si>
  <si>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</si>
  <si>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</si>
  <si>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</si>
  <si>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</si>
  <si>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</si>
  <si>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</si>
  <si>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</si>
  <si>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</si>
  <si>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</si>
  <si>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</si>
  <si>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</si>
  <si>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</si>
  <si>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</si>
  <si>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</si>
  <si>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</si>
  <si>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</si>
  <si>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</si>
  <si>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</si>
  <si>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</si>
  <si>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</si>
  <si>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</si>
  <si>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</si>
  <si>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</si>
  <si>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</si>
  <si>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</si>
  <si>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</si>
  <si>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</si>
  <si>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</si>
  <si>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</si>
  <si>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</si>
  <si>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</si>
  <si>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</si>
  <si>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</si>
  <si>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</si>
  <si>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</si>
  <si>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</si>
  <si>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</si>
  <si>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</si>
  <si>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</si>
  <si>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</si>
  <si>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</si>
  <si>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</si>
  <si>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</si>
  <si>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</si>
  <si>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</si>
  <si>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</si>
  <si>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</si>
  <si>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</si>
  <si>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</si>
  <si>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</si>
  <si>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</si>
  <si>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</si>
  <si>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</si>
  <si>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</si>
  <si>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</si>
  <si>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</si>
  <si>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</si>
  <si>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</si>
  <si>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</si>
  <si>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</si>
  <si>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</si>
  <si>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</si>
  <si>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</si>
  <si>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</si>
  <si>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</si>
  <si>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</si>
  <si>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</si>
  <si>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</si>
  <si>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</si>
  <si>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</si>
  <si>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</si>
  <si>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</si>
  <si>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</si>
  <si>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</si>
  <si>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</si>
  <si>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</si>
  <si>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</si>
  <si>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</si>
  <si>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</si>
  <si>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</si>
  <si>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</si>
  <si>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</si>
  <si>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</si>
  <si>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</si>
  <si>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</si>
  <si>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</si>
  <si>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</si>
  <si>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</si>
  <si>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</si>
  <si>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</si>
  <si>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</si>
  <si>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</si>
  <si>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</si>
  <si>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</si>
  <si>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</si>
  <si>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</si>
  <si>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</si>
  <si>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</si>
  <si>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</si>
  <si>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</si>
  <si>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</si>
  <si>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</si>
  <si>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</si>
  <si>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</si>
  <si>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</si>
  <si>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</si>
  <si>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</si>
  <si>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</si>
  <si>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</si>
  <si>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</si>
  <si>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</si>
  <si>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</si>
  <si>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</si>
  <si>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</si>
  <si>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</si>
  <si>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</si>
  <si>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</si>
  <si>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</si>
  <si>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</si>
  <si>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</si>
  <si>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</si>
  <si>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</si>
  <si>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</si>
  <si>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</si>
  <si>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</si>
  <si>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</si>
  <si>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</si>
  <si>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</si>
  <si>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</si>
  <si>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</si>
  <si>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</si>
  <si>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</si>
  <si>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</si>
  <si>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</si>
  <si>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</si>
  <si>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</si>
  <si>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</si>
  <si>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</si>
  <si>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</si>
  <si>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</si>
  <si>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</si>
  <si>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</si>
  <si>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</si>
  <si>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</si>
  <si>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</si>
  <si>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</si>
  <si>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</si>
  <si>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</si>
  <si>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</si>
  <si>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</si>
  <si>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</si>
  <si>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</si>
  <si>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</si>
  <si>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</si>
  <si>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</si>
  <si>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</si>
  <si>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</si>
  <si>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</si>
  <si>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</si>
  <si>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</si>
  <si>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</si>
  <si>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</si>
  <si>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</si>
  <si>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</si>
  <si>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</si>
  <si>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</si>
  <si>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</si>
  <si>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</si>
  <si>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</si>
  <si>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</si>
  <si>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</si>
  <si>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</si>
  <si>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</si>
  <si>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</si>
  <si>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</si>
  <si>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</si>
  <si>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</si>
  <si>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</si>
  <si>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</si>
  <si>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</si>
  <si>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</si>
  <si>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</si>
  <si>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</si>
  <si>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</si>
  <si>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</si>
  <si>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</si>
  <si>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</si>
  <si>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</si>
  <si>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</si>
  <si>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</si>
  <si>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</si>
  <si>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</si>
  <si>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</si>
  <si>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</si>
  <si>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</si>
  <si>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</si>
  <si>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</si>
  <si>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</si>
  <si>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</si>
  <si>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</si>
  <si>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</si>
  <si>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</si>
  <si>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</si>
  <si>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</si>
  <si>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</si>
  <si>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</si>
  <si>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</si>
  <si>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</si>
  <si>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</si>
  <si>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</si>
  <si>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</si>
  <si>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</si>
  <si>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</si>
  <si>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</si>
  <si>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</si>
  <si>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</si>
  <si>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</si>
  <si>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</si>
  <si>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</si>
  <si>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</si>
  <si>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</si>
  <si>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</si>
  <si>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</si>
  <si>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</si>
  <si>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</si>
  <si>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</si>
  <si>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</si>
  <si>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</si>
  <si>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</si>
  <si>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</si>
  <si>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</si>
  <si>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</si>
  <si>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</si>
  <si>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</si>
  <si>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</si>
  <si>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</si>
  <si>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</si>
  <si>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</si>
  <si>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</si>
  <si>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</si>
  <si>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</si>
  <si>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</si>
  <si>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</si>
  <si>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</si>
  <si>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</si>
  <si>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</si>
  <si>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</si>
  <si>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</si>
  <si>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</si>
  <si>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</si>
  <si>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</si>
  <si>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</si>
  <si>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</si>
  <si>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</si>
  <si>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</si>
  <si>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</si>
  <si>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</si>
  <si>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</si>
  <si>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</si>
  <si>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</si>
  <si>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</si>
  <si>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</si>
  <si>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</si>
  <si>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</si>
  <si>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</si>
  <si>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</si>
  <si>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</si>
  <si>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</si>
  <si>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</si>
  <si>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</si>
  <si>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</si>
  <si>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</si>
  <si>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</si>
  <si>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</si>
  <si>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</si>
  <si>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</si>
  <si>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</si>
  <si>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</si>
  <si>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</si>
  <si>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</si>
  <si>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</si>
  <si>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</si>
  <si>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</si>
  <si>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</si>
  <si>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</si>
  <si>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</si>
  <si>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</si>
  <si>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</si>
  <si>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</si>
  <si>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</si>
  <si>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</si>
  <si>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</si>
  <si>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</si>
  <si>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</si>
  <si>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</si>
  <si>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</si>
  <si>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</si>
  <si>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</si>
  <si>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</si>
  <si>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</si>
  <si>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</si>
  <si>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</si>
  <si>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</si>
  <si>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</si>
  <si>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</si>
  <si>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</si>
  <si>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</si>
  <si>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</si>
  <si>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</si>
  <si>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</si>
  <si>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</si>
  <si>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</si>
  <si>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</si>
  <si>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</si>
  <si>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</si>
  <si>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</si>
  <si>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</si>
  <si>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</si>
  <si>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</si>
  <si>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</si>
  <si>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</si>
  <si>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</si>
  <si>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</si>
  <si>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</si>
  <si>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</si>
  <si>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</si>
  <si>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</si>
  <si>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</si>
  <si>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</si>
  <si>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</si>
  <si>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</si>
  <si>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</si>
  <si>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</si>
  <si>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</si>
  <si>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</si>
  <si>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</si>
  <si>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</si>
  <si>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</si>
  <si>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</si>
  <si>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</si>
  <si>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</si>
  <si>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</si>
  <si>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</si>
  <si>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</si>
  <si>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</si>
  <si>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</si>
  <si>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</si>
  <si>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</si>
  <si>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</si>
  <si>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</si>
  <si>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</si>
  <si>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</si>
  <si>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</si>
  <si>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</si>
  <si>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</si>
  <si>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</si>
  <si>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</si>
  <si>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</si>
  <si>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</si>
  <si>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</si>
  <si>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</si>
  <si>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</si>
  <si>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</si>
  <si>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</si>
  <si>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</si>
  <si>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</si>
  <si>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</si>
  <si>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</si>
  <si>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</si>
  <si>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</si>
  <si>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</si>
  <si>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</si>
  <si>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</si>
  <si>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</si>
  <si>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</si>
  <si>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</si>
  <si>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</si>
  <si>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</si>
  <si>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</si>
  <si>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</si>
  <si>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</si>
  <si>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</si>
  <si>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</si>
  <si>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</si>
  <si>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</si>
  <si>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</si>
  <si>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</si>
  <si>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</si>
  <si>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</si>
  <si>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</si>
  <si>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</si>
  <si>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</si>
  <si>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</si>
  <si>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</si>
  <si>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</si>
  <si>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</si>
  <si>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</si>
  <si>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</si>
  <si>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</si>
  <si>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</si>
  <si>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</si>
  <si>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</si>
  <si>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</si>
  <si>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</si>
  <si>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</si>
  <si>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</si>
  <si>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</si>
  <si>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</si>
  <si>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</si>
  <si>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</si>
  <si>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</si>
  <si>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</si>
  <si>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</si>
  <si>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</si>
  <si>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</si>
  <si>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</si>
  <si>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</si>
  <si>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</si>
  <si>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</si>
  <si>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</si>
  <si>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</si>
  <si>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</si>
  <si>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</si>
  <si>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</si>
  <si>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</si>
  <si>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</si>
  <si>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</si>
  <si>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</si>
  <si>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</si>
  <si>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</si>
  <si>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</si>
  <si>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</si>
  <si>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</si>
  <si>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</si>
  <si>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</si>
  <si>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</si>
  <si>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</si>
  <si>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</si>
  <si>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</si>
  <si>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</si>
  <si>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</si>
  <si>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</si>
  <si>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</si>
  <si>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</si>
  <si>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</si>
  <si>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</si>
  <si>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</si>
  <si>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</si>
  <si>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</si>
  <si>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</si>
  <si>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</si>
  <si>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</si>
  <si>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</si>
  <si>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</si>
  <si>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</si>
  <si>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</si>
  <si>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</si>
  <si>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</si>
  <si>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</si>
  <si>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</si>
  <si>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</si>
  <si>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</si>
  <si>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</si>
  <si>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</si>
  <si>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</si>
  <si>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</si>
  <si>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</si>
  <si>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</si>
  <si>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</si>
  <si>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</si>
  <si>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</si>
  <si>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</si>
  <si>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</si>
  <si>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</si>
  <si>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</si>
  <si>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</si>
  <si>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</si>
  <si>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</si>
  <si>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</si>
  <si>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</si>
  <si>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</si>
  <si>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</si>
  <si>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</si>
  <si>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</si>
  <si>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</si>
  <si>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</si>
  <si>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</si>
  <si>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</si>
  <si>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</si>
  <si>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</si>
  <si>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</si>
  <si>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</si>
  <si>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</si>
  <si>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</si>
  <si>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</si>
  <si>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</si>
  <si>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</si>
  <si>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</si>
  <si>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</si>
  <si>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</si>
  <si>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</si>
  <si>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</si>
  <si>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</si>
  <si>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</si>
  <si>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</si>
  <si>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</si>
  <si>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</si>
  <si>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</si>
  <si>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</si>
  <si>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</si>
  <si>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</si>
  <si>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</si>
  <si>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</si>
  <si>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</si>
  <si>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</si>
  <si>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</si>
  <si>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</si>
  <si>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</si>
  <si>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</si>
  <si>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</si>
  <si>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</si>
  <si>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</si>
  <si>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</si>
  <si>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</si>
  <si>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</si>
  <si>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</si>
  <si>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</si>
  <si>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</si>
  <si>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</si>
  <si>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</si>
  <si>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</si>
  <si>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</si>
  <si>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</si>
  <si>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</si>
  <si>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</si>
  <si>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</si>
  <si>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</si>
  <si>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</si>
  <si>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</si>
  <si>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</si>
  <si>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</si>
  <si>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</si>
  <si>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</si>
  <si>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</si>
  <si>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</si>
  <si>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</si>
  <si>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</si>
  <si>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</si>
  <si>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</si>
  <si>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</si>
  <si>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</si>
  <si>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</si>
  <si>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</si>
  <si>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</si>
  <si>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</si>
  <si>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</si>
  <si>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</si>
  <si>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</si>
  <si>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</si>
  <si>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</si>
  <si>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</si>
  <si>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</si>
  <si>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</si>
  <si>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</si>
  <si>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</si>
  <si>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</si>
  <si>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</si>
  <si>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</si>
  <si>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</si>
  <si>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</si>
  <si>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</si>
  <si>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</si>
  <si>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</si>
  <si>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</si>
  <si>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</si>
  <si>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</si>
  <si>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</si>
  <si>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</si>
  <si>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</si>
  <si>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</si>
  <si>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</si>
  <si>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</si>
  <si>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</si>
  <si>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</si>
  <si>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</si>
  <si>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</si>
  <si>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</si>
  <si>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</si>
  <si>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</si>
  <si>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</si>
  <si>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</si>
  <si>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</si>
  <si>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</si>
  <si>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</si>
  <si>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</si>
  <si>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</si>
  <si>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</si>
  <si>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</si>
  <si>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</si>
  <si>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</si>
  <si>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</si>
  <si>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</si>
  <si>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</si>
  <si>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</si>
  <si>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</si>
  <si>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</si>
  <si>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</si>
  <si>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</si>
  <si>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</si>
  <si>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</si>
  <si>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</si>
  <si>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</si>
  <si>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</si>
  <si>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</si>
  <si>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</si>
  <si>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</si>
  <si>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</si>
  <si>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</si>
  <si>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</si>
  <si>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</si>
  <si>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</si>
  <si>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</si>
  <si>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</si>
  <si>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</si>
  <si>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</si>
  <si>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</si>
  <si>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</si>
  <si>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</si>
  <si>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</si>
  <si>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</si>
  <si>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</si>
  <si>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</si>
  <si>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</si>
  <si>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</si>
  <si>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</si>
  <si>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</si>
  <si>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</si>
  <si>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</si>
  <si>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</si>
  <si>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</si>
  <si>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</si>
  <si>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</si>
  <si>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</si>
  <si>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</si>
  <si>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</si>
  <si>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</si>
  <si>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</si>
  <si>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</si>
  <si>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</si>
  <si>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</si>
  <si>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</si>
  <si>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</si>
  <si>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</si>
  <si>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</si>
  <si>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</si>
  <si>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</si>
  <si>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</si>
  <si>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</si>
  <si>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</si>
  <si>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</si>
  <si>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</si>
  <si>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</si>
  <si>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</si>
  <si>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</si>
  <si>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</si>
  <si>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</si>
  <si>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</si>
  <si>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</si>
  <si>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</si>
  <si>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</si>
  <si>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</si>
  <si>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</si>
  <si>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</si>
  <si>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</si>
  <si>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</si>
  <si>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</si>
  <si>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</si>
  <si>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</si>
  <si>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</si>
  <si>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</si>
  <si>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</si>
  <si>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</si>
  <si>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</si>
  <si>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</si>
  <si>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</si>
  <si>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</si>
  <si>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</si>
  <si>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</si>
  <si>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</si>
  <si>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</si>
  <si>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</si>
  <si>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</si>
  <si>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</si>
  <si>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</si>
  <si>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</si>
  <si>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</si>
  <si>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</si>
  <si>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</si>
  <si>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</si>
  <si>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</si>
  <si>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</si>
  <si>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</si>
  <si>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</si>
  <si>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</si>
  <si>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</si>
  <si>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</si>
  <si>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</si>
  <si>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</si>
  <si>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</si>
  <si>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</si>
  <si>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</si>
  <si>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</si>
  <si>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</si>
  <si>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</si>
  <si>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</si>
  <si>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</si>
  <si>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</si>
  <si>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</si>
  <si>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</si>
  <si>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</si>
  <si>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</si>
  <si>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</si>
  <si>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</si>
  <si>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</si>
  <si>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</si>
  <si>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</si>
  <si>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</si>
  <si>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</si>
  <si>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</si>
  <si>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</si>
  <si>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</si>
  <si>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</si>
  <si>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</si>
  <si>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</si>
  <si>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</si>
  <si>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</si>
  <si>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</si>
  <si>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</si>
  <si>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</si>
  <si>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</si>
  <si>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</si>
  <si>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</si>
  <si>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</si>
  <si>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</si>
  <si>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</si>
  <si>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</si>
  <si>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</si>
  <si>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</si>
  <si>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</si>
  <si>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</si>
  <si>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</si>
  <si>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</si>
  <si>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</si>
  <si>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</si>
  <si>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</si>
  <si>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</si>
  <si>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</si>
  <si>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</si>
  <si>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</si>
  <si>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</si>
  <si>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</si>
  <si>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</si>
  <si>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</si>
  <si>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</si>
  <si>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</si>
  <si>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</si>
  <si>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</si>
  <si>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</si>
  <si>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</si>
  <si>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</si>
  <si>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</si>
  <si>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</si>
  <si>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</si>
  <si>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</si>
  <si>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</si>
  <si>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</si>
  <si>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</si>
  <si>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</si>
  <si>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</si>
  <si>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</si>
  <si>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</si>
  <si>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</si>
  <si>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</si>
  <si>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</si>
  <si>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</si>
  <si>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</si>
  <si>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</si>
  <si>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</si>
  <si>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</si>
  <si>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</si>
  <si>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</si>
  <si>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</si>
  <si>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</si>
  <si>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</si>
  <si>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</si>
  <si>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</si>
  <si>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</si>
  <si>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</si>
  <si>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</si>
  <si>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</si>
  <si>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</si>
  <si>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</si>
  <si>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</si>
  <si>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</si>
  <si>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</si>
  <si>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</si>
  <si>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</si>
  <si>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</si>
  <si>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</si>
  <si>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</si>
  <si>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</si>
  <si>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</si>
  <si>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</si>
  <si>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</si>
  <si>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</si>
  <si>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</si>
  <si>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</si>
  <si>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</si>
  <si>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</si>
  <si>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</si>
  <si>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</si>
  <si>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</si>
  <si>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</si>
  <si>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</si>
  <si>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</si>
  <si>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</si>
  <si>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</si>
  <si>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</si>
  <si>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</si>
  <si>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</si>
  <si>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</si>
  <si>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</si>
  <si>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</si>
  <si>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</si>
  <si>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</si>
  <si>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</si>
  <si>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</si>
  <si>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</si>
  <si>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</si>
  <si>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</si>
  <si>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</si>
  <si>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</si>
  <si>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</si>
  <si>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</si>
  <si>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</si>
  <si>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</si>
  <si>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</si>
  <si>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</si>
  <si>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</si>
  <si>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</si>
  <si>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</si>
  <si>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</si>
  <si>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</si>
  <si>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</si>
  <si>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</si>
  <si>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</si>
  <si>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</si>
  <si>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</si>
  <si>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</si>
  <si>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</si>
  <si>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</si>
  <si>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</si>
  <si>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</si>
  <si>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</si>
  <si>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</si>
  <si>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</si>
  <si>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</si>
  <si>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</si>
  <si>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</si>
  <si>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</si>
  <si>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</si>
  <si>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</si>
  <si>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</si>
  <si>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</si>
  <si>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</si>
  <si>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</si>
  <si>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</si>
  <si>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</si>
  <si>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</si>
  <si>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</si>
  <si>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</si>
  <si>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</si>
  <si>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</si>
  <si>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</si>
  <si>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</si>
  <si>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</si>
  <si>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</si>
  <si>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</si>
  <si>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</si>
  <si>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</si>
  <si>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</si>
  <si>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</si>
  <si>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</si>
  <si>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</si>
  <si>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</si>
  <si>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</si>
  <si>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</si>
  <si>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</si>
  <si>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</si>
  <si>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</si>
  <si>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</si>
  <si>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</si>
  <si>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</si>
  <si>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</si>
  <si>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</si>
  <si>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</si>
  <si>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</si>
  <si>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</si>
  <si>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</si>
  <si>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</si>
  <si>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</si>
  <si>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</si>
  <si>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</si>
  <si>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</si>
  <si>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</si>
  <si>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</si>
  <si>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</si>
  <si>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</si>
  <si>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</si>
  <si>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</si>
  <si>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</si>
  <si>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</si>
  <si>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</si>
  <si>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</si>
  <si>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</si>
  <si>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</si>
  <si>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</si>
  <si>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</si>
  <si>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</si>
  <si>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</si>
  <si>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</si>
  <si>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</si>
  <si>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</si>
  <si>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</si>
  <si>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</si>
  <si>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</si>
  <si>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</si>
  <si>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</si>
  <si>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</si>
  <si>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</si>
  <si>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</si>
  <si>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</si>
  <si>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</si>
  <si>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</si>
  <si>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</si>
  <si>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</si>
  <si>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</si>
  <si>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</si>
  <si>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</si>
  <si>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</si>
  <si>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</si>
  <si>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</si>
  <si>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</si>
  <si>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</si>
  <si>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</si>
  <si>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</si>
  <si>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</si>
  <si>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</si>
  <si>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</si>
  <si>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</si>
  <si>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</si>
  <si>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</si>
  <si>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</si>
  <si>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</si>
  <si>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</si>
  <si>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</si>
  <si>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</si>
  <si>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</si>
  <si>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</si>
  <si>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</si>
  <si>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</si>
  <si>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</si>
  <si>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</si>
  <si>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</si>
  <si>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</si>
  <si>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</si>
  <si>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</si>
  <si>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</si>
  <si>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</si>
  <si>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</si>
  <si>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</si>
  <si>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</si>
  <si>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</si>
  <si>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</si>
  <si>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</si>
  <si>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</si>
  <si>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</si>
  <si>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</si>
  <si>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</si>
  <si>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</si>
  <si>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</si>
  <si>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</si>
  <si>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</si>
  <si>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</si>
  <si>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</si>
  <si>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</si>
  <si>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</si>
  <si>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</si>
  <si>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</si>
  <si>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</si>
  <si>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</si>
  <si>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</si>
  <si>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</si>
  <si>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</si>
  <si>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</si>
  <si>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</si>
  <si>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</si>
  <si>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</si>
  <si>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</si>
  <si>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</si>
  <si>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</si>
  <si>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</si>
  <si>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</si>
  <si>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</si>
  <si>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</si>
  <si>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</si>
  <si>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</si>
  <si>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</si>
  <si>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</si>
  <si>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</si>
  <si>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</si>
  <si>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</si>
  <si>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</si>
  <si>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</si>
  <si>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</si>
  <si>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</si>
  <si>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</si>
  <si>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</si>
  <si>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</si>
  <si>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</si>
  <si>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</si>
  <si>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</si>
  <si>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</si>
  <si>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</si>
  <si>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</si>
  <si>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</si>
  <si>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</si>
  <si>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</si>
  <si>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</si>
  <si>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phoneticPr fontId="31" type="noConversion"/>
  </si>
  <si>
    <t>住宅底商</t>
  </si>
  <si>
    <t>住宅底商</t>
    <phoneticPr fontId="31" type="noConversion"/>
  </si>
  <si>
    <t>毛坯</t>
  </si>
  <si>
    <t>雅世合金</t>
    <phoneticPr fontId="135" type="noConversion"/>
  </si>
  <si>
    <t>小区西门第一家</t>
    <phoneticPr fontId="135" type="noConversion"/>
  </si>
  <si>
    <t>小区北侧</t>
    <phoneticPr fontId="135" type="noConversion"/>
  </si>
  <si>
    <r>
      <t>1、</t>
    </r>
    <r>
      <rPr>
        <sz val="11"/>
        <color theme="1"/>
        <rFont val="宋体"/>
        <family val="3"/>
        <charset val="134"/>
        <scheme val="minor"/>
      </rPr>
      <t>-1各一半</t>
    </r>
    <phoneticPr fontId="135" type="noConversion"/>
  </si>
  <si>
    <t>乐府江南</t>
    <phoneticPr fontId="135" type="noConversion"/>
  </si>
  <si>
    <t>小区内部</t>
    <phoneticPr fontId="135" type="noConversion"/>
  </si>
  <si>
    <t>京粮广场</t>
    <phoneticPr fontId="135" type="noConversion"/>
  </si>
  <si>
    <t>均不可餐饮</t>
    <phoneticPr fontId="135" type="noConversion"/>
  </si>
  <si>
    <t>面向东</t>
    <phoneticPr fontId="135" type="noConversion"/>
  </si>
  <si>
    <t>田村路</t>
    <phoneticPr fontId="135" type="noConversion"/>
  </si>
  <si>
    <t>金沟河路17号</t>
    <phoneticPr fontId="135" type="noConversion"/>
  </si>
  <si>
    <t>田村33号</t>
    <phoneticPr fontId="135" type="noConversion"/>
  </si>
  <si>
    <t>玉海园五里</t>
    <phoneticPr fontId="135" type="noConversion"/>
  </si>
  <si>
    <t>莲花苑</t>
    <phoneticPr fontId="135" type="noConversion"/>
  </si>
  <si>
    <t>燕水佳园</t>
    <phoneticPr fontId="135" type="noConversion"/>
  </si>
  <si>
    <t>上都首府</t>
    <phoneticPr fontId="135" type="noConversion"/>
  </si>
  <si>
    <t>博园雅居</t>
    <phoneticPr fontId="135" type="noConversion"/>
  </si>
  <si>
    <t>较差</t>
  </si>
  <si>
    <t>划拨</t>
  </si>
  <si>
    <t>70</t>
    <phoneticPr fontId="31" type="noConversion"/>
  </si>
  <si>
    <r>
      <rPr>
        <b/>
        <sz val="16"/>
        <rFont val="宋体"/>
        <family val="3"/>
        <charset val="134"/>
      </rPr>
      <t>住宅</t>
    </r>
    <phoneticPr fontId="4" type="noConversion"/>
  </si>
  <si>
    <r>
      <rPr>
        <b/>
        <sz val="16"/>
        <rFont val="宋体"/>
        <family val="3"/>
        <charset val="134"/>
      </rPr>
      <t>─</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</si>
  <si>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</si>
  <si>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建筑面积</t>
    </r>
    <phoneticPr fontId="4" type="noConversion"/>
  </si>
  <si>
    <r>
      <rPr>
        <sz val="11"/>
        <color indexed="8"/>
        <rFont val="宋体"/>
        <family val="3"/>
        <charset val="134"/>
      </rPr>
      <t>基础设施水平</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</si>
  <si>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</si>
  <si>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</si>
  <si>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</si>
  <si>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</si>
  <si>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</si>
  <si>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</si>
  <si>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</si>
  <si>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</si>
  <si>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</si>
  <si>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</si>
  <si>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</si>
  <si>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sz val="11"/>
        <color indexed="8"/>
        <rFont val="宋体"/>
        <family val="3"/>
        <charset val="134"/>
      </rPr>
      <t>正常</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</si>
  <si>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</si>
  <si>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</si>
  <si>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</si>
  <si>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</si>
  <si>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</si>
  <si>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朝向</t>
    </r>
    <phoneticPr fontId="4" type="noConversion"/>
  </si>
  <si>
    <r>
      <rPr>
        <sz val="11"/>
        <color indexed="8"/>
        <rFont val="宋体"/>
        <family val="3"/>
        <charset val="134"/>
      </rPr>
      <t>建筑品质</t>
    </r>
    <phoneticPr fontId="4" type="noConversion"/>
  </si>
  <si>
    <r>
      <rPr>
        <sz val="11"/>
        <color indexed="8"/>
        <rFont val="宋体"/>
        <family val="3"/>
        <charset val="134"/>
      </rPr>
      <t>房型</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</si>
  <si>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</si>
  <si>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</si>
  <si>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</si>
  <si>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</si>
  <si>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</si>
  <si>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</si>
  <si>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</si>
  <si>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</si>
  <si>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</si>
  <si>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</si>
  <si>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</si>
  <si>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</si>
  <si>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</si>
  <si>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</si>
  <si>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</si>
  <si>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</si>
  <si>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</si>
  <si>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</si>
  <si>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</si>
  <si>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</si>
  <si>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t>较好</t>
    <phoneticPr fontId="135" type="noConversion"/>
  </si>
  <si>
    <t>较差</t>
    <phoneticPr fontId="135" type="noConversion"/>
  </si>
  <si>
    <t>一般</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</si>
</sst>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
      <b/>
      <sz val="12"/>
      <color indexed="1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7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xf numFmtId="0" fontId="102" fillId="6" borderId="83" xfId="10" applyFont="1" applyFill="1" applyBorder="1">
      <alignment vertical="center"/>
    </xf>
    <xf numFmtId="0" fontId="63" fillId="6" borderId="83" xfId="10" applyFont="1" applyFill="1" applyBorder="1" applyAlignment="1">
      <alignment horizontal="right" vertical="center"/>
    </xf>
    <xf numFmtId="0" fontId="63" fillId="6" borderId="86" xfId="10" applyFont="1" applyFill="1" applyBorder="1" applyAlignment="1">
      <alignment horizontal="center" vertical="center"/>
    </xf>
    <xf numFmtId="0" fontId="63" fillId="2" borderId="86" xfId="10" applyFont="1" applyFill="1" applyBorder="1" applyProtection="1">
      <alignment vertical="center"/>
      <protection locked="0"/>
    </xf>
    <xf numFmtId="0" fontId="63" fillId="5" borderId="99" xfId="10" applyFont="1" applyFill="1" applyBorder="1" applyProtection="1">
      <alignment vertical="center"/>
      <protection locked="0"/>
    </xf>
    <xf numFmtId="0" fontId="63" fillId="5" borderId="76" xfId="10" applyFont="1" applyFill="1" applyBorder="1" applyAlignment="1" applyProtection="1">
      <alignment horizontal="center" vertical="center"/>
      <protection locked="0"/>
    </xf>
    <xf numFmtId="0" fontId="66" fillId="6" borderId="86" xfId="10" applyFont="1" applyFill="1" applyBorder="1">
      <alignment vertical="center"/>
    </xf>
    <xf numFmtId="0" fontId="63" fillId="6" borderId="86" xfId="10" applyFont="1" applyFill="1" applyBorder="1">
      <alignment vertical="center"/>
    </xf>
    <xf numFmtId="188" fontId="63" fillId="6" borderId="86" xfId="10" applyNumberFormat="1" applyFont="1" applyFill="1" applyBorder="1" applyAlignment="1">
      <alignment horizontal="center" vertical="center"/>
    </xf>
    <xf numFmtId="181" fontId="63" fillId="6" borderId="86" xfId="10" applyNumberFormat="1" applyFont="1" applyFill="1" applyBorder="1">
      <alignment vertical="center"/>
    </xf>
    <xf numFmtId="0" fontId="63" fillId="6" borderId="87" xfId="10" applyFont="1" applyFill="1" applyBorder="1" applyAlignment="1">
      <alignment horizontal="center" vertical="center"/>
    </xf>
    <xf numFmtId="0" fontId="63" fillId="6" borderId="85" xfId="10" applyFont="1" applyFill="1" applyBorder="1" applyAlignment="1">
      <alignment horizontal="center" vertical="center"/>
    </xf>
    <xf numFmtId="0" fontId="64" fillId="6" borderId="85" xfId="10" applyFont="1" applyFill="1" applyBorder="1" applyAlignment="1">
      <alignment horizontal="center" vertical="center"/>
    </xf>
    <xf numFmtId="0" fontId="64" fillId="0" borderId="85" xfId="10" applyFont="1" applyBorder="1" applyAlignment="1" applyProtection="1">
      <alignment horizontal="center" vertical="center"/>
      <protection locked="0"/>
    </xf>
    <xf numFmtId="186" fontId="58" fillId="6" borderId="2" xfId="10" applyNumberFormat="1" applyFont="1" applyFill="1" applyBorder="1" applyAlignment="1">
      <alignment horizontal="right" vertical="center"/>
    </xf>
    <xf numFmtId="0" fontId="58" fillId="6" borderId="0" xfId="10" applyFont="1" applyFill="1">
      <alignment vertical="center"/>
    </xf>
    <xf numFmtId="0" fontId="58" fillId="6" borderId="0" xfId="10" applyFont="1" applyFill="1" applyProtection="1">
      <alignment vertical="center"/>
      <protection locked="0"/>
    </xf>
    <xf numFmtId="188" fontId="58" fillId="6" borderId="0" xfId="10" applyNumberFormat="1" applyFont="1" applyFill="1" applyAlignment="1" applyProtection="1">
      <alignment horizontal="center" vertical="center"/>
      <protection locked="0"/>
    </xf>
    <xf numFmtId="181" fontId="58" fillId="11" borderId="0" xfId="10" applyNumberFormat="1" applyFont="1" applyFill="1" applyProtection="1">
      <alignment vertical="center"/>
      <protection locked="0"/>
    </xf>
    <xf numFmtId="0" fontId="58" fillId="11" borderId="0" xfId="10" applyFont="1" applyFill="1" applyAlignment="1" applyProtection="1">
      <alignment horizontal="center" vertical="center"/>
      <protection locked="0"/>
    </xf>
    <xf numFmtId="0" fontId="58" fillId="6" borderId="18" xfId="10" applyFont="1" applyFill="1" applyBorder="1" applyAlignment="1">
      <alignment horizontal="center" vertical="center"/>
    </xf>
    <xf numFmtId="0" fontId="58" fillId="6" borderId="0" xfId="10" applyFont="1" applyFill="1" applyAlignment="1">
      <alignment horizontal="center" vertical="center"/>
    </xf>
    <xf numFmtId="0" fontId="59" fillId="6" borderId="0" xfId="10" applyFont="1" applyFill="1" applyAlignment="1">
      <alignment horizontal="center" vertical="center"/>
    </xf>
    <xf numFmtId="0" fontId="59" fillId="0" borderId="0" xfId="10" applyFont="1" applyAlignment="1" applyProtection="1">
      <alignment horizontal="center" vertical="center"/>
      <protection locked="0"/>
    </xf>
    <xf numFmtId="0" fontId="58" fillId="6" borderId="13" xfId="10" applyFont="1" applyFill="1" applyBorder="1" applyAlignment="1">
      <alignment horizontal="right" vertical="center"/>
    </xf>
    <xf numFmtId="0" fontId="58" fillId="6" borderId="13" xfId="10" applyFont="1" applyFill="1" applyBorder="1" applyAlignment="1">
      <alignment horizontal="center" vertical="center"/>
    </xf>
    <xf numFmtId="0" fontId="274" fillId="6" borderId="0" xfId="10" applyFont="1" applyFill="1" applyProtection="1">
      <alignment vertical="center"/>
      <protection locked="0"/>
    </xf>
    <xf numFmtId="0" fontId="51" fillId="6" borderId="16" xfId="10" applyFont="1" applyFill="1" applyBorder="1" applyAlignment="1">
      <alignment vertical="center" wrapText="1"/>
    </xf>
    <xf numFmtId="0" fontId="51" fillId="6" borderId="19" xfId="10" applyFont="1" applyFill="1" applyBorder="1" applyAlignment="1">
      <alignment vertical="center" wrapText="1"/>
    </xf>
    <xf numFmtId="0" fontId="52" fillId="6" borderId="6" xfId="10" applyFont="1" applyFill="1" applyBorder="1" applyAlignment="1">
      <alignment horizontal="center" vertical="center" wrapText="1"/>
    </xf>
    <xf numFmtId="0" fontId="52" fillId="6" borderId="10" xfId="10" applyFont="1" applyFill="1" applyBorder="1" applyAlignment="1">
      <alignment horizontal="center" vertical="center" wrapText="1"/>
    </xf>
    <xf numFmtId="0" fontId="52" fillId="6" borderId="30" xfId="10" applyFont="1" applyFill="1" applyBorder="1" applyAlignment="1">
      <alignment horizontal="center" vertical="center" wrapText="1"/>
    </xf>
    <xf numFmtId="0" fontId="52" fillId="6" borderId="28" xfId="10" applyFont="1" applyFill="1" applyBorder="1" applyAlignment="1">
      <alignment horizontal="center" vertical="center" wrapText="1"/>
    </xf>
    <xf numFmtId="188" fontId="45" fillId="6" borderId="21" xfId="10" applyNumberFormat="1" applyFont="1" applyFill="1" applyBorder="1" applyAlignment="1">
      <alignment horizontal="center" vertical="center" wrapText="1"/>
    </xf>
    <xf numFmtId="181" fontId="45" fillId="11" borderId="0" xfId="10" applyNumberFormat="1" applyFont="1" applyFill="1" applyAlignment="1" applyProtection="1">
      <alignment vertical="center" wrapText="1"/>
      <protection locked="0"/>
    </xf>
    <xf numFmtId="0" fontId="52" fillId="11" borderId="0" xfId="10" applyFont="1" applyFill="1" applyAlignment="1" applyProtection="1">
      <alignment horizontal="center" vertical="center"/>
      <protection locked="0"/>
    </xf>
    <xf numFmtId="0" fontId="52" fillId="6" borderId="46" xfId="10" applyFont="1" applyFill="1" applyBorder="1" applyAlignment="1">
      <alignment horizontal="center" vertical="center" wrapText="1"/>
    </xf>
    <xf numFmtId="0" fontId="52" fillId="6" borderId="22" xfId="10" applyFont="1" applyFill="1" applyBorder="1" applyAlignment="1">
      <alignment horizontal="center" vertical="center" wrapText="1"/>
    </xf>
    <xf numFmtId="0" fontId="52" fillId="6" borderId="46" xfId="10" applyFont="1" applyFill="1" applyBorder="1" applyAlignment="1">
      <alignment horizontal="center" vertical="center"/>
    </xf>
    <xf numFmtId="0" fontId="52" fillId="6" borderId="22" xfId="10" applyFont="1" applyFill="1" applyBorder="1" applyAlignment="1">
      <alignment horizontal="center" vertical="center"/>
    </xf>
    <xf numFmtId="0" fontId="52" fillId="6" borderId="1" xfId="10" applyFont="1" applyFill="1" applyBorder="1" applyAlignment="1">
      <alignment horizontal="center" vertical="center"/>
    </xf>
    <xf numFmtId="0" fontId="52" fillId="6" borderId="15" xfId="10" applyFont="1" applyFill="1" applyBorder="1" applyAlignment="1">
      <alignment horizontal="center" vertical="center"/>
    </xf>
    <xf numFmtId="0" fontId="52" fillId="6" borderId="13" xfId="10" applyFont="1" applyFill="1" applyBorder="1" applyAlignment="1">
      <alignment horizontal="center" vertical="center"/>
    </xf>
    <xf numFmtId="0" fontId="52" fillId="0" borderId="0" xfId="10" applyFont="1" applyAlignment="1" applyProtection="1">
      <alignment horizontal="center" vertical="center"/>
      <protection locked="0"/>
    </xf>
    <xf numFmtId="0" fontId="51" fillId="6" borderId="18" xfId="10" applyFont="1" applyFill="1" applyBorder="1" applyAlignment="1">
      <alignment vertical="center" wrapText="1"/>
    </xf>
    <xf numFmtId="0" fontId="51" fillId="6" borderId="0" xfId="10" applyFont="1" applyFill="1" applyAlignment="1">
      <alignment vertical="center" wrapText="1"/>
    </xf>
    <xf numFmtId="0" fontId="167" fillId="0" borderId="23" xfId="10" applyFont="1" applyBorder="1" applyAlignment="1" applyProtection="1">
      <alignment horizontal="center" vertical="center" wrapText="1"/>
      <protection locked="0"/>
    </xf>
    <xf numFmtId="0" fontId="167" fillId="0" borderId="24" xfId="10" applyFont="1" applyBorder="1" applyAlignment="1" applyProtection="1">
      <alignment horizontal="center" vertical="center" wrapText="1"/>
      <protection locked="0"/>
    </xf>
    <xf numFmtId="0" fontId="167" fillId="0" borderId="3" xfId="10" applyFont="1" applyBorder="1" applyAlignment="1" applyProtection="1">
      <alignment horizontal="center" vertical="center" wrapText="1"/>
      <protection locked="0"/>
    </xf>
    <xf numFmtId="0" fontId="167" fillId="0" borderId="5" xfId="10" applyFont="1" applyBorder="1" applyAlignment="1" applyProtection="1">
      <alignment horizontal="center" vertical="center" wrapText="1"/>
      <protection locked="0"/>
    </xf>
    <xf numFmtId="188" fontId="45" fillId="6" borderId="48" xfId="10" applyNumberFormat="1" applyFont="1" applyFill="1" applyBorder="1" applyAlignment="1">
      <alignment horizontal="center" vertical="center" wrapText="1"/>
    </xf>
    <xf numFmtId="0" fontId="52" fillId="6" borderId="57" xfId="10" applyFont="1" applyFill="1" applyBorder="1" applyAlignment="1">
      <alignment horizontal="center" vertical="center" wrapText="1"/>
    </xf>
    <xf numFmtId="0" fontId="52" fillId="6" borderId="35" xfId="10" applyFont="1" applyFill="1" applyBorder="1" applyAlignment="1">
      <alignment horizontal="center" vertical="center" wrapText="1"/>
    </xf>
    <xf numFmtId="0" fontId="52" fillId="6" borderId="57" xfId="10" applyFont="1" applyFill="1" applyBorder="1" applyAlignment="1">
      <alignment horizontal="center" vertical="center"/>
    </xf>
    <xf numFmtId="0" fontId="52" fillId="6" borderId="35" xfId="10" applyFont="1" applyFill="1" applyBorder="1" applyAlignment="1">
      <alignment horizontal="center" vertical="center"/>
    </xf>
    <xf numFmtId="0" fontId="52" fillId="6" borderId="15" xfId="10" applyFont="1" applyFill="1" applyBorder="1" applyAlignment="1">
      <alignment horizontal="center" vertical="center"/>
    </xf>
    <xf numFmtId="0" fontId="51" fillId="6" borderId="42" xfId="10" applyFont="1" applyFill="1" applyBorder="1" applyAlignment="1">
      <alignment vertical="center" wrapText="1"/>
    </xf>
    <xf numFmtId="0" fontId="51" fillId="6" borderId="47" xfId="10" applyFont="1" applyFill="1" applyBorder="1" applyAlignment="1">
      <alignment vertical="center" wrapText="1"/>
    </xf>
    <xf numFmtId="0" fontId="167" fillId="0" borderId="11" xfId="10" applyFont="1" applyBorder="1" applyAlignment="1" applyProtection="1">
      <alignment horizontal="center" vertical="center" wrapText="1"/>
      <protection locked="0"/>
    </xf>
    <xf numFmtId="0" fontId="167" fillId="0" borderId="60" xfId="10" applyFont="1" applyBorder="1" applyAlignment="1" applyProtection="1">
      <alignment horizontal="center" vertical="center" wrapText="1"/>
      <protection locked="0"/>
    </xf>
    <xf numFmtId="0" fontId="167" fillId="0" borderId="22" xfId="10" applyFont="1" applyBorder="1" applyAlignment="1" applyProtection="1">
      <alignment horizontal="center" vertical="center" wrapText="1"/>
      <protection locked="0"/>
    </xf>
    <xf numFmtId="0" fontId="167" fillId="0" borderId="46" xfId="10" applyFont="1" applyBorder="1" applyAlignment="1" applyProtection="1">
      <alignment horizontal="center" vertical="center" wrapText="1"/>
      <protection locked="0"/>
    </xf>
    <xf numFmtId="0" fontId="52" fillId="6" borderId="4" xfId="10" applyFont="1" applyFill="1" applyBorder="1" applyAlignment="1">
      <alignment horizontal="center" vertical="center" wrapText="1"/>
    </xf>
    <xf numFmtId="0" fontId="52" fillId="6" borderId="7" xfId="10" applyFont="1" applyFill="1" applyBorder="1" applyAlignment="1">
      <alignment horizontal="center" vertical="center" wrapText="1"/>
    </xf>
    <xf numFmtId="0" fontId="52" fillId="6" borderId="4" xfId="10" applyFont="1" applyFill="1" applyBorder="1" applyAlignment="1">
      <alignment horizontal="center" vertical="center"/>
    </xf>
    <xf numFmtId="0" fontId="52" fillId="6" borderId="7" xfId="10" applyFont="1" applyFill="1" applyBorder="1" applyAlignment="1">
      <alignment horizontal="center" vertical="center"/>
    </xf>
    <xf numFmtId="0" fontId="52" fillId="6" borderId="2" xfId="10" applyFont="1" applyFill="1" applyBorder="1" applyAlignment="1">
      <alignment horizontal="center" vertical="center"/>
    </xf>
    <xf numFmtId="0" fontId="47" fillId="6" borderId="62" xfId="10" applyFont="1" applyFill="1" applyBorder="1" applyAlignment="1">
      <alignment vertical="center" wrapText="1"/>
    </xf>
    <xf numFmtId="0" fontId="47" fillId="6" borderId="63" xfId="10" applyFont="1" applyFill="1" applyBorder="1" applyAlignment="1">
      <alignment vertical="center" wrapText="1"/>
    </xf>
    <xf numFmtId="183" fontId="45" fillId="6" borderId="26" xfId="10" applyNumberFormat="1" applyFont="1" applyFill="1" applyBorder="1" applyAlignment="1">
      <alignment horizontal="center" vertical="center" wrapText="1"/>
    </xf>
    <xf numFmtId="0" fontId="45" fillId="6" borderId="66" xfId="10" applyFont="1" applyFill="1" applyBorder="1" applyAlignment="1">
      <alignment horizontal="center" vertical="center" wrapText="1"/>
    </xf>
    <xf numFmtId="183" fontId="45" fillId="0" borderId="69" xfId="10" applyNumberFormat="1" applyFont="1" applyBorder="1" applyAlignment="1" applyProtection="1">
      <alignment horizontal="center" vertical="center" wrapText="1"/>
      <protection locked="0"/>
    </xf>
    <xf numFmtId="0" fontId="45" fillId="6" borderId="34" xfId="10" applyFont="1" applyFill="1" applyBorder="1" applyAlignment="1">
      <alignment horizontal="center" vertical="center" wrapText="1"/>
    </xf>
    <xf numFmtId="0" fontId="45" fillId="6" borderId="48" xfId="10" applyFont="1" applyFill="1" applyBorder="1" applyAlignment="1">
      <alignment horizontal="center" vertical="center" wrapText="1"/>
    </xf>
    <xf numFmtId="181" fontId="45" fillId="11" borderId="0" xfId="10" applyNumberFormat="1" applyFont="1" applyFill="1" applyAlignment="1" applyProtection="1">
      <alignment horizontal="center" vertical="center" wrapText="1"/>
      <protection locked="0"/>
    </xf>
    <xf numFmtId="0" fontId="45" fillId="11" borderId="0" xfId="10" applyFont="1" applyFill="1" applyAlignment="1" applyProtection="1">
      <alignment horizontal="center" vertical="center"/>
      <protection locked="0"/>
    </xf>
    <xf numFmtId="0" fontId="45" fillId="6" borderId="5" xfId="10" applyFont="1" applyFill="1" applyBorder="1" applyAlignment="1">
      <alignment horizontal="center" vertical="center"/>
    </xf>
    <xf numFmtId="0" fontId="45" fillId="6" borderId="53" xfId="10" applyFont="1" applyFill="1" applyBorder="1" applyAlignment="1">
      <alignment horizontal="center" vertical="center"/>
    </xf>
    <xf numFmtId="187" fontId="45" fillId="6" borderId="5" xfId="10" applyNumberFormat="1" applyFont="1" applyFill="1" applyBorder="1" applyAlignment="1">
      <alignment horizontal="center" vertical="center"/>
    </xf>
    <xf numFmtId="49" fontId="45" fillId="6" borderId="3" xfId="10" applyNumberFormat="1" applyFont="1" applyFill="1" applyBorder="1" applyAlignment="1">
      <alignment horizontal="center" vertical="center"/>
    </xf>
    <xf numFmtId="0" fontId="45" fillId="6" borderId="15" xfId="10" applyFont="1" applyFill="1" applyBorder="1" applyAlignment="1">
      <alignment horizontal="center" vertical="center"/>
    </xf>
    <xf numFmtId="0" fontId="45" fillId="6" borderId="3" xfId="10" applyFont="1" applyFill="1" applyBorder="1" applyAlignment="1">
      <alignment horizontal="center" vertical="center"/>
    </xf>
    <xf numFmtId="0" fontId="45" fillId="6" borderId="1" xfId="10" applyFont="1" applyFill="1" applyBorder="1" applyAlignment="1">
      <alignment horizontal="center" vertical="center"/>
    </xf>
    <xf numFmtId="0" fontId="45" fillId="0" borderId="0" xfId="10" applyFont="1" applyAlignment="1" applyProtection="1">
      <alignment horizontal="center" vertical="center"/>
      <protection locked="0"/>
    </xf>
    <xf numFmtId="49" fontId="45" fillId="2" borderId="26" xfId="10" applyNumberFormat="1" applyFont="1" applyFill="1" applyBorder="1" applyAlignment="1" applyProtection="1">
      <alignment horizontal="center" vertical="center" wrapText="1"/>
      <protection locked="0"/>
    </xf>
    <xf numFmtId="49" fontId="45" fillId="2" borderId="69" xfId="10" applyNumberFormat="1" applyFont="1" applyFill="1" applyBorder="1" applyAlignment="1" applyProtection="1">
      <alignment horizontal="center" vertical="center" wrapText="1"/>
      <protection locked="0"/>
    </xf>
    <xf numFmtId="0" fontId="47" fillId="6" borderId="40" xfId="10" applyFont="1" applyFill="1" applyBorder="1" applyAlignment="1">
      <alignment vertical="center" wrapText="1"/>
    </xf>
    <xf numFmtId="0" fontId="45" fillId="6" borderId="28" xfId="10" applyFont="1" applyFill="1" applyBorder="1" applyAlignment="1">
      <alignment horizontal="center" vertical="center" wrapText="1"/>
    </xf>
    <xf numFmtId="0" fontId="45" fillId="0" borderId="50" xfId="10" applyFont="1" applyBorder="1" applyAlignment="1" applyProtection="1">
      <alignment horizontal="center" vertical="center" wrapText="1"/>
      <protection locked="0"/>
    </xf>
    <xf numFmtId="0" fontId="45" fillId="6" borderId="10" xfId="10" applyFont="1" applyFill="1" applyBorder="1" applyAlignment="1">
      <alignment horizontal="center" vertical="center" wrapText="1"/>
    </xf>
    <xf numFmtId="49" fontId="45" fillId="2" borderId="30" xfId="10" applyNumberFormat="1" applyFont="1" applyFill="1" applyBorder="1" applyAlignment="1" applyProtection="1">
      <alignment horizontal="center" vertical="center" wrapText="1"/>
      <protection locked="0"/>
    </xf>
    <xf numFmtId="49" fontId="45" fillId="2" borderId="6" xfId="10" applyNumberFormat="1" applyFont="1" applyFill="1" applyBorder="1" applyAlignment="1" applyProtection="1">
      <alignment horizontal="center" vertical="center" wrapText="1"/>
      <protection locked="0"/>
    </xf>
    <xf numFmtId="0" fontId="52" fillId="6" borderId="23" xfId="10" applyFont="1" applyFill="1" applyBorder="1" applyAlignment="1">
      <alignment horizontal="center" vertical="center" wrapText="1"/>
    </xf>
    <xf numFmtId="0" fontId="45" fillId="6" borderId="1" xfId="10" applyFont="1" applyFill="1" applyBorder="1" applyAlignment="1">
      <alignment horizontal="center" vertical="center" wrapText="1"/>
    </xf>
    <xf numFmtId="0" fontId="45" fillId="6" borderId="1" xfId="10" applyFont="1" applyFill="1" applyBorder="1" applyAlignment="1">
      <alignment horizontal="center" vertical="center" wrapText="1"/>
    </xf>
    <xf numFmtId="0" fontId="67" fillId="6" borderId="14" xfId="10" applyFont="1" applyFill="1" applyBorder="1" applyAlignment="1">
      <alignment vertical="center" wrapText="1"/>
    </xf>
    <xf numFmtId="0" fontId="45" fillId="6" borderId="5" xfId="10" applyFont="1" applyFill="1" applyBorder="1" applyAlignment="1">
      <alignment horizontal="center" vertical="center" wrapText="1"/>
    </xf>
    <xf numFmtId="176" fontId="45" fillId="0" borderId="23" xfId="10" applyNumberFormat="1" applyFont="1" applyBorder="1" applyAlignment="1" applyProtection="1">
      <alignment horizontal="center" vertical="center" wrapText="1"/>
      <protection locked="0"/>
    </xf>
    <xf numFmtId="0" fontId="45" fillId="6" borderId="24" xfId="10" applyFont="1" applyFill="1" applyBorder="1" applyAlignment="1">
      <alignment horizontal="center" vertical="center" wrapText="1"/>
    </xf>
    <xf numFmtId="176" fontId="45" fillId="0" borderId="3" xfId="10" applyNumberFormat="1" applyFont="1" applyBorder="1" applyAlignment="1" applyProtection="1">
      <alignment horizontal="center" vertical="center" wrapText="1"/>
      <protection locked="0"/>
    </xf>
    <xf numFmtId="181" fontId="68" fillId="11" borderId="0" xfId="10" applyNumberFormat="1" applyFont="1" applyFill="1" applyAlignment="1" applyProtection="1">
      <alignment horizontal="center" vertical="center" wrapText="1"/>
      <protection locked="0"/>
    </xf>
    <xf numFmtId="0" fontId="68" fillId="11" borderId="0" xfId="10" applyFont="1" applyFill="1" applyAlignment="1" applyProtection="1">
      <alignment horizontal="center" vertical="center"/>
      <protection locked="0"/>
    </xf>
    <xf numFmtId="0" fontId="68" fillId="0" borderId="0" xfId="10" applyFont="1" applyAlignment="1" applyProtection="1">
      <alignment horizontal="center" vertical="center"/>
      <protection locked="0"/>
    </xf>
    <xf numFmtId="0" fontId="51" fillId="6" borderId="14" xfId="10" applyFont="1" applyFill="1" applyBorder="1" applyAlignment="1">
      <alignment vertical="center" wrapText="1"/>
    </xf>
    <xf numFmtId="0" fontId="45" fillId="0" borderId="23" xfId="10" applyFont="1" applyBorder="1" applyAlignment="1" applyProtection="1">
      <alignment horizontal="center" vertical="center" wrapText="1"/>
      <protection locked="0"/>
    </xf>
    <xf numFmtId="0" fontId="45" fillId="0" borderId="3" xfId="10" applyFont="1" applyBorder="1" applyAlignment="1" applyProtection="1">
      <alignment horizontal="center" vertical="center" wrapText="1"/>
      <protection locked="0"/>
    </xf>
    <xf numFmtId="0" fontId="59" fillId="0" borderId="48" xfId="10" applyFont="1" applyBorder="1" applyAlignment="1" applyProtection="1">
      <alignment horizontal="center" vertical="center" wrapText="1"/>
      <protection locked="0"/>
    </xf>
    <xf numFmtId="181" fontId="50" fillId="11" borderId="0" xfId="10" applyNumberFormat="1" applyFont="1" applyFill="1" applyAlignment="1" applyProtection="1">
      <alignment horizontal="center" vertical="center" wrapText="1"/>
      <protection locked="0"/>
    </xf>
    <xf numFmtId="0" fontId="47" fillId="6" borderId="14" xfId="10" applyFont="1" applyFill="1" applyBorder="1" applyAlignment="1">
      <alignment vertical="center" wrapText="1"/>
    </xf>
    <xf numFmtId="0" fontId="45" fillId="0" borderId="46" xfId="10" applyFont="1" applyBorder="1" applyAlignment="1" applyProtection="1">
      <alignment horizontal="center" vertical="center" wrapText="1"/>
      <protection locked="0"/>
    </xf>
    <xf numFmtId="0" fontId="45" fillId="0" borderId="41" xfId="10" applyFont="1" applyBorder="1" applyAlignment="1" applyProtection="1">
      <alignment horizontal="center" vertical="center" wrapText="1"/>
      <protection locked="0"/>
    </xf>
    <xf numFmtId="0" fontId="45" fillId="6" borderId="70" xfId="10" applyFont="1" applyFill="1" applyBorder="1" applyAlignment="1">
      <alignment horizontal="center" vertical="center" wrapText="1"/>
    </xf>
    <xf numFmtId="0" fontId="59" fillId="6" borderId="48" xfId="10" applyFont="1" applyFill="1" applyBorder="1" applyAlignment="1">
      <alignment horizontal="center" vertical="center" wrapText="1"/>
    </xf>
    <xf numFmtId="0" fontId="52" fillId="0" borderId="37" xfId="10" applyFont="1" applyBorder="1" applyAlignment="1" applyProtection="1">
      <alignment horizontal="center" vertical="center" wrapText="1"/>
      <protection locked="0"/>
    </xf>
    <xf numFmtId="0" fontId="52" fillId="6" borderId="24" xfId="10" applyFont="1" applyFill="1" applyBorder="1" applyAlignment="1">
      <alignment horizontal="center" vertical="center" wrapText="1"/>
    </xf>
    <xf numFmtId="181" fontId="69" fillId="11" borderId="0" xfId="10" applyNumberFormat="1" applyFont="1" applyFill="1" applyAlignment="1" applyProtection="1">
      <alignment horizontal="center" vertical="center" wrapText="1"/>
      <protection locked="0"/>
    </xf>
    <xf numFmtId="0" fontId="51" fillId="6" borderId="12" xfId="10" applyFont="1" applyFill="1" applyBorder="1" applyAlignment="1">
      <alignment vertical="center" wrapText="1"/>
    </xf>
    <xf numFmtId="0" fontId="45" fillId="0" borderId="33" xfId="10" applyFont="1" applyBorder="1" applyAlignment="1" applyProtection="1">
      <alignment horizontal="center" vertical="center" wrapText="1"/>
      <protection locked="0"/>
    </xf>
    <xf numFmtId="0" fontId="52" fillId="0" borderId="38" xfId="10" applyFont="1" applyBorder="1" applyAlignment="1" applyProtection="1">
      <alignment horizontal="center" vertical="center" wrapText="1"/>
      <protection locked="0"/>
    </xf>
    <xf numFmtId="0" fontId="52" fillId="6" borderId="49" xfId="10" applyFont="1" applyFill="1" applyBorder="1" applyAlignment="1">
      <alignment horizontal="center" vertical="center" wrapText="1"/>
    </xf>
    <xf numFmtId="0" fontId="52" fillId="6" borderId="33" xfId="10" applyFont="1" applyFill="1" applyBorder="1" applyAlignment="1">
      <alignment horizontal="center" vertical="center" wrapText="1"/>
    </xf>
    <xf numFmtId="0" fontId="51" fillId="6" borderId="40" xfId="10" applyFont="1" applyFill="1" applyBorder="1" applyAlignment="1">
      <alignment vertical="center" wrapText="1"/>
    </xf>
    <xf numFmtId="0" fontId="45" fillId="6" borderId="29" xfId="10" applyFont="1" applyFill="1" applyBorder="1" applyAlignment="1">
      <alignment horizontal="center" vertical="center" wrapText="1"/>
    </xf>
    <xf numFmtId="49" fontId="52" fillId="6" borderId="40" xfId="10" applyNumberFormat="1" applyFont="1" applyFill="1" applyBorder="1" applyAlignment="1">
      <alignment horizontal="center" vertical="center" wrapText="1"/>
    </xf>
    <xf numFmtId="0" fontId="52" fillId="6" borderId="61" xfId="10" applyFont="1" applyFill="1" applyBorder="1" applyAlignment="1">
      <alignment horizontal="center" vertical="center" wrapText="1"/>
    </xf>
    <xf numFmtId="49" fontId="52" fillId="0" borderId="40" xfId="10" applyNumberFormat="1" applyFont="1" applyBorder="1" applyAlignment="1" applyProtection="1">
      <alignment horizontal="center" vertical="center" wrapText="1"/>
      <protection locked="0"/>
    </xf>
    <xf numFmtId="49" fontId="52" fillId="0" borderId="39" xfId="10" applyNumberFormat="1" applyFont="1" applyBorder="1" applyAlignment="1" applyProtection="1">
      <alignment horizontal="center" vertical="center" wrapText="1"/>
      <protection locked="0"/>
    </xf>
    <xf numFmtId="0" fontId="59" fillId="0" borderId="157" xfId="10" applyFont="1" applyBorder="1" applyAlignment="1" applyProtection="1">
      <alignment horizontal="center" vertical="center" wrapText="1"/>
      <protection locked="0"/>
    </xf>
    <xf numFmtId="0" fontId="52" fillId="6" borderId="11" xfId="10" applyFont="1" applyFill="1" applyBorder="1" applyAlignment="1">
      <alignment horizontal="center" vertical="center" wrapText="1"/>
    </xf>
    <xf numFmtId="0" fontId="52" fillId="6" borderId="1" xfId="10" applyFont="1" applyFill="1" applyBorder="1" applyAlignment="1">
      <alignment horizontal="center" vertical="center" wrapText="1"/>
    </xf>
    <xf numFmtId="187" fontId="52" fillId="6" borderId="5" xfId="10" applyNumberFormat="1" applyFont="1" applyFill="1" applyBorder="1" applyAlignment="1">
      <alignment horizontal="center" vertical="center"/>
    </xf>
    <xf numFmtId="49" fontId="52" fillId="6" borderId="3" xfId="10" applyNumberFormat="1" applyFont="1" applyFill="1" applyBorder="1" applyAlignment="1">
      <alignment horizontal="center" vertical="center"/>
    </xf>
    <xf numFmtId="0" fontId="52" fillId="6" borderId="13" xfId="10" applyFont="1" applyFill="1" applyBorder="1" applyAlignment="1">
      <alignment horizontal="center" vertical="center" wrapText="1"/>
    </xf>
    <xf numFmtId="0" fontId="52" fillId="6" borderId="1" xfId="10" applyFont="1" applyFill="1" applyBorder="1" applyAlignment="1">
      <alignment horizontal="center" vertical="center"/>
    </xf>
    <xf numFmtId="0" fontId="52" fillId="6" borderId="0" xfId="10" applyFont="1" applyFill="1" applyAlignment="1">
      <alignment horizontal="center" vertical="center"/>
    </xf>
    <xf numFmtId="0" fontId="52" fillId="2" borderId="41" xfId="10" applyFont="1" applyFill="1" applyBorder="1" applyAlignment="1" applyProtection="1">
      <alignment horizontal="center" vertical="center" wrapText="1"/>
      <protection locked="0"/>
    </xf>
    <xf numFmtId="0" fontId="52" fillId="6" borderId="8" xfId="10" applyFont="1" applyFill="1" applyBorder="1" applyAlignment="1">
      <alignment horizontal="center" vertical="center" wrapText="1"/>
    </xf>
    <xf numFmtId="49" fontId="52" fillId="2" borderId="41" xfId="10" applyNumberFormat="1" applyFont="1" applyFill="1" applyBorder="1" applyAlignment="1" applyProtection="1">
      <alignment horizontal="center" vertical="center" wrapText="1"/>
      <protection locked="0"/>
    </xf>
    <xf numFmtId="49" fontId="52" fillId="2" borderId="7" xfId="10" applyNumberFormat="1" applyFont="1" applyFill="1" applyBorder="1" applyAlignment="1" applyProtection="1">
      <alignment horizontal="center" vertical="center" wrapText="1"/>
      <protection locked="0"/>
    </xf>
    <xf numFmtId="0" fontId="52" fillId="6" borderId="52" xfId="10" applyFont="1" applyFill="1" applyBorder="1" applyAlignment="1">
      <alignment horizontal="center" vertical="center" wrapText="1"/>
    </xf>
    <xf numFmtId="0" fontId="59" fillId="6" borderId="158" xfId="10" applyFont="1" applyFill="1" applyBorder="1" applyAlignment="1">
      <alignment horizontal="center" vertical="center" wrapText="1"/>
    </xf>
    <xf numFmtId="0" fontId="52" fillId="6" borderId="14" xfId="10" applyFont="1" applyFill="1" applyBorder="1" applyAlignment="1">
      <alignment horizontal="center" vertical="center" wrapText="1"/>
    </xf>
    <xf numFmtId="0" fontId="52" fillId="6" borderId="15" xfId="10" applyFont="1" applyFill="1" applyBorder="1" applyAlignment="1">
      <alignment horizontal="center" vertical="center" wrapText="1"/>
    </xf>
    <xf numFmtId="0" fontId="45" fillId="6" borderId="46" xfId="10" applyFont="1" applyFill="1" applyBorder="1" applyAlignment="1">
      <alignment horizontal="center" vertical="center" wrapText="1"/>
    </xf>
    <xf numFmtId="0" fontId="52" fillId="6" borderId="11" xfId="10" applyFont="1" applyFill="1" applyBorder="1" applyAlignment="1">
      <alignment horizontal="center" vertical="center" wrapText="1"/>
    </xf>
    <xf numFmtId="49" fontId="52" fillId="0" borderId="14" xfId="10" applyNumberFormat="1" applyFont="1" applyBorder="1" applyAlignment="1" applyProtection="1">
      <alignment horizontal="center" vertical="center" wrapText="1"/>
      <protection locked="0"/>
    </xf>
    <xf numFmtId="49" fontId="52" fillId="0" borderId="35" xfId="10" applyNumberFormat="1" applyFont="1" applyBorder="1" applyAlignment="1" applyProtection="1">
      <alignment horizontal="center" vertical="center" wrapText="1"/>
      <protection locked="0"/>
    </xf>
    <xf numFmtId="0" fontId="52" fillId="6" borderId="60" xfId="10" applyFont="1" applyFill="1" applyBorder="1" applyAlignment="1">
      <alignment horizontal="center" vertical="center" wrapText="1"/>
    </xf>
    <xf numFmtId="0" fontId="45" fillId="6" borderId="4" xfId="10" applyFont="1" applyFill="1" applyBorder="1" applyAlignment="1">
      <alignment horizontal="center" vertical="center" wrapText="1"/>
    </xf>
    <xf numFmtId="0" fontId="52" fillId="2" borderId="14" xfId="10" applyFont="1" applyFill="1" applyBorder="1" applyAlignment="1" applyProtection="1">
      <alignment horizontal="center" vertical="center" wrapText="1"/>
      <protection locked="0"/>
    </xf>
    <xf numFmtId="49" fontId="52" fillId="0" borderId="11" xfId="10" applyNumberFormat="1" applyFont="1" applyBorder="1" applyAlignment="1" applyProtection="1">
      <alignment horizontal="center" vertical="center" wrapText="1"/>
      <protection locked="0"/>
    </xf>
    <xf numFmtId="49" fontId="52" fillId="0" borderId="22" xfId="10" applyNumberFormat="1" applyFont="1" applyBorder="1" applyAlignment="1" applyProtection="1">
      <alignment horizontal="center" vertical="center" wrapText="1"/>
      <protection locked="0"/>
    </xf>
    <xf numFmtId="0" fontId="45" fillId="6" borderId="57" xfId="10" applyFont="1" applyFill="1" applyBorder="1" applyAlignment="1">
      <alignment horizontal="center" vertical="center" wrapText="1"/>
    </xf>
    <xf numFmtId="0" fontId="52" fillId="2" borderId="7" xfId="10" applyFont="1" applyFill="1" applyBorder="1" applyAlignment="1" applyProtection="1">
      <alignment horizontal="center" vertical="center" wrapText="1"/>
      <protection locked="0"/>
    </xf>
    <xf numFmtId="0" fontId="59" fillId="6" borderId="78" xfId="10" applyFont="1" applyFill="1" applyBorder="1" applyAlignment="1">
      <alignment horizontal="center" vertical="center" wrapText="1"/>
    </xf>
    <xf numFmtId="0" fontId="52" fillId="2" borderId="23" xfId="10" applyFont="1" applyFill="1" applyBorder="1" applyAlignment="1" applyProtection="1">
      <alignment horizontal="center" vertical="center" wrapText="1"/>
      <protection locked="0"/>
    </xf>
    <xf numFmtId="49" fontId="52" fillId="2" borderId="23" xfId="10" applyNumberFormat="1" applyFont="1" applyFill="1" applyBorder="1" applyAlignment="1" applyProtection="1">
      <alignment horizontal="center" vertical="center" wrapText="1"/>
      <protection locked="0"/>
    </xf>
    <xf numFmtId="49" fontId="52" fillId="2" borderId="3" xfId="10" applyNumberFormat="1" applyFont="1" applyFill="1" applyBorder="1" applyAlignment="1" applyProtection="1">
      <alignment horizontal="center" vertical="center" wrapText="1"/>
      <protection locked="0"/>
    </xf>
    <xf numFmtId="0" fontId="45" fillId="0" borderId="5" xfId="10" applyFont="1" applyBorder="1" applyAlignment="1" applyProtection="1">
      <alignment horizontal="center" vertical="center" wrapText="1"/>
      <protection locked="0"/>
    </xf>
    <xf numFmtId="0" fontId="45" fillId="6" borderId="8" xfId="10" applyFont="1" applyFill="1" applyBorder="1" applyAlignment="1">
      <alignment horizontal="center" vertical="center" wrapText="1"/>
    </xf>
    <xf numFmtId="49" fontId="45" fillId="0" borderId="41" xfId="10" applyNumberFormat="1" applyFont="1" applyBorder="1" applyAlignment="1" applyProtection="1">
      <alignment horizontal="center" vertical="center" wrapText="1"/>
      <protection locked="0"/>
    </xf>
    <xf numFmtId="49" fontId="45" fillId="0" borderId="7" xfId="10" applyNumberFormat="1" applyFont="1" applyBorder="1" applyAlignment="1" applyProtection="1">
      <alignment horizontal="center" vertical="center" wrapText="1"/>
      <protection locked="0"/>
    </xf>
    <xf numFmtId="0" fontId="52" fillId="0" borderId="53" xfId="10" applyFont="1" applyBorder="1" applyAlignment="1" applyProtection="1">
      <alignment horizontal="center" vertical="center" wrapText="1"/>
      <protection locked="0"/>
    </xf>
    <xf numFmtId="0" fontId="52" fillId="0" borderId="51" xfId="10" applyFont="1" applyBorder="1" applyAlignment="1" applyProtection="1">
      <alignment horizontal="center" vertical="center" wrapText="1"/>
      <protection locked="0"/>
    </xf>
    <xf numFmtId="0" fontId="52" fillId="2" borderId="6" xfId="10" applyFont="1" applyFill="1" applyBorder="1" applyAlignment="1" applyProtection="1">
      <alignment horizontal="center" vertical="center" wrapText="1"/>
      <protection locked="0"/>
    </xf>
    <xf numFmtId="0" fontId="52" fillId="6" borderId="10" xfId="10" applyFont="1" applyFill="1" applyBorder="1" applyAlignment="1">
      <alignment horizontal="center" vertical="center" wrapText="1"/>
    </xf>
    <xf numFmtId="0" fontId="52" fillId="2" borderId="30" xfId="10" applyFont="1" applyFill="1" applyBorder="1" applyAlignment="1" applyProtection="1">
      <alignment horizontal="center" vertical="center" wrapText="1"/>
      <protection locked="0"/>
    </xf>
    <xf numFmtId="0" fontId="52" fillId="6" borderId="5" xfId="10" applyFont="1" applyFill="1" applyBorder="1" applyAlignment="1">
      <alignment horizontal="center" vertical="center" wrapText="1"/>
    </xf>
    <xf numFmtId="0" fontId="52" fillId="6" borderId="11" xfId="10" applyFont="1" applyFill="1" applyBorder="1" applyAlignment="1">
      <alignment horizontal="center" vertical="center" textRotation="255" wrapText="1"/>
    </xf>
    <xf numFmtId="0" fontId="52" fillId="6" borderId="15" xfId="10" applyFont="1" applyFill="1" applyBorder="1" applyAlignment="1">
      <alignment horizontal="center" vertical="center" textRotation="255" wrapText="1"/>
    </xf>
    <xf numFmtId="0" fontId="70" fillId="6" borderId="14" xfId="10" applyFont="1" applyFill="1" applyBorder="1" applyAlignment="1">
      <alignment vertical="center" textRotation="255" wrapText="1"/>
    </xf>
    <xf numFmtId="0" fontId="45" fillId="0" borderId="37" xfId="10" applyFont="1" applyBorder="1" applyAlignment="1" applyProtection="1">
      <alignment horizontal="center" vertical="center" wrapText="1"/>
      <protection locked="0"/>
    </xf>
    <xf numFmtId="0" fontId="50" fillId="11" borderId="0" xfId="10" applyFont="1" applyFill="1" applyAlignment="1" applyProtection="1">
      <alignment horizontal="center" vertical="center"/>
      <protection locked="0"/>
    </xf>
    <xf numFmtId="0" fontId="52" fillId="6" borderId="14" xfId="10" applyFont="1" applyFill="1" applyBorder="1" applyAlignment="1">
      <alignment horizontal="center" vertical="center" textRotation="255" wrapText="1"/>
    </xf>
    <xf numFmtId="0" fontId="50" fillId="6" borderId="1" xfId="10" applyFont="1" applyFill="1" applyBorder="1" applyAlignment="1">
      <alignment horizontal="center" vertical="center" wrapText="1"/>
    </xf>
    <xf numFmtId="187" fontId="50" fillId="6" borderId="5" xfId="10" applyNumberFormat="1" applyFont="1" applyFill="1" applyBorder="1" applyAlignment="1">
      <alignment horizontal="center" vertical="center"/>
    </xf>
    <xf numFmtId="49" fontId="50" fillId="6" borderId="3" xfId="10" applyNumberFormat="1" applyFont="1" applyFill="1" applyBorder="1" applyAlignment="1">
      <alignment horizontal="center" vertical="center"/>
    </xf>
    <xf numFmtId="0" fontId="50" fillId="6" borderId="15" xfId="10" applyFont="1" applyFill="1" applyBorder="1" applyAlignment="1">
      <alignment horizontal="center" vertical="center"/>
    </xf>
    <xf numFmtId="0" fontId="50" fillId="6" borderId="1" xfId="10" applyFont="1" applyFill="1" applyBorder="1" applyAlignment="1">
      <alignment horizontal="center" vertical="center"/>
    </xf>
    <xf numFmtId="0" fontId="50" fillId="0" borderId="0" xfId="10" applyFont="1" applyAlignment="1" applyProtection="1">
      <alignment horizontal="center" vertical="center"/>
      <protection locked="0"/>
    </xf>
    <xf numFmtId="0" fontId="51" fillId="6" borderId="14" xfId="10" applyFont="1" applyFill="1" applyBorder="1" applyAlignment="1">
      <alignment vertical="center" textRotation="255" wrapText="1"/>
    </xf>
    <xf numFmtId="0" fontId="52" fillId="2" borderId="3" xfId="10" applyFont="1" applyFill="1" applyBorder="1" applyAlignment="1" applyProtection="1">
      <alignment horizontal="center" vertical="center" wrapText="1"/>
      <protection locked="0"/>
    </xf>
    <xf numFmtId="0" fontId="47" fillId="6" borderId="14" xfId="10" applyFont="1" applyFill="1" applyBorder="1" applyAlignment="1">
      <alignment vertical="center" textRotation="255" wrapText="1"/>
    </xf>
    <xf numFmtId="9" fontId="45" fillId="0" borderId="37" xfId="10" applyNumberFormat="1" applyFont="1" applyBorder="1" applyAlignment="1" applyProtection="1">
      <alignment horizontal="center" vertical="center" wrapText="1"/>
      <protection locked="0"/>
    </xf>
    <xf numFmtId="9" fontId="45" fillId="0" borderId="23" xfId="10" applyNumberFormat="1" applyFont="1" applyBorder="1" applyAlignment="1" applyProtection="1">
      <alignment horizontal="center" vertical="center" wrapText="1"/>
      <protection locked="0"/>
    </xf>
    <xf numFmtId="9" fontId="45" fillId="0" borderId="3" xfId="10" applyNumberFormat="1" applyFont="1" applyBorder="1" applyAlignment="1" applyProtection="1">
      <alignment horizontal="center" vertical="center" wrapText="1"/>
      <protection locked="0"/>
    </xf>
    <xf numFmtId="0" fontId="52" fillId="0" borderId="3" xfId="10" applyFont="1" applyBorder="1" applyAlignment="1" applyProtection="1">
      <alignment horizontal="center" vertical="center" wrapText="1"/>
      <protection locked="0"/>
    </xf>
    <xf numFmtId="0" fontId="51" fillId="6" borderId="12" xfId="10" applyFont="1" applyFill="1" applyBorder="1" applyAlignment="1">
      <alignment vertical="center" textRotation="255" wrapText="1"/>
    </xf>
    <xf numFmtId="0" fontId="52" fillId="6" borderId="41" xfId="10" applyFont="1" applyFill="1" applyBorder="1" applyAlignment="1">
      <alignment horizontal="center" vertical="center" textRotation="255" wrapText="1"/>
    </xf>
    <xf numFmtId="0" fontId="52" fillId="6" borderId="2" xfId="10" applyFont="1" applyFill="1" applyBorder="1" applyAlignment="1">
      <alignment horizontal="center" vertical="center" textRotation="255" wrapText="1"/>
    </xf>
    <xf numFmtId="49" fontId="51" fillId="6" borderId="50" xfId="10" applyNumberFormat="1" applyFont="1" applyFill="1" applyBorder="1">
      <alignment vertical="center"/>
    </xf>
    <xf numFmtId="49" fontId="51" fillId="6" borderId="20" xfId="10" applyNumberFormat="1" applyFont="1" applyFill="1" applyBorder="1">
      <alignment vertical="center"/>
    </xf>
    <xf numFmtId="0" fontId="51" fillId="6" borderId="50" xfId="10" applyFont="1" applyFill="1" applyBorder="1" applyAlignment="1">
      <alignment horizontal="right" vertical="center" wrapText="1"/>
    </xf>
    <xf numFmtId="0" fontId="51" fillId="6" borderId="21" xfId="10" applyFont="1" applyFill="1" applyBorder="1" applyAlignment="1">
      <alignment vertical="center" wrapText="1"/>
    </xf>
    <xf numFmtId="0" fontId="71" fillId="3" borderId="20" xfId="10" applyFont="1" applyFill="1" applyBorder="1" applyAlignment="1" applyProtection="1">
      <alignment vertical="center" wrapText="1"/>
      <protection locked="0"/>
    </xf>
    <xf numFmtId="0" fontId="71" fillId="6" borderId="20" xfId="10" applyFont="1" applyFill="1" applyBorder="1" applyAlignment="1">
      <alignment vertical="center" wrapText="1"/>
    </xf>
    <xf numFmtId="0" fontId="71" fillId="3" borderId="50" xfId="10" applyFont="1" applyFill="1" applyBorder="1" applyAlignment="1" applyProtection="1">
      <alignment vertical="center" wrapText="1"/>
      <protection locked="0"/>
    </xf>
    <xf numFmtId="0" fontId="71" fillId="6" borderId="21" xfId="10" applyFont="1" applyFill="1" applyBorder="1" applyAlignment="1">
      <alignment vertical="center" wrapText="1"/>
    </xf>
    <xf numFmtId="188" fontId="52" fillId="6" borderId="48" xfId="10" applyNumberFormat="1" applyFont="1" applyFill="1" applyBorder="1" applyAlignment="1">
      <alignment horizontal="center" vertical="center"/>
    </xf>
    <xf numFmtId="181" fontId="52" fillId="11" borderId="0" xfId="10" applyNumberFormat="1" applyFont="1" applyFill="1" applyAlignment="1" applyProtection="1">
      <alignment vertical="center" wrapText="1"/>
      <protection locked="0"/>
    </xf>
    <xf numFmtId="0" fontId="52" fillId="6" borderId="1" xfId="10" applyFont="1" applyFill="1" applyBorder="1" applyAlignment="1">
      <alignment horizontal="center" vertical="center" wrapText="1"/>
    </xf>
    <xf numFmtId="0" fontId="52" fillId="6" borderId="2" xfId="10" applyFont="1" applyFill="1" applyBorder="1" applyAlignment="1">
      <alignment vertical="center" textRotation="255" wrapText="1"/>
    </xf>
    <xf numFmtId="49" fontId="51" fillId="6" borderId="38" xfId="10" applyNumberFormat="1" applyFont="1" applyFill="1" applyBorder="1">
      <alignment vertical="center"/>
    </xf>
    <xf numFmtId="49" fontId="51" fillId="6" borderId="51" xfId="10" applyNumberFormat="1" applyFont="1" applyFill="1" applyBorder="1">
      <alignment vertical="center"/>
    </xf>
    <xf numFmtId="0" fontId="51" fillId="6" borderId="38" xfId="10" applyFont="1" applyFill="1" applyBorder="1" applyAlignment="1">
      <alignment vertical="center" wrapText="1"/>
    </xf>
    <xf numFmtId="0" fontId="55" fillId="17" borderId="67" xfId="10" applyFont="1" applyFill="1" applyBorder="1" applyAlignment="1" applyProtection="1">
      <alignment horizontal="left" vertical="center" wrapText="1"/>
      <protection locked="0"/>
    </xf>
    <xf numFmtId="0" fontId="51" fillId="6" borderId="51" xfId="10" applyFont="1" applyFill="1" applyBorder="1" applyAlignment="1">
      <alignment vertical="center" wrapText="1"/>
    </xf>
    <xf numFmtId="181" fontId="51" fillId="17" borderId="67" xfId="10" applyNumberFormat="1" applyFont="1" applyFill="1" applyBorder="1" applyAlignment="1" applyProtection="1">
      <alignment horizontal="left" vertical="center" wrapText="1"/>
      <protection locked="0"/>
    </xf>
    <xf numFmtId="176" fontId="52" fillId="17" borderId="48" xfId="10" applyNumberFormat="1" applyFont="1" applyFill="1" applyBorder="1" applyAlignment="1">
      <alignment horizontal="left" vertical="center" wrapText="1"/>
    </xf>
    <xf numFmtId="49" fontId="51" fillId="0" borderId="42" xfId="10" applyNumberFormat="1" applyFont="1" applyBorder="1" applyProtection="1">
      <alignment vertical="center"/>
      <protection locked="0"/>
    </xf>
    <xf numFmtId="49" fontId="51" fillId="0" borderId="43" xfId="10" applyNumberFormat="1" applyFont="1" applyBorder="1" applyProtection="1">
      <alignment vertical="center"/>
      <protection locked="0"/>
    </xf>
    <xf numFmtId="0" fontId="51" fillId="6" borderId="47" xfId="10" applyFont="1" applyFill="1" applyBorder="1" applyAlignment="1" applyProtection="1">
      <alignment vertical="center" wrapText="1"/>
      <protection locked="0"/>
    </xf>
    <xf numFmtId="188" fontId="52" fillId="6" borderId="49" xfId="10" applyNumberFormat="1" applyFont="1" applyFill="1" applyBorder="1" applyAlignment="1">
      <alignment horizontal="center" vertical="center" wrapText="1"/>
    </xf>
    <xf numFmtId="0" fontId="52" fillId="6" borderId="5" xfId="10" applyFont="1" applyFill="1" applyBorder="1" applyAlignment="1">
      <alignment horizontal="center" vertical="center" wrapText="1"/>
    </xf>
    <xf numFmtId="0" fontId="52" fillId="6" borderId="3" xfId="10" applyFont="1" applyFill="1" applyBorder="1" applyAlignment="1">
      <alignment horizontal="center" vertical="center" wrapText="1"/>
    </xf>
    <xf numFmtId="0" fontId="51" fillId="17" borderId="1" xfId="10" applyFont="1" applyFill="1" applyBorder="1" applyAlignment="1">
      <alignment horizontal="center" vertical="center"/>
    </xf>
    <xf numFmtId="9" fontId="52" fillId="11" borderId="0" xfId="10" applyNumberFormat="1" applyFont="1" applyFill="1" applyAlignment="1" applyProtection="1">
      <alignment horizontal="center" vertical="center"/>
      <protection locked="0"/>
    </xf>
    <xf numFmtId="188" fontId="52" fillId="11" borderId="0" xfId="10" applyNumberFormat="1" applyFont="1" applyFill="1" applyAlignment="1" applyProtection="1">
      <alignment horizontal="center" vertical="center"/>
      <protection locked="0"/>
    </xf>
    <xf numFmtId="181" fontId="52" fillId="11" borderId="0" xfId="10" applyNumberFormat="1" applyFont="1" applyFill="1" applyAlignment="1" applyProtection="1">
      <alignment horizontal="center" vertical="center"/>
      <protection locked="0"/>
    </xf>
    <xf numFmtId="0" fontId="52" fillId="0" borderId="18" xfId="10" applyFont="1" applyBorder="1" applyAlignment="1" applyProtection="1">
      <alignment horizontal="center" vertical="center"/>
      <protection locked="0"/>
    </xf>
    <xf numFmtId="0" fontId="51" fillId="6" borderId="1" xfId="10" applyFont="1" applyFill="1" applyBorder="1" applyAlignment="1">
      <alignment horizontal="left" vertical="center"/>
    </xf>
    <xf numFmtId="0" fontId="51" fillId="6" borderId="1" xfId="10" applyFont="1" applyFill="1" applyBorder="1" applyAlignment="1">
      <alignment horizontal="center" vertical="center" wrapText="1"/>
    </xf>
    <xf numFmtId="181" fontId="52" fillId="6" borderId="5" xfId="10" applyNumberFormat="1" applyFont="1" applyFill="1" applyBorder="1" applyAlignment="1">
      <alignment horizontal="center" vertical="center"/>
    </xf>
    <xf numFmtId="181" fontId="52" fillId="6" borderId="3" xfId="10" applyNumberFormat="1" applyFont="1" applyFill="1" applyBorder="1">
      <alignment vertical="center"/>
    </xf>
    <xf numFmtId="0" fontId="51" fillId="6" borderId="3" xfId="10" applyFont="1" applyFill="1" applyBorder="1" applyAlignment="1">
      <alignment horizontal="center" vertical="center" wrapText="1"/>
    </xf>
    <xf numFmtId="0" fontId="69" fillId="11" borderId="0" xfId="10" applyFont="1" applyFill="1" applyAlignment="1" applyProtection="1">
      <alignment horizontal="center" vertical="center"/>
      <protection locked="0"/>
    </xf>
    <xf numFmtId="188" fontId="69" fillId="11" borderId="0" xfId="10" applyNumberFormat="1" applyFont="1" applyFill="1" applyAlignment="1" applyProtection="1">
      <alignment horizontal="center" vertical="center"/>
      <protection locked="0"/>
    </xf>
    <xf numFmtId="181" fontId="69" fillId="11" borderId="0" xfId="10" applyNumberFormat="1" applyFont="1" applyFill="1" applyAlignment="1" applyProtection="1">
      <alignment horizontal="center" vertical="center"/>
      <protection locked="0"/>
    </xf>
    <xf numFmtId="0" fontId="69" fillId="0" borderId="18" xfId="10" applyFont="1" applyBorder="1" applyAlignment="1" applyProtection="1">
      <alignment horizontal="center" vertical="center"/>
      <protection locked="0"/>
    </xf>
    <xf numFmtId="0" fontId="69" fillId="0" borderId="0" xfId="10" applyFont="1" applyAlignment="1" applyProtection="1">
      <alignment horizontal="center" vertical="center"/>
      <protection locked="0"/>
    </xf>
    <xf numFmtId="14" fontId="52" fillId="11" borderId="0" xfId="10" applyNumberFormat="1" applyFont="1" applyFill="1" applyAlignment="1" applyProtection="1">
      <alignment horizontal="center" vertical="center"/>
      <protection locked="0"/>
    </xf>
    <xf numFmtId="176" fontId="52" fillId="11" borderId="0" xfId="10" applyNumberFormat="1" applyFont="1" applyFill="1" applyAlignment="1" applyProtection="1">
      <alignment horizontal="center" vertical="center"/>
      <protection locked="0"/>
    </xf>
    <xf numFmtId="0" fontId="57" fillId="6" borderId="0" xfId="10" applyFont="1" applyFill="1" applyAlignment="1"/>
    <xf numFmtId="0" fontId="52" fillId="6" borderId="0" xfId="10" applyFont="1" applyFill="1" applyAlignment="1"/>
    <xf numFmtId="0" fontId="52" fillId="6" borderId="0" xfId="10" applyFont="1" applyFill="1" applyAlignment="1">
      <alignment horizontal="center"/>
    </xf>
    <xf numFmtId="188" fontId="52" fillId="6" borderId="0" xfId="10" applyNumberFormat="1" applyFont="1" applyFill="1" applyAlignment="1" applyProtection="1">
      <alignment horizontal="center"/>
      <protection locked="0"/>
    </xf>
    <xf numFmtId="181" fontId="52" fillId="6" borderId="0" xfId="10" applyNumberFormat="1" applyFont="1" applyFill="1" applyAlignment="1" applyProtection="1">
      <protection locked="0"/>
    </xf>
    <xf numFmtId="0" fontId="52" fillId="6" borderId="0" xfId="10" applyFont="1" applyFill="1" applyAlignment="1" applyProtection="1">
      <protection locked="0"/>
    </xf>
    <xf numFmtId="0" fontId="52" fillId="0" borderId="18" xfId="10" applyFont="1" applyBorder="1" applyAlignment="1" applyProtection="1">
      <protection locked="0"/>
    </xf>
    <xf numFmtId="9" fontId="45" fillId="0" borderId="0" xfId="10" applyNumberFormat="1" applyFont="1" applyAlignment="1" applyProtection="1">
      <alignment horizontal="center" vertical="center" wrapText="1"/>
      <protection locked="0"/>
    </xf>
    <xf numFmtId="0" fontId="47" fillId="6" borderId="16" xfId="10" applyFont="1" applyFill="1" applyBorder="1" applyAlignment="1">
      <alignment vertical="center" wrapText="1"/>
    </xf>
    <xf numFmtId="0" fontId="47" fillId="6" borderId="39" xfId="10" applyFont="1" applyFill="1" applyBorder="1" applyAlignment="1">
      <alignment vertical="center" wrapText="1"/>
    </xf>
    <xf numFmtId="189" fontId="45" fillId="6" borderId="39" xfId="10" applyNumberFormat="1" applyFont="1" applyFill="1" applyBorder="1" applyAlignment="1">
      <alignment horizontal="center" vertical="center" wrapText="1"/>
    </xf>
    <xf numFmtId="189" fontId="45" fillId="6" borderId="9" xfId="10" applyNumberFormat="1" applyFont="1" applyFill="1" applyBorder="1" applyAlignment="1">
      <alignment horizontal="center" vertical="center" wrapText="1"/>
    </xf>
    <xf numFmtId="49" fontId="45" fillId="0" borderId="18" xfId="10" applyNumberFormat="1" applyFont="1" applyBorder="1" applyAlignment="1" applyProtection="1">
      <alignment horizontal="center" vertical="center"/>
      <protection locked="0"/>
    </xf>
    <xf numFmtId="49" fontId="45" fillId="0" borderId="0" xfId="10" applyNumberFormat="1" applyFont="1" applyAlignment="1" applyProtection="1">
      <alignment horizontal="center" vertical="center"/>
      <protection locked="0"/>
    </xf>
    <xf numFmtId="0" fontId="47" fillId="6" borderId="18" xfId="10" applyFont="1" applyFill="1" applyBorder="1" applyAlignment="1">
      <alignment vertical="center" wrapText="1"/>
    </xf>
    <xf numFmtId="0" fontId="47" fillId="6" borderId="0" xfId="10" applyFont="1" applyFill="1" applyAlignment="1">
      <alignment vertical="center" wrapText="1"/>
    </xf>
    <xf numFmtId="0" fontId="52" fillId="6" borderId="13" xfId="10" applyFont="1" applyFill="1" applyBorder="1" applyAlignment="1" applyProtection="1">
      <alignment horizontal="center" vertical="center" wrapText="1"/>
      <protection locked="0"/>
    </xf>
    <xf numFmtId="0" fontId="45" fillId="0" borderId="22" xfId="10" applyFont="1" applyBorder="1" applyAlignment="1" applyProtection="1">
      <alignment horizontal="center" vertical="center" wrapText="1"/>
      <protection locked="0"/>
    </xf>
    <xf numFmtId="0" fontId="45" fillId="0" borderId="13" xfId="10" applyFont="1" applyBorder="1" applyAlignment="1" applyProtection="1">
      <alignment horizontal="center" vertical="center" wrapText="1"/>
      <protection locked="0"/>
    </xf>
    <xf numFmtId="9" fontId="45" fillId="0" borderId="18" xfId="10" applyNumberFormat="1" applyFont="1" applyBorder="1" applyAlignment="1" applyProtection="1">
      <alignment horizontal="center" vertical="center" wrapText="1"/>
      <protection locked="0"/>
    </xf>
    <xf numFmtId="0" fontId="47" fillId="6" borderId="42" xfId="10" applyFont="1" applyFill="1" applyBorder="1">
      <alignment vertical="center"/>
    </xf>
    <xf numFmtId="0" fontId="47" fillId="6" borderId="71" xfId="10" applyFont="1" applyFill="1" applyBorder="1" applyAlignment="1">
      <alignment vertical="center" wrapText="1"/>
    </xf>
    <xf numFmtId="0" fontId="45" fillId="0" borderId="71" xfId="10" applyFont="1" applyBorder="1" applyAlignment="1" applyProtection="1">
      <alignment horizontal="center" vertical="center" wrapText="1"/>
      <protection locked="0"/>
    </xf>
    <xf numFmtId="0" fontId="45" fillId="0" borderId="72" xfId="10" applyFont="1" applyBorder="1" applyAlignment="1" applyProtection="1">
      <alignment horizontal="center" vertical="center" wrapText="1"/>
      <protection locked="0"/>
    </xf>
    <xf numFmtId="0" fontId="45" fillId="0" borderId="73" xfId="10" applyFont="1" applyBorder="1" applyAlignment="1" applyProtection="1">
      <alignment horizontal="center" vertical="center" wrapText="1"/>
      <protection locked="0"/>
    </xf>
    <xf numFmtId="0" fontId="47" fillId="6" borderId="57" xfId="10" applyFont="1" applyFill="1" applyBorder="1" applyAlignment="1">
      <alignment vertical="center" wrapText="1"/>
    </xf>
    <xf numFmtId="0" fontId="47" fillId="6" borderId="35" xfId="10" applyFont="1" applyFill="1" applyBorder="1" applyAlignment="1">
      <alignment vertical="center" wrapText="1"/>
    </xf>
    <xf numFmtId="0" fontId="45" fillId="6" borderId="7" xfId="10" applyFont="1" applyFill="1" applyBorder="1" applyAlignment="1">
      <alignment horizontal="center" vertical="center" wrapText="1"/>
    </xf>
    <xf numFmtId="0" fontId="45" fillId="0" borderId="2" xfId="10" applyFont="1" applyBorder="1" applyAlignment="1" applyProtection="1">
      <alignment horizontal="center" vertical="center" wrapText="1"/>
      <protection locked="0"/>
    </xf>
    <xf numFmtId="0" fontId="45" fillId="0" borderId="2" xfId="10" applyFont="1" applyBorder="1" applyAlignment="1" applyProtection="1">
      <alignment horizontal="left" vertical="center" wrapText="1"/>
      <protection locked="0"/>
    </xf>
    <xf numFmtId="0" fontId="45" fillId="0" borderId="8" xfId="10" applyFont="1" applyBorder="1" applyAlignment="1" applyProtection="1">
      <alignment horizontal="center" vertical="center" wrapText="1"/>
      <protection locked="0"/>
    </xf>
    <xf numFmtId="0" fontId="45" fillId="6" borderId="0" xfId="10" applyFont="1" applyFill="1" applyAlignment="1" applyProtection="1">
      <alignment horizontal="center" vertical="center" wrapText="1"/>
      <protection locked="0"/>
    </xf>
    <xf numFmtId="0" fontId="99" fillId="0" borderId="18" xfId="10" applyFont="1" applyBorder="1" applyProtection="1">
      <alignment vertical="center"/>
      <protection locked="0"/>
    </xf>
    <xf numFmtId="0" fontId="45" fillId="0" borderId="60" xfId="10" applyFont="1" applyBorder="1" applyAlignment="1" applyProtection="1">
      <alignment horizontal="center" vertical="center" wrapText="1"/>
      <protection locked="0"/>
    </xf>
    <xf numFmtId="0" fontId="45" fillId="6" borderId="17" xfId="10" applyFont="1" applyFill="1" applyBorder="1" applyAlignment="1">
      <alignment horizontal="center" vertical="center" wrapText="1"/>
    </xf>
    <xf numFmtId="0" fontId="52" fillId="6" borderId="9" xfId="10" applyFont="1" applyFill="1" applyBorder="1" applyAlignment="1">
      <alignment horizontal="center" vertical="center" wrapText="1"/>
    </xf>
    <xf numFmtId="0" fontId="52" fillId="0" borderId="9" xfId="10" applyFont="1" applyBorder="1" applyAlignment="1" applyProtection="1">
      <alignment horizontal="center" vertical="center" wrapText="1"/>
      <protection locked="0"/>
    </xf>
    <xf numFmtId="0" fontId="69" fillId="0" borderId="9" xfId="10" applyFont="1" applyBorder="1" applyAlignment="1" applyProtection="1">
      <alignment horizontal="center" vertical="center" wrapText="1"/>
      <protection locked="0"/>
    </xf>
    <xf numFmtId="0" fontId="69" fillId="0" borderId="9" xfId="10" applyFont="1" applyBorder="1" applyAlignment="1" applyProtection="1">
      <alignment horizontal="left" vertical="center" wrapText="1"/>
      <protection locked="0"/>
    </xf>
    <xf numFmtId="0" fontId="69" fillId="0" borderId="10" xfId="10" applyFont="1" applyBorder="1" applyAlignment="1" applyProtection="1">
      <alignment horizontal="center" vertical="center" wrapText="1"/>
      <protection locked="0"/>
    </xf>
    <xf numFmtId="0" fontId="69" fillId="6" borderId="0" xfId="10" applyFont="1" applyFill="1" applyAlignment="1" applyProtection="1">
      <alignment horizontal="center" vertical="center" wrapText="1"/>
      <protection locked="0"/>
    </xf>
    <xf numFmtId="0" fontId="45" fillId="0" borderId="18" xfId="10" applyFont="1" applyBorder="1" applyAlignment="1" applyProtection="1">
      <alignment horizontal="center" vertical="center" wrapText="1"/>
      <protection locked="0"/>
    </xf>
    <xf numFmtId="0" fontId="50" fillId="6" borderId="75" xfId="10" applyFont="1" applyFill="1" applyBorder="1" applyAlignment="1">
      <alignment horizontal="center" vertical="center" wrapText="1"/>
    </xf>
    <xf numFmtId="0" fontId="52" fillId="0" borderId="76" xfId="10" applyFont="1" applyBorder="1" applyAlignment="1" applyProtection="1">
      <alignment horizontal="center" vertical="center" wrapText="1"/>
      <protection locked="0"/>
    </xf>
    <xf numFmtId="0" fontId="52" fillId="0" borderId="77" xfId="10" applyFont="1" applyBorder="1" applyAlignment="1" applyProtection="1">
      <alignment horizontal="center" vertical="center" wrapText="1"/>
      <protection locked="0"/>
    </xf>
    <xf numFmtId="0" fontId="52" fillId="6" borderId="0" xfId="10" applyFont="1" applyFill="1" applyAlignment="1" applyProtection="1">
      <alignment horizontal="center" vertical="center" wrapText="1"/>
      <protection locked="0"/>
    </xf>
    <xf numFmtId="0" fontId="45" fillId="6" borderId="56" xfId="10" applyFont="1" applyFill="1" applyBorder="1" applyAlignment="1">
      <alignment horizontal="center" vertical="center" wrapText="1"/>
    </xf>
    <xf numFmtId="0" fontId="52" fillId="0" borderId="44" xfId="10" applyFont="1" applyBorder="1" applyAlignment="1" applyProtection="1">
      <alignment horizontal="center" vertical="center" wrapText="1"/>
      <protection locked="0"/>
    </xf>
    <xf numFmtId="0" fontId="45" fillId="6" borderId="75" xfId="10" applyFont="1" applyFill="1" applyBorder="1" applyAlignment="1">
      <alignment horizontal="center" vertical="center" wrapText="1"/>
    </xf>
    <xf numFmtId="0" fontId="45" fillId="6" borderId="15" xfId="10" applyFont="1" applyFill="1" applyBorder="1" applyAlignment="1">
      <alignment horizontal="center" vertical="center" wrapText="1"/>
    </xf>
    <xf numFmtId="0" fontId="52" fillId="6" borderId="2" xfId="10" applyFont="1" applyFill="1" applyBorder="1" applyAlignment="1">
      <alignment horizontal="center" vertical="center" wrapText="1"/>
    </xf>
    <xf numFmtId="0" fontId="50" fillId="6" borderId="15" xfId="10" applyFont="1" applyFill="1" applyBorder="1" applyAlignment="1">
      <alignment horizontal="center" vertical="center" wrapText="1"/>
    </xf>
    <xf numFmtId="0" fontId="52" fillId="0" borderId="1" xfId="10" applyFont="1" applyBorder="1" applyAlignment="1" applyProtection="1">
      <alignment horizontal="center" vertical="center" wrapText="1"/>
      <protection locked="0"/>
    </xf>
    <xf numFmtId="0" fontId="69" fillId="0" borderId="1" xfId="10" applyFont="1" applyBorder="1" applyAlignment="1" applyProtection="1">
      <alignment horizontal="center" vertical="center" wrapText="1"/>
      <protection locked="0"/>
    </xf>
    <xf numFmtId="0" fontId="69" fillId="0" borderId="1" xfId="10" applyFont="1" applyBorder="1" applyAlignment="1" applyProtection="1">
      <alignment horizontal="left" vertical="center" wrapText="1"/>
      <protection locked="0"/>
    </xf>
    <xf numFmtId="0" fontId="69" fillId="0" borderId="24" xfId="10" applyFont="1" applyBorder="1" applyAlignment="1" applyProtection="1">
      <alignment horizontal="center" vertical="center" wrapText="1"/>
      <protection locked="0"/>
    </xf>
    <xf numFmtId="0" fontId="52" fillId="6" borderId="76" xfId="10" applyFont="1" applyFill="1" applyBorder="1" applyAlignment="1">
      <alignment horizontal="center" vertical="center" wrapText="1"/>
    </xf>
    <xf numFmtId="0" fontId="52" fillId="6" borderId="77" xfId="10" applyFont="1" applyFill="1" applyBorder="1" applyAlignment="1">
      <alignment horizontal="center" vertical="center" wrapText="1"/>
    </xf>
    <xf numFmtId="0" fontId="70" fillId="6" borderId="14" xfId="10" applyFont="1" applyFill="1" applyBorder="1" applyAlignment="1">
      <alignment vertical="center" wrapText="1"/>
    </xf>
    <xf numFmtId="0" fontId="45" fillId="0" borderId="44" xfId="10" applyFont="1" applyBorder="1" applyAlignment="1" applyProtection="1">
      <alignment horizontal="center" vertical="center" wrapText="1"/>
      <protection locked="0"/>
    </xf>
    <xf numFmtId="0" fontId="50" fillId="0" borderId="44" xfId="10" applyFont="1" applyBorder="1" applyAlignment="1" applyProtection="1">
      <alignment horizontal="center" vertical="center" wrapText="1"/>
      <protection locked="0"/>
    </xf>
    <xf numFmtId="0" fontId="50" fillId="0" borderId="44" xfId="10" applyFont="1" applyBorder="1" applyAlignment="1" applyProtection="1">
      <alignment horizontal="left" vertical="center" wrapText="1"/>
      <protection locked="0"/>
    </xf>
    <xf numFmtId="0" fontId="50" fillId="0" borderId="45" xfId="10" applyFont="1" applyBorder="1" applyAlignment="1" applyProtection="1">
      <alignment horizontal="center" vertical="center" wrapText="1"/>
      <protection locked="0"/>
    </xf>
    <xf numFmtId="0" fontId="50" fillId="6" borderId="0" xfId="10" applyFont="1" applyFill="1" applyAlignment="1" applyProtection="1">
      <alignment horizontal="center" vertical="center" wrapText="1"/>
      <protection locked="0"/>
    </xf>
    <xf numFmtId="0" fontId="50" fillId="0" borderId="18" xfId="10" applyFont="1" applyBorder="1" applyAlignment="1" applyProtection="1">
      <alignment horizontal="center" vertical="center" wrapText="1"/>
      <protection locked="0"/>
    </xf>
    <xf numFmtId="9" fontId="50" fillId="0" borderId="0" xfId="10" applyNumberFormat="1" applyFont="1" applyAlignment="1" applyProtection="1">
      <alignment horizontal="center" vertical="center" wrapText="1"/>
      <protection locked="0"/>
    </xf>
    <xf numFmtId="0" fontId="45" fillId="0" borderId="76" xfId="10" applyFont="1" applyBorder="1" applyAlignment="1" applyProtection="1">
      <alignment horizontal="center" vertical="center" wrapText="1"/>
      <protection locked="0"/>
    </xf>
    <xf numFmtId="0" fontId="50" fillId="0" borderId="18" xfId="10" applyFont="1" applyBorder="1" applyAlignment="1" applyProtection="1">
      <alignment horizontal="center" vertical="center"/>
      <protection locked="0"/>
    </xf>
    <xf numFmtId="9" fontId="50" fillId="0" borderId="0" xfId="10" applyNumberFormat="1" applyFont="1" applyAlignment="1" applyProtection="1">
      <alignment horizontal="center" vertical="center"/>
      <protection locked="0"/>
    </xf>
    <xf numFmtId="0" fontId="50" fillId="0" borderId="76" xfId="10" applyFont="1" applyBorder="1" applyAlignment="1" applyProtection="1">
      <alignment horizontal="center" vertical="center" wrapText="1"/>
      <protection locked="0"/>
    </xf>
    <xf numFmtId="0" fontId="50" fillId="0" borderId="77" xfId="10" applyFont="1" applyBorder="1" applyAlignment="1" applyProtection="1">
      <alignment horizontal="center" vertical="center" wrapText="1"/>
      <protection locked="0"/>
    </xf>
    <xf numFmtId="0" fontId="50" fillId="0" borderId="2" xfId="10" applyFont="1" applyBorder="1" applyAlignment="1" applyProtection="1">
      <alignment horizontal="center" vertical="center" wrapText="1"/>
      <protection locked="0"/>
    </xf>
    <xf numFmtId="0" fontId="50" fillId="0" borderId="2" xfId="10" applyFont="1" applyBorder="1" applyAlignment="1" applyProtection="1">
      <alignment horizontal="left" vertical="center" wrapText="1"/>
      <protection locked="0"/>
    </xf>
    <xf numFmtId="0" fontId="50" fillId="0" borderId="8" xfId="10" applyFont="1" applyBorder="1" applyAlignment="1" applyProtection="1">
      <alignment horizontal="center" vertical="center" wrapText="1"/>
      <protection locked="0"/>
    </xf>
    <xf numFmtId="0" fontId="50" fillId="0" borderId="18" xfId="10" applyFont="1" applyBorder="1" applyAlignment="1" applyProtection="1">
      <alignment vertical="center" wrapText="1"/>
      <protection locked="0"/>
    </xf>
    <xf numFmtId="0" fontId="70" fillId="6" borderId="12" xfId="10" applyFont="1" applyFill="1" applyBorder="1" applyAlignment="1">
      <alignment vertical="center" wrapText="1"/>
    </xf>
    <xf numFmtId="0" fontId="45" fillId="6" borderId="72" xfId="10" applyFont="1" applyFill="1" applyBorder="1" applyAlignment="1">
      <alignment horizontal="center" vertical="center" wrapText="1"/>
    </xf>
    <xf numFmtId="0" fontId="45" fillId="0" borderId="32" xfId="10" applyFont="1" applyBorder="1" applyAlignment="1" applyProtection="1">
      <alignment horizontal="center" vertical="center" wrapText="1"/>
      <protection locked="0"/>
    </xf>
    <xf numFmtId="0" fontId="50" fillId="0" borderId="32" xfId="10" applyFont="1" applyBorder="1" applyAlignment="1" applyProtection="1">
      <alignment horizontal="center" vertical="center" wrapText="1"/>
      <protection locked="0"/>
    </xf>
    <xf numFmtId="0" fontId="50" fillId="0" borderId="49" xfId="10" applyFont="1" applyBorder="1" applyAlignment="1" applyProtection="1">
      <alignment horizontal="center" vertical="center" wrapText="1"/>
      <protection locked="0"/>
    </xf>
    <xf numFmtId="0" fontId="45" fillId="6" borderId="9" xfId="10" applyFont="1" applyFill="1" applyBorder="1" applyAlignment="1">
      <alignment horizontal="center" vertical="center" wrapText="1"/>
    </xf>
    <xf numFmtId="0" fontId="69" fillId="6" borderId="9" xfId="10" applyFont="1" applyFill="1" applyBorder="1" applyAlignment="1">
      <alignment horizontal="center" vertical="center" wrapText="1"/>
    </xf>
    <xf numFmtId="0" fontId="69" fillId="6" borderId="9" xfId="10" applyFont="1" applyFill="1" applyBorder="1" applyAlignment="1">
      <alignment horizontal="left" vertical="center" wrapText="1"/>
    </xf>
    <xf numFmtId="0" fontId="69" fillId="6" borderId="10" xfId="10" applyFont="1" applyFill="1" applyBorder="1" applyAlignment="1">
      <alignment horizontal="center" vertical="center" wrapText="1"/>
    </xf>
    <xf numFmtId="0" fontId="45" fillId="0" borderId="18" xfId="10" applyFont="1" applyBorder="1" applyAlignment="1" applyProtection="1">
      <alignment vertical="center" wrapText="1"/>
      <protection locked="0"/>
    </xf>
    <xf numFmtId="0" fontId="45" fillId="6" borderId="44" xfId="10" applyFont="1" applyFill="1" applyBorder="1" applyAlignment="1">
      <alignment horizontal="center" vertical="center" wrapText="1"/>
    </xf>
    <xf numFmtId="0" fontId="52" fillId="6" borderId="44" xfId="10" applyFont="1" applyFill="1" applyBorder="1" applyAlignment="1">
      <alignment horizontal="center" vertical="center" wrapText="1"/>
    </xf>
    <xf numFmtId="0" fontId="69" fillId="6" borderId="44" xfId="10" applyFont="1" applyFill="1" applyBorder="1" applyAlignment="1">
      <alignment horizontal="center" vertical="center" wrapText="1"/>
    </xf>
    <xf numFmtId="0" fontId="69" fillId="6" borderId="44" xfId="10" applyFont="1" applyFill="1" applyBorder="1" applyAlignment="1">
      <alignment horizontal="left" vertical="center" wrapText="1"/>
    </xf>
    <xf numFmtId="0" fontId="69" fillId="6" borderId="45" xfId="10" applyFont="1" applyFill="1" applyBorder="1" applyAlignment="1">
      <alignment horizontal="center" vertical="center" wrapText="1"/>
    </xf>
    <xf numFmtId="0" fontId="52" fillId="6" borderId="45" xfId="10" applyFont="1" applyFill="1" applyBorder="1" applyAlignment="1">
      <alignment horizontal="center" vertical="center" wrapText="1"/>
    </xf>
    <xf numFmtId="0" fontId="52" fillId="6" borderId="15" xfId="10" applyFont="1" applyFill="1" applyBorder="1" applyAlignment="1">
      <alignment horizontal="center" vertical="center" wrapText="1"/>
    </xf>
    <xf numFmtId="0" fontId="45" fillId="0" borderId="44" xfId="10" applyFont="1" applyBorder="1" applyAlignment="1" applyProtection="1">
      <alignment horizontal="left" vertical="center" wrapText="1"/>
      <protection locked="0"/>
    </xf>
    <xf numFmtId="0" fontId="45" fillId="0" borderId="45" xfId="10" applyFont="1" applyBorder="1" applyAlignment="1" applyProtection="1">
      <alignment horizontal="center" vertical="center" wrapText="1"/>
      <protection locked="0"/>
    </xf>
    <xf numFmtId="0" fontId="45" fillId="6" borderId="76" xfId="10" applyFont="1" applyFill="1" applyBorder="1" applyAlignment="1">
      <alignment horizontal="center" vertical="center" wrapText="1"/>
    </xf>
    <xf numFmtId="0" fontId="45" fillId="0" borderId="81" xfId="10" applyFont="1" applyBorder="1" applyAlignment="1" applyProtection="1">
      <alignment horizontal="center" vertical="center"/>
      <protection locked="0"/>
    </xf>
    <xf numFmtId="0" fontId="69" fillId="0" borderId="44" xfId="10" applyFont="1" applyBorder="1" applyAlignment="1" applyProtection="1">
      <alignment horizontal="center" vertical="center" wrapText="1"/>
      <protection locked="0"/>
    </xf>
    <xf numFmtId="0" fontId="69" fillId="0" borderId="44" xfId="10" applyFont="1" applyBorder="1" applyAlignment="1" applyProtection="1">
      <alignment horizontal="left" vertical="center" wrapText="1"/>
      <protection locked="0"/>
    </xf>
    <xf numFmtId="0" fontId="69" fillId="0" borderId="45" xfId="10" applyFont="1" applyBorder="1" applyAlignment="1" applyProtection="1">
      <alignment horizontal="center" vertical="center" wrapText="1"/>
      <protection locked="0"/>
    </xf>
    <xf numFmtId="0" fontId="52" fillId="0" borderId="2" xfId="10" applyFont="1" applyBorder="1" applyAlignment="1" applyProtection="1">
      <alignment horizontal="center" vertical="center" wrapText="1"/>
      <protection locked="0"/>
    </xf>
    <xf numFmtId="0" fontId="69" fillId="0" borderId="2" xfId="10" applyFont="1" applyBorder="1" applyAlignment="1" applyProtection="1">
      <alignment horizontal="center" vertical="center" wrapText="1"/>
      <protection locked="0"/>
    </xf>
    <xf numFmtId="0" fontId="69" fillId="0" borderId="2" xfId="10" applyFont="1" applyBorder="1" applyAlignment="1" applyProtection="1">
      <alignment horizontal="left" vertical="center" wrapText="1"/>
      <protection locked="0"/>
    </xf>
    <xf numFmtId="0" fontId="69" fillId="0" borderId="8" xfId="10" applyFont="1" applyBorder="1" applyAlignment="1" applyProtection="1">
      <alignment horizontal="center" vertical="center" wrapText="1"/>
      <protection locked="0"/>
    </xf>
    <xf numFmtId="0" fontId="52" fillId="0" borderId="32" xfId="10" applyFont="1" applyBorder="1" applyAlignment="1" applyProtection="1">
      <alignment horizontal="center" vertical="center" wrapText="1"/>
      <protection locked="0"/>
    </xf>
    <xf numFmtId="0" fontId="52" fillId="0" borderId="49" xfId="10" applyFont="1" applyBorder="1" applyAlignment="1" applyProtection="1">
      <alignment horizontal="center" vertical="center" wrapText="1"/>
      <protection locked="0"/>
    </xf>
    <xf numFmtId="0" fontId="45" fillId="6" borderId="57" xfId="10" applyFont="1" applyFill="1" applyBorder="1" applyAlignment="1">
      <alignment horizontal="center" vertical="center"/>
    </xf>
    <xf numFmtId="0" fontId="45" fillId="0" borderId="1"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0" fontId="50" fillId="0" borderId="1" xfId="10" applyFont="1" applyBorder="1" applyAlignment="1" applyProtection="1">
      <alignment horizontal="left" vertical="center" wrapText="1"/>
      <protection locked="0"/>
    </xf>
    <xf numFmtId="0" fontId="50" fillId="0" borderId="24" xfId="10" applyFont="1" applyBorder="1" applyAlignment="1" applyProtection="1">
      <alignment horizontal="center" vertical="center" wrapText="1"/>
      <protection locked="0"/>
    </xf>
    <xf numFmtId="0" fontId="50" fillId="6" borderId="44" xfId="10" applyFont="1" applyFill="1" applyBorder="1" applyAlignment="1">
      <alignment horizontal="center" vertical="center" wrapText="1"/>
    </xf>
    <xf numFmtId="0" fontId="50" fillId="6" borderId="44" xfId="10" applyFont="1" applyFill="1" applyBorder="1" applyAlignment="1">
      <alignment horizontal="left" vertical="center" wrapText="1"/>
    </xf>
    <xf numFmtId="0" fontId="50" fillId="6" borderId="45" xfId="10" applyFont="1" applyFill="1" applyBorder="1" applyAlignment="1">
      <alignment horizontal="center" vertical="center" wrapText="1"/>
    </xf>
    <xf numFmtId="0" fontId="50" fillId="6" borderId="1" xfId="10" applyFont="1" applyFill="1" applyBorder="1" applyAlignment="1">
      <alignment horizontal="left" vertical="center" wrapText="1"/>
    </xf>
    <xf numFmtId="0" fontId="50" fillId="6" borderId="24" xfId="10" applyFont="1" applyFill="1" applyBorder="1" applyAlignment="1">
      <alignment horizontal="center" vertical="center" wrapText="1"/>
    </xf>
    <xf numFmtId="0" fontId="50" fillId="6" borderId="76" xfId="10" applyFont="1" applyFill="1" applyBorder="1" applyAlignment="1">
      <alignment horizontal="center" vertical="center" wrapText="1"/>
    </xf>
    <xf numFmtId="0" fontId="50" fillId="6" borderId="77" xfId="10" applyFont="1" applyFill="1" applyBorder="1" applyAlignment="1">
      <alignment horizontal="center" vertical="center" wrapText="1"/>
    </xf>
    <xf numFmtId="0" fontId="101" fillId="0" borderId="0" xfId="10" applyFont="1" applyAlignment="1" applyProtection="1">
      <alignment horizontal="left" vertical="center"/>
      <protection locked="0"/>
    </xf>
    <xf numFmtId="188" fontId="52" fillId="0" borderId="0" xfId="10" applyNumberFormat="1" applyFont="1" applyAlignment="1" applyProtection="1">
      <alignment horizontal="center" vertical="center"/>
      <protection locked="0"/>
    </xf>
    <xf numFmtId="181" fontId="52" fillId="0" borderId="0" xfId="10" applyNumberFormat="1" applyFont="1" applyAlignment="1" applyProtection="1">
      <alignment horizontal="center" vertical="center"/>
      <protection locked="0"/>
    </xf>
    <xf numFmtId="0" fontId="99" fillId="6" borderId="16" xfId="10" applyFont="1" applyFill="1" applyBorder="1" applyAlignment="1">
      <alignment horizontal="center" vertical="center"/>
    </xf>
    <xf numFmtId="0" fontId="59" fillId="6" borderId="19" xfId="10" applyFont="1" applyFill="1" applyBorder="1" applyAlignment="1">
      <alignment horizontal="center" vertical="center"/>
    </xf>
    <xf numFmtId="0" fontId="52" fillId="6" borderId="19" xfId="10" applyFont="1" applyFill="1" applyBorder="1" applyAlignment="1">
      <alignment horizontal="center" vertical="center"/>
    </xf>
    <xf numFmtId="0" fontId="52" fillId="6" borderId="31" xfId="10" applyFont="1" applyFill="1" applyBorder="1" applyAlignment="1">
      <alignment horizontal="center" vertical="center"/>
    </xf>
    <xf numFmtId="0" fontId="99" fillId="6" borderId="19" xfId="10" applyFont="1" applyFill="1" applyBorder="1" applyAlignment="1">
      <alignment horizontal="center" vertical="center"/>
    </xf>
    <xf numFmtId="0" fontId="59" fillId="6" borderId="31" xfId="10" applyFont="1" applyFill="1" applyBorder="1" applyAlignment="1">
      <alignment horizontal="center" vertical="center"/>
    </xf>
    <xf numFmtId="0" fontId="59" fillId="6" borderId="68" xfId="10" applyFont="1" applyFill="1" applyBorder="1">
      <alignment vertical="center"/>
    </xf>
    <xf numFmtId="0" fontId="99" fillId="6" borderId="1" xfId="10" applyFont="1" applyFill="1" applyBorder="1" applyAlignment="1">
      <alignment horizontal="center" vertical="center"/>
    </xf>
    <xf numFmtId="0" fontId="99" fillId="6" borderId="5" xfId="10" applyFont="1" applyFill="1" applyBorder="1" applyAlignment="1">
      <alignment horizontal="center" vertical="center"/>
    </xf>
    <xf numFmtId="0" fontId="99" fillId="6" borderId="159" xfId="10" applyFont="1" applyFill="1" applyBorder="1" applyAlignment="1">
      <alignment horizontal="center" vertical="center"/>
    </xf>
    <xf numFmtId="0" fontId="99" fillId="6" borderId="24" xfId="10" applyFont="1" applyFill="1" applyBorder="1" applyAlignment="1">
      <alignment horizontal="center" vertical="center"/>
    </xf>
    <xf numFmtId="0" fontId="59" fillId="6" borderId="59" xfId="10" applyFont="1" applyFill="1" applyBorder="1" applyAlignment="1">
      <alignment horizontal="center" vertical="center"/>
    </xf>
    <xf numFmtId="0" fontId="59" fillId="6" borderId="41" xfId="10" applyFont="1" applyFill="1" applyBorder="1" applyAlignment="1">
      <alignment horizontal="center" vertical="center"/>
    </xf>
    <xf numFmtId="0" fontId="59" fillId="0" borderId="2" xfId="10" applyFont="1" applyBorder="1" applyAlignment="1" applyProtection="1">
      <alignment horizontal="center" vertical="center"/>
      <protection locked="0"/>
    </xf>
    <xf numFmtId="0" fontId="99" fillId="0" borderId="2" xfId="10" applyFont="1" applyBorder="1" applyAlignment="1" applyProtection="1">
      <alignment horizontal="center" vertical="center"/>
      <protection locked="0"/>
    </xf>
    <xf numFmtId="0" fontId="59" fillId="0" borderId="4" xfId="10" applyFont="1" applyBorder="1" applyAlignment="1" applyProtection="1">
      <alignment horizontal="center" vertical="center"/>
      <protection locked="0"/>
    </xf>
    <xf numFmtId="0" fontId="59" fillId="0" borderId="160" xfId="10" applyFont="1" applyBorder="1" applyAlignment="1" applyProtection="1">
      <alignment horizontal="center" vertical="center"/>
      <protection locked="0"/>
    </xf>
    <xf numFmtId="0" fontId="59" fillId="0" borderId="8" xfId="10" applyFont="1" applyBorder="1" applyAlignment="1" applyProtection="1">
      <alignment horizontal="center" vertical="center"/>
      <protection locked="0"/>
    </xf>
    <xf numFmtId="0" fontId="99" fillId="6" borderId="7" xfId="10" applyFont="1" applyFill="1" applyBorder="1" applyAlignment="1">
      <alignment horizontal="center" vertical="center"/>
    </xf>
    <xf numFmtId="186" fontId="59" fillId="6" borderId="8" xfId="10" applyNumberFormat="1" applyFont="1" applyFill="1" applyBorder="1" applyAlignment="1">
      <alignment horizontal="center" vertical="center"/>
    </xf>
    <xf numFmtId="0" fontId="59" fillId="6" borderId="23" xfId="10" applyFont="1" applyFill="1" applyBorder="1" applyAlignment="1">
      <alignment horizontal="center" vertical="center"/>
    </xf>
    <xf numFmtId="0" fontId="59" fillId="0" borderId="1" xfId="10" applyFont="1" applyBorder="1" applyAlignment="1" applyProtection="1">
      <alignment horizontal="center" vertical="center"/>
      <protection locked="0"/>
    </xf>
    <xf numFmtId="0" fontId="59" fillId="0" borderId="5" xfId="10" applyFont="1" applyBorder="1" applyAlignment="1" applyProtection="1">
      <alignment horizontal="center" vertical="center"/>
      <protection locked="0"/>
    </xf>
    <xf numFmtId="0" fontId="59" fillId="0" borderId="159" xfId="10" applyFont="1" applyBorder="1" applyAlignment="1" applyProtection="1">
      <alignment horizontal="center" vertical="center"/>
      <protection locked="0"/>
    </xf>
    <xf numFmtId="0" fontId="59" fillId="0" borderId="24" xfId="10" applyFont="1" applyBorder="1" applyAlignment="1" applyProtection="1">
      <alignment horizontal="center" vertical="center"/>
      <protection locked="0"/>
    </xf>
    <xf numFmtId="0" fontId="99" fillId="6" borderId="3" xfId="10" applyFont="1" applyFill="1" applyBorder="1" applyAlignment="1">
      <alignment horizontal="center" vertical="center"/>
    </xf>
    <xf numFmtId="0" fontId="59" fillId="6" borderId="1" xfId="10" applyFont="1" applyFill="1" applyBorder="1" applyAlignment="1">
      <alignment horizontal="center" vertical="center"/>
    </xf>
    <xf numFmtId="0" fontId="59" fillId="6" borderId="24" xfId="10" applyFont="1" applyFill="1" applyBorder="1" applyAlignment="1">
      <alignment horizontal="center" vertical="center"/>
    </xf>
    <xf numFmtId="178" fontId="59" fillId="6" borderId="24" xfId="10" applyNumberFormat="1" applyFont="1" applyFill="1" applyBorder="1" applyAlignment="1">
      <alignment horizontal="center" vertical="center"/>
    </xf>
    <xf numFmtId="178" fontId="59" fillId="0" borderId="24" xfId="10" applyNumberFormat="1" applyFont="1" applyBorder="1" applyAlignment="1" applyProtection="1">
      <alignment horizontal="center" vertical="center"/>
      <protection locked="0"/>
    </xf>
    <xf numFmtId="0" fontId="99" fillId="0" borderId="1" xfId="10" applyFont="1" applyBorder="1" applyAlignment="1" applyProtection="1">
      <alignment horizontal="center" vertical="center"/>
      <protection locked="0"/>
    </xf>
    <xf numFmtId="0" fontId="99" fillId="0" borderId="159" xfId="10" applyFont="1" applyBorder="1" applyAlignment="1" applyProtection="1">
      <alignment horizontal="center" vertical="center"/>
      <protection locked="0"/>
    </xf>
    <xf numFmtId="0" fontId="99" fillId="6" borderId="25" xfId="10" applyFont="1" applyFill="1" applyBorder="1" applyAlignment="1">
      <alignment horizontal="center" vertical="center"/>
    </xf>
    <xf numFmtId="0" fontId="59" fillId="6" borderId="32" xfId="10" applyFont="1" applyFill="1" applyBorder="1" applyAlignment="1">
      <alignment horizontal="center" vertical="center"/>
    </xf>
    <xf numFmtId="0" fontId="59" fillId="6" borderId="47" xfId="10" applyFont="1" applyFill="1" applyBorder="1" applyAlignment="1">
      <alignment horizontal="center" vertical="center"/>
    </xf>
    <xf numFmtId="0" fontId="59" fillId="6" borderId="161" xfId="10" applyFont="1" applyFill="1" applyBorder="1" applyAlignment="1">
      <alignment horizontal="left" vertical="center"/>
    </xf>
    <xf numFmtId="0" fontId="52" fillId="6" borderId="47" xfId="10" applyFont="1" applyFill="1" applyBorder="1" applyAlignment="1">
      <alignment horizontal="center" vertical="center"/>
    </xf>
    <xf numFmtId="0" fontId="52" fillId="6" borderId="43" xfId="10" applyFont="1" applyFill="1" applyBorder="1" applyAlignment="1">
      <alignment horizontal="center" vertical="center"/>
    </xf>
    <xf numFmtId="0" fontId="99" fillId="6" borderId="65" xfId="10" applyFont="1" applyFill="1" applyBorder="1" applyAlignment="1">
      <alignment horizontal="center" vertical="center"/>
    </xf>
    <xf numFmtId="0" fontId="59" fillId="0" borderId="32" xfId="10" applyFont="1" applyBorder="1" applyAlignment="1" applyProtection="1">
      <alignment horizontal="center" vertical="center"/>
      <protection locked="0"/>
    </xf>
    <xf numFmtId="178" fontId="59" fillId="6" borderId="49" xfId="10" applyNumberFormat="1" applyFont="1" applyFill="1" applyBorder="1" applyAlignment="1">
      <alignment horizontal="center" vertical="center"/>
    </xf>
    <xf numFmtId="0" fontId="95" fillId="2" borderId="41" xfId="10" applyFont="1" applyFill="1" applyBorder="1" applyAlignment="1" applyProtection="1">
      <alignment horizontal="center" vertical="center" wrapText="1"/>
      <protection locked="0"/>
    </xf>
    <xf numFmtId="49" fontId="95" fillId="2" borderId="41" xfId="10" applyNumberFormat="1" applyFont="1" applyFill="1" applyBorder="1" applyAlignment="1" applyProtection="1">
      <alignment horizontal="center" vertical="center" wrapText="1"/>
      <protection locked="0"/>
    </xf>
    <xf numFmtId="0" fontId="95" fillId="2" borderId="14" xfId="10"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249771</xdr:colOff>
      <xdr:row>33</xdr:row>
      <xdr:rowOff>132442</xdr:rowOff>
    </xdr:to>
    <xdr:pic>
      <xdr:nvPicPr>
        <xdr:cNvPr id="2" name="图片 1">
          <a:extLst>
            <a:ext uri="{FF2B5EF4-FFF2-40B4-BE49-F238E27FC236}">
              <a16:creationId xmlns:a16="http://schemas.microsoft.com/office/drawing/2014/main" id="{A48CBBE6-A9B4-D091-B166-D63DC35EDA82}"/>
            </a:ext>
          </a:extLst>
        </xdr:cNvPr>
        <xdr:cNvPicPr>
          <a:picLocks noChangeAspect="1"/>
        </xdr:cNvPicPr>
      </xdr:nvPicPr>
      <xdr:blipFill>
        <a:blip xmlns:r="http://schemas.openxmlformats.org/officeDocument/2006/relationships" r:embed="rId1"/>
        <a:stretch>
          <a:fillRect/>
        </a:stretch>
      </xdr:blipFill>
      <xdr:spPr>
        <a:xfrm>
          <a:off x="0" y="0"/>
          <a:ext cx="8765121" cy="5790292"/>
        </a:xfrm>
        <a:prstGeom prst="rect">
          <a:avLst/>
        </a:prstGeom>
      </xdr:spPr>
    </xdr:pic>
    <xdr:clientData/>
  </xdr:twoCellAnchor>
  <xdr:twoCellAnchor editAs="oneCell">
    <xdr:from>
      <xdr:col>13</xdr:col>
      <xdr:colOff>85725</xdr:colOff>
      <xdr:row>0</xdr:row>
      <xdr:rowOff>0</xdr:rowOff>
    </xdr:from>
    <xdr:to>
      <xdr:col>32</xdr:col>
      <xdr:colOff>255525</xdr:colOff>
      <xdr:row>36</xdr:row>
      <xdr:rowOff>84943</xdr:rowOff>
    </xdr:to>
    <xdr:pic>
      <xdr:nvPicPr>
        <xdr:cNvPr id="3" name="图片 2">
          <a:extLst>
            <a:ext uri="{FF2B5EF4-FFF2-40B4-BE49-F238E27FC236}">
              <a16:creationId xmlns:a16="http://schemas.microsoft.com/office/drawing/2014/main" id="{3DEBF809-AF53-7418-C326-8BBB6EA4A2B7}"/>
            </a:ext>
          </a:extLst>
        </xdr:cNvPr>
        <xdr:cNvPicPr>
          <a:picLocks noChangeAspect="1"/>
        </xdr:cNvPicPr>
      </xdr:nvPicPr>
      <xdr:blipFill>
        <a:blip xmlns:r="http://schemas.openxmlformats.org/officeDocument/2006/relationships" r:embed="rId2"/>
        <a:stretch>
          <a:fillRect/>
        </a:stretch>
      </xdr:blipFill>
      <xdr:spPr>
        <a:xfrm>
          <a:off x="9001125" y="0"/>
          <a:ext cx="13200000" cy="6257143"/>
        </a:xfrm>
        <a:prstGeom prst="rect">
          <a:avLst/>
        </a:prstGeom>
      </xdr:spPr>
    </xdr:pic>
    <xdr:clientData/>
  </xdr:twoCellAnchor>
  <xdr:twoCellAnchor editAs="oneCell">
    <xdr:from>
      <xdr:col>13</xdr:col>
      <xdr:colOff>419100</xdr:colOff>
      <xdr:row>35</xdr:row>
      <xdr:rowOff>47625</xdr:rowOff>
    </xdr:from>
    <xdr:to>
      <xdr:col>29</xdr:col>
      <xdr:colOff>608205</xdr:colOff>
      <xdr:row>68</xdr:row>
      <xdr:rowOff>94537</xdr:rowOff>
    </xdr:to>
    <xdr:pic>
      <xdr:nvPicPr>
        <xdr:cNvPr id="4" name="图片 3">
          <a:extLst>
            <a:ext uri="{FF2B5EF4-FFF2-40B4-BE49-F238E27FC236}">
              <a16:creationId xmlns:a16="http://schemas.microsoft.com/office/drawing/2014/main" id="{A85A070D-43F9-8C8E-8997-6FC424E1695E}"/>
            </a:ext>
          </a:extLst>
        </xdr:cNvPr>
        <xdr:cNvPicPr>
          <a:picLocks noChangeAspect="1"/>
        </xdr:cNvPicPr>
      </xdr:nvPicPr>
      <xdr:blipFill>
        <a:blip xmlns:r="http://schemas.openxmlformats.org/officeDocument/2006/relationships" r:embed="rId3"/>
        <a:stretch>
          <a:fillRect/>
        </a:stretch>
      </xdr:blipFill>
      <xdr:spPr>
        <a:xfrm>
          <a:off x="9334500" y="6048375"/>
          <a:ext cx="11161905" cy="5704762"/>
        </a:xfrm>
        <a:prstGeom prst="rect">
          <a:avLst/>
        </a:prstGeom>
      </xdr:spPr>
    </xdr:pic>
    <xdr:clientData/>
  </xdr:twoCellAnchor>
  <xdr:twoCellAnchor editAs="oneCell">
    <xdr:from>
      <xdr:col>14</xdr:col>
      <xdr:colOff>9525</xdr:colOff>
      <xdr:row>43</xdr:row>
      <xdr:rowOff>57150</xdr:rowOff>
    </xdr:from>
    <xdr:to>
      <xdr:col>32</xdr:col>
      <xdr:colOff>665125</xdr:colOff>
      <xdr:row>84</xdr:row>
      <xdr:rowOff>8652</xdr:rowOff>
    </xdr:to>
    <xdr:pic>
      <xdr:nvPicPr>
        <xdr:cNvPr id="5" name="图片 4">
          <a:extLst>
            <a:ext uri="{FF2B5EF4-FFF2-40B4-BE49-F238E27FC236}">
              <a16:creationId xmlns:a16="http://schemas.microsoft.com/office/drawing/2014/main" id="{68F2F870-4043-42E4-A09A-10729BEBE7CA}"/>
            </a:ext>
          </a:extLst>
        </xdr:cNvPr>
        <xdr:cNvPicPr>
          <a:picLocks noChangeAspect="1"/>
        </xdr:cNvPicPr>
      </xdr:nvPicPr>
      <xdr:blipFill>
        <a:blip xmlns:r="http://schemas.openxmlformats.org/officeDocument/2006/relationships" r:embed="rId4"/>
        <a:stretch>
          <a:fillRect/>
        </a:stretch>
      </xdr:blipFill>
      <xdr:spPr>
        <a:xfrm>
          <a:off x="9610725" y="7429500"/>
          <a:ext cx="13000000" cy="6980952"/>
        </a:xfrm>
        <a:prstGeom prst="rect">
          <a:avLst/>
        </a:prstGeom>
      </xdr:spPr>
    </xdr:pic>
    <xdr:clientData/>
  </xdr:twoCellAnchor>
  <xdr:twoCellAnchor editAs="oneCell">
    <xdr:from>
      <xdr:col>11</xdr:col>
      <xdr:colOff>390525</xdr:colOff>
      <xdr:row>57</xdr:row>
      <xdr:rowOff>66675</xdr:rowOff>
    </xdr:from>
    <xdr:to>
      <xdr:col>30</xdr:col>
      <xdr:colOff>103146</xdr:colOff>
      <xdr:row>92</xdr:row>
      <xdr:rowOff>142115</xdr:rowOff>
    </xdr:to>
    <xdr:pic>
      <xdr:nvPicPr>
        <xdr:cNvPr id="6" name="图片 5">
          <a:extLst>
            <a:ext uri="{FF2B5EF4-FFF2-40B4-BE49-F238E27FC236}">
              <a16:creationId xmlns:a16="http://schemas.microsoft.com/office/drawing/2014/main" id="{14B07C4F-B980-8533-4257-65C19A9E1CD4}"/>
            </a:ext>
          </a:extLst>
        </xdr:cNvPr>
        <xdr:cNvPicPr>
          <a:picLocks noChangeAspect="1"/>
        </xdr:cNvPicPr>
      </xdr:nvPicPr>
      <xdr:blipFill>
        <a:blip xmlns:r="http://schemas.openxmlformats.org/officeDocument/2006/relationships" r:embed="rId5"/>
        <a:stretch>
          <a:fillRect/>
        </a:stretch>
      </xdr:blipFill>
      <xdr:spPr>
        <a:xfrm>
          <a:off x="7934325" y="9839325"/>
          <a:ext cx="13028571" cy="6076190"/>
        </a:xfrm>
        <a:prstGeom prst="rect">
          <a:avLst/>
        </a:prstGeom>
      </xdr:spPr>
    </xdr:pic>
    <xdr:clientData/>
  </xdr:twoCellAnchor>
  <xdr:twoCellAnchor editAs="oneCell">
    <xdr:from>
      <xdr:col>1</xdr:col>
      <xdr:colOff>180975</xdr:colOff>
      <xdr:row>56</xdr:row>
      <xdr:rowOff>0</xdr:rowOff>
    </xdr:from>
    <xdr:to>
      <xdr:col>17</xdr:col>
      <xdr:colOff>217663</xdr:colOff>
      <xdr:row>105</xdr:row>
      <xdr:rowOff>17998</xdr:rowOff>
    </xdr:to>
    <xdr:pic>
      <xdr:nvPicPr>
        <xdr:cNvPr id="7" name="图片 6">
          <a:extLst>
            <a:ext uri="{FF2B5EF4-FFF2-40B4-BE49-F238E27FC236}">
              <a16:creationId xmlns:a16="http://schemas.microsoft.com/office/drawing/2014/main" id="{DF4AD6CE-B4BE-702D-E0BE-D5617FD7AA55}"/>
            </a:ext>
          </a:extLst>
        </xdr:cNvPr>
        <xdr:cNvPicPr>
          <a:picLocks noChangeAspect="1"/>
        </xdr:cNvPicPr>
      </xdr:nvPicPr>
      <xdr:blipFill>
        <a:blip xmlns:r="http://schemas.openxmlformats.org/officeDocument/2006/relationships" r:embed="rId6"/>
        <a:stretch>
          <a:fillRect/>
        </a:stretch>
      </xdr:blipFill>
      <xdr:spPr>
        <a:xfrm>
          <a:off x="866775" y="9601200"/>
          <a:ext cx="11295238" cy="8419048"/>
        </a:xfrm>
        <a:prstGeom prst="rect">
          <a:avLst/>
        </a:prstGeom>
      </xdr:spPr>
    </xdr:pic>
    <xdr:clientData/>
  </xdr:twoCellAnchor>
  <xdr:twoCellAnchor editAs="oneCell">
    <xdr:from>
      <xdr:col>11</xdr:col>
      <xdr:colOff>0</xdr:colOff>
      <xdr:row>53</xdr:row>
      <xdr:rowOff>0</xdr:rowOff>
    </xdr:from>
    <xdr:to>
      <xdr:col>27</xdr:col>
      <xdr:colOff>531926</xdr:colOff>
      <xdr:row>97</xdr:row>
      <xdr:rowOff>27628</xdr:rowOff>
    </xdr:to>
    <xdr:pic>
      <xdr:nvPicPr>
        <xdr:cNvPr id="8" name="图片 7">
          <a:extLst>
            <a:ext uri="{FF2B5EF4-FFF2-40B4-BE49-F238E27FC236}">
              <a16:creationId xmlns:a16="http://schemas.microsoft.com/office/drawing/2014/main" id="{C3BE0816-D608-B6AC-3B68-657FB85ABBF2}"/>
            </a:ext>
          </a:extLst>
        </xdr:cNvPr>
        <xdr:cNvPicPr>
          <a:picLocks noChangeAspect="1"/>
        </xdr:cNvPicPr>
      </xdr:nvPicPr>
      <xdr:blipFill>
        <a:blip xmlns:r="http://schemas.openxmlformats.org/officeDocument/2006/relationships" r:embed="rId7"/>
        <a:stretch>
          <a:fillRect/>
        </a:stretch>
      </xdr:blipFill>
      <xdr:spPr>
        <a:xfrm>
          <a:off x="7543800" y="9086850"/>
          <a:ext cx="11790476" cy="7571428"/>
        </a:xfrm>
        <a:prstGeom prst="rect">
          <a:avLst/>
        </a:prstGeom>
      </xdr:spPr>
    </xdr:pic>
    <xdr:clientData/>
  </xdr:twoCellAnchor>
  <xdr:twoCellAnchor editAs="oneCell">
    <xdr:from>
      <xdr:col>8</xdr:col>
      <xdr:colOff>514350</xdr:colOff>
      <xdr:row>55</xdr:row>
      <xdr:rowOff>38100</xdr:rowOff>
    </xdr:from>
    <xdr:to>
      <xdr:col>25</xdr:col>
      <xdr:colOff>550952</xdr:colOff>
      <xdr:row>105</xdr:row>
      <xdr:rowOff>84648</xdr:rowOff>
    </xdr:to>
    <xdr:pic>
      <xdr:nvPicPr>
        <xdr:cNvPr id="9" name="图片 8">
          <a:extLst>
            <a:ext uri="{FF2B5EF4-FFF2-40B4-BE49-F238E27FC236}">
              <a16:creationId xmlns:a16="http://schemas.microsoft.com/office/drawing/2014/main" id="{C7192415-0765-A0BB-152F-47D001B49FE1}"/>
            </a:ext>
          </a:extLst>
        </xdr:cNvPr>
        <xdr:cNvPicPr>
          <a:picLocks noChangeAspect="1"/>
        </xdr:cNvPicPr>
      </xdr:nvPicPr>
      <xdr:blipFill>
        <a:blip xmlns:r="http://schemas.openxmlformats.org/officeDocument/2006/relationships" r:embed="rId8"/>
        <a:stretch>
          <a:fillRect/>
        </a:stretch>
      </xdr:blipFill>
      <xdr:spPr>
        <a:xfrm>
          <a:off x="6000750" y="9467850"/>
          <a:ext cx="11980952" cy="8619048"/>
        </a:xfrm>
        <a:prstGeom prst="rect">
          <a:avLst/>
        </a:prstGeom>
      </xdr:spPr>
    </xdr:pic>
    <xdr:clientData/>
  </xdr:twoCellAnchor>
  <xdr:twoCellAnchor editAs="oneCell">
    <xdr:from>
      <xdr:col>8</xdr:col>
      <xdr:colOff>514350</xdr:colOff>
      <xdr:row>55</xdr:row>
      <xdr:rowOff>38100</xdr:rowOff>
    </xdr:from>
    <xdr:to>
      <xdr:col>25</xdr:col>
      <xdr:colOff>198571</xdr:colOff>
      <xdr:row>109</xdr:row>
      <xdr:rowOff>160752</xdr:rowOff>
    </xdr:to>
    <xdr:pic>
      <xdr:nvPicPr>
        <xdr:cNvPr id="10" name="图片 9">
          <a:extLst>
            <a:ext uri="{FF2B5EF4-FFF2-40B4-BE49-F238E27FC236}">
              <a16:creationId xmlns:a16="http://schemas.microsoft.com/office/drawing/2014/main" id="{7FC23C79-75B9-4C85-B103-FBB8C1E90285}"/>
            </a:ext>
          </a:extLst>
        </xdr:cNvPr>
        <xdr:cNvPicPr>
          <a:picLocks noChangeAspect="1"/>
        </xdr:cNvPicPr>
      </xdr:nvPicPr>
      <xdr:blipFill>
        <a:blip xmlns:r="http://schemas.openxmlformats.org/officeDocument/2006/relationships" r:embed="rId9"/>
        <a:stretch>
          <a:fillRect/>
        </a:stretch>
      </xdr:blipFill>
      <xdr:spPr>
        <a:xfrm>
          <a:off x="6000750" y="9467850"/>
          <a:ext cx="11628571" cy="9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970&#21271;&#33489;&#36710;&#20301;&#31199;&#37329;\&#27979;&#31639;-&#21271;&#33489;&#36710;&#20301;&#31199;&#37329;-3.13.xlsx" TargetMode="External"/><Relationship Id="rId1" Type="http://schemas.openxmlformats.org/officeDocument/2006/relationships/externalLinkPath" Target="2025-1-0970&#21271;&#33489;&#36710;&#20301;&#31199;&#37329;/&#27979;&#31639;-&#21271;&#33489;&#36710;&#20301;&#31199;&#37329;-3.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月租"/>
      <sheetName val="比较法-车位时租"/>
      <sheetName val="Sheet1"/>
      <sheetName val="Sheet2"/>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0</v>
          </cell>
        </row>
        <row r="17">
          <cell r="C17" t="str">
            <v>项目类型</v>
          </cell>
        </row>
        <row r="19">
          <cell r="E19">
            <v>0</v>
          </cell>
        </row>
        <row r="20">
          <cell r="E20">
            <v>0</v>
          </cell>
        </row>
        <row r="21">
          <cell r="E21">
            <v>0</v>
          </cell>
        </row>
        <row r="22">
          <cell r="E22">
            <v>0</v>
          </cell>
        </row>
        <row r="23">
          <cell r="E23">
            <v>0</v>
          </cell>
        </row>
        <row r="24">
          <cell r="E24">
            <v>0</v>
          </cell>
        </row>
        <row r="25">
          <cell r="E25">
            <v>0</v>
          </cell>
        </row>
        <row r="26">
          <cell r="E26">
            <v>0</v>
          </cell>
        </row>
        <row r="27">
          <cell r="C27" t="str">
            <v>小计</v>
          </cell>
          <cell r="E27">
            <v>0</v>
          </cell>
        </row>
        <row r="28">
          <cell r="C28" t="str">
            <v>设备及其他</v>
          </cell>
          <cell r="E28">
            <v>0</v>
          </cell>
        </row>
        <row r="29">
          <cell r="C29" t="str">
            <v>公共配套及物业（住宅）</v>
          </cell>
          <cell r="E29">
            <v>0</v>
          </cell>
        </row>
        <row r="30">
          <cell r="C30" t="str">
            <v>小计</v>
          </cell>
          <cell r="E30">
            <v>0</v>
          </cell>
        </row>
        <row r="31">
          <cell r="C31" t="str">
            <v>合计</v>
          </cell>
          <cell r="E31">
            <v>0</v>
          </cell>
        </row>
        <row r="32">
          <cell r="E32">
            <v>0</v>
          </cell>
        </row>
      </sheetData>
      <sheetData sheetId="14">
        <row r="2">
          <cell r="B2">
            <v>46083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cell r="D51" t="str">
            <v>挂牌</v>
          </cell>
        </row>
        <row r="53">
          <cell r="B53" t="str">
            <v>用途</v>
          </cell>
          <cell r="C53">
            <v>0</v>
          </cell>
        </row>
        <row r="71">
          <cell r="B71" t="str">
            <v>楼层</v>
          </cell>
        </row>
        <row r="79">
          <cell r="B79" t="str">
            <v>配套类型（地上主用途）</v>
          </cell>
          <cell r="C79" t="str">
            <v>车库</v>
          </cell>
        </row>
        <row r="83">
          <cell r="B83" t="str">
            <v>公共部分装修</v>
          </cell>
          <cell r="C83" t="str">
            <v>精装修</v>
          </cell>
          <cell r="D83" t="str">
            <v>普通装修</v>
          </cell>
        </row>
        <row r="88">
          <cell r="B88" t="str">
            <v>物业等级</v>
          </cell>
          <cell r="C88" t="str">
            <v>物业公司管理</v>
          </cell>
        </row>
        <row r="93">
          <cell r="B93" t="str">
            <v>车位类型</v>
          </cell>
          <cell r="C93" t="str">
            <v>平面车位</v>
          </cell>
        </row>
        <row r="95">
          <cell r="B95" t="str">
            <v>是否直接入户</v>
          </cell>
          <cell r="C95" t="str">
            <v>否</v>
          </cell>
        </row>
      </sheetData>
      <sheetData sheetId="30" refreshError="1"/>
      <sheetData sheetId="31" refreshError="1"/>
      <sheetData sheetId="32" refreshError="1"/>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2026年3月10日（评估专业人员实地查勘之日）</v>
      </c>
    </row>
    <row r="13" spans="1:2">
      <c r="A13" s="1029" t="s">
        <v>524</v>
      </c>
      <c r="B13" s="1030" t="str">
        <f>'预评函-1'!A18</f>
        <v>本次估价的“房地产价值”是指在正常市场情况下，在价值时点2026年3月10日，估价对象规划用途为，土地取得方式为划拨，假定未设立法定优先受偿款下的房地产市场价值。</v>
      </c>
    </row>
    <row r="14" spans="1:2">
      <c r="A14" s="1029" t="s">
        <v>525</v>
      </c>
      <c r="B14" s="103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3250</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3304</v>
      </c>
      <c r="AA1" s="1325" t="s">
        <v>3303</v>
      </c>
      <c r="AB1" s="1325" t="s">
        <v>3</v>
      </c>
    </row>
    <row r="2" spans="1:28">
      <c r="A2" s="1328" t="s">
        <v>16</v>
      </c>
      <c r="B2" s="1328" t="s">
        <v>987</v>
      </c>
      <c r="C2" s="1329" t="s">
        <v>310</v>
      </c>
      <c r="D2" s="1330" t="s">
        <v>988</v>
      </c>
      <c r="E2" s="1330" t="s">
        <v>989</v>
      </c>
      <c r="F2" s="1330" t="s">
        <v>990</v>
      </c>
      <c r="G2" s="1330">
        <v>20</v>
      </c>
      <c r="H2" s="1330" t="s">
        <v>990</v>
      </c>
      <c r="I2" s="1330" t="s">
        <v>3236</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3310</v>
      </c>
      <c r="Z2" s="1332" t="s">
        <v>2354</v>
      </c>
      <c r="AA2" s="1332" t="s">
        <v>3311</v>
      </c>
      <c r="AB2" s="1332" t="s">
        <v>2381</v>
      </c>
    </row>
    <row r="3" spans="1:28">
      <c r="A3" s="1328" t="s">
        <v>995</v>
      </c>
      <c r="B3" s="1331" t="s">
        <v>443</v>
      </c>
      <c r="C3" s="1329" t="s">
        <v>311</v>
      </c>
      <c r="D3" s="1330" t="s">
        <v>996</v>
      </c>
      <c r="E3" s="1330" t="s">
        <v>13</v>
      </c>
      <c r="F3" s="1330" t="s">
        <v>997</v>
      </c>
      <c r="G3" s="1330">
        <v>40</v>
      </c>
      <c r="H3" s="1330" t="s">
        <v>997</v>
      </c>
      <c r="I3" s="1330" t="s">
        <v>3237</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3238</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3239</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3312</v>
      </c>
    </row>
    <row r="6" spans="1:28">
      <c r="A6" s="1328" t="s">
        <v>1014</v>
      </c>
      <c r="B6" s="1331" t="s">
        <v>444</v>
      </c>
      <c r="C6" s="1333" t="s">
        <v>20</v>
      </c>
      <c r="F6" s="1330" t="s">
        <v>1011</v>
      </c>
      <c r="H6" s="1330" t="s">
        <v>1015</v>
      </c>
      <c r="I6" s="1330" t="s">
        <v>3240</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3241</v>
      </c>
      <c r="X7" s="1332" t="s">
        <v>2351</v>
      </c>
      <c r="Z7" s="1332" t="s">
        <v>2364</v>
      </c>
      <c r="AB7" s="1332" t="s">
        <v>2390</v>
      </c>
    </row>
    <row r="8" spans="1:28">
      <c r="A8" s="1328" t="s">
        <v>1020</v>
      </c>
      <c r="B8" s="1328" t="s">
        <v>1021</v>
      </c>
      <c r="C8" s="1329" t="s">
        <v>314</v>
      </c>
      <c r="F8" s="1330" t="s">
        <v>1022</v>
      </c>
      <c r="H8" s="1330" t="s">
        <v>2479</v>
      </c>
      <c r="I8" s="1330" t="s">
        <v>3242</v>
      </c>
      <c r="X8" s="1332" t="s">
        <v>3313</v>
      </c>
      <c r="Z8" s="1332" t="s">
        <v>2366</v>
      </c>
      <c r="AB8" s="1332" t="s">
        <v>2392</v>
      </c>
    </row>
    <row r="9" spans="1:28">
      <c r="A9" s="1328" t="s">
        <v>1023</v>
      </c>
      <c r="B9" s="1328" t="s">
        <v>1024</v>
      </c>
      <c r="C9" s="1329" t="s">
        <v>315</v>
      </c>
      <c r="F9" s="1330" t="s">
        <v>1025</v>
      </c>
      <c r="H9" s="1330"/>
      <c r="I9" s="1332" t="s">
        <v>3243</v>
      </c>
      <c r="X9" s="1332" t="s">
        <v>3314</v>
      </c>
      <c r="Z9" s="1332" t="s">
        <v>2368</v>
      </c>
      <c r="AB9" s="1332" t="s">
        <v>2394</v>
      </c>
    </row>
    <row r="10" spans="1:28">
      <c r="A10" s="1328" t="s">
        <v>1026</v>
      </c>
      <c r="B10" s="1328" t="s">
        <v>1027</v>
      </c>
      <c r="C10" s="1329" t="s">
        <v>316</v>
      </c>
      <c r="F10" s="1330" t="s">
        <v>2480</v>
      </c>
      <c r="I10" s="1332" t="s">
        <v>3244</v>
      </c>
      <c r="Z10" s="1332" t="s">
        <v>2370</v>
      </c>
      <c r="AB10" s="1332" t="s">
        <v>2396</v>
      </c>
    </row>
    <row r="11" spans="1:28">
      <c r="A11" s="1328" t="s">
        <v>1028</v>
      </c>
      <c r="B11" s="1328" t="s">
        <v>1029</v>
      </c>
      <c r="C11" s="1329" t="s">
        <v>317</v>
      </c>
      <c r="F11" s="1330" t="s">
        <v>13</v>
      </c>
      <c r="I11" s="1332" t="s">
        <v>3245</v>
      </c>
      <c r="Z11" s="1332" t="s">
        <v>2372</v>
      </c>
      <c r="AB11" s="1332" t="s">
        <v>2398</v>
      </c>
    </row>
    <row r="12" spans="1:28">
      <c r="A12" s="1328" t="s">
        <v>1030</v>
      </c>
      <c r="B12" s="1328" t="s">
        <v>1031</v>
      </c>
      <c r="C12" s="1329" t="s">
        <v>318</v>
      </c>
      <c r="I12" s="1332" t="s">
        <v>3246</v>
      </c>
      <c r="Z12" s="1332" t="s">
        <v>2374</v>
      </c>
      <c r="AB12" s="1332" t="s">
        <v>2400</v>
      </c>
    </row>
    <row r="13" spans="1:28">
      <c r="A13" s="1328" t="s">
        <v>1032</v>
      </c>
      <c r="B13" s="1328" t="s">
        <v>1033</v>
      </c>
      <c r="C13" s="1329" t="s">
        <v>319</v>
      </c>
      <c r="I13" s="1332" t="s">
        <v>3247</v>
      </c>
      <c r="Z13" s="1332" t="s">
        <v>2376</v>
      </c>
    </row>
    <row r="14" spans="1:28">
      <c r="A14" s="1328" t="s">
        <v>1034</v>
      </c>
      <c r="B14" s="1328" t="s">
        <v>1035</v>
      </c>
      <c r="C14" s="1330" t="s">
        <v>13</v>
      </c>
      <c r="I14" s="1332" t="s">
        <v>3248</v>
      </c>
      <c r="Z14" s="1332" t="s">
        <v>2378</v>
      </c>
    </row>
    <row r="15" spans="1:28">
      <c r="A15" s="1328" t="s">
        <v>1036</v>
      </c>
      <c r="B15" s="1328" t="s">
        <v>1037</v>
      </c>
      <c r="C15" s="1329"/>
      <c r="I15" s="1332" t="s">
        <v>3249</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0"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1334" t="s">
        <v>380</v>
      </c>
      <c r="C54" s="1332" t="s">
        <v>578</v>
      </c>
    </row>
    <row r="55" spans="1:4">
      <c r="A55" s="3040"/>
      <c r="B55" s="1334" t="s">
        <v>381</v>
      </c>
      <c r="C55" s="1332" t="s">
        <v>579</v>
      </c>
    </row>
    <row r="56" spans="1:4">
      <c r="A56" s="3040"/>
      <c r="B56" s="1334" t="s">
        <v>382</v>
      </c>
      <c r="C56" s="1332" t="s">
        <v>583</v>
      </c>
    </row>
    <row r="57" spans="1:4">
      <c r="A57" s="3040"/>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1" t="s">
        <v>2482</v>
      </c>
      <c r="J2" s="3041"/>
      <c r="K2" s="3041"/>
      <c r="L2" s="3041"/>
      <c r="M2" s="3041"/>
      <c r="N2" s="3041"/>
      <c r="O2" s="3041"/>
      <c r="P2" s="3041"/>
      <c r="Q2" s="3041"/>
      <c r="R2" s="3041"/>
    </row>
    <row r="3" spans="1:18">
      <c r="A3" s="2582" t="s">
        <v>2403</v>
      </c>
      <c r="B3" s="2583">
        <f>项目基本情况!D3</f>
        <v>46091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0.77</v>
      </c>
      <c r="D5" s="2587">
        <f>IF(ISERROR(ROUND(POWER(1+E5,A5-C5)*(POWER(1+E5,C5)-1)/(POWER(1+E5,A5)-1),3)),0,ROUND(POWER(1+E5,A5-C5)*(POWER(1+E5,C5)-1)/(POWER(1+E5,A5)-1),4))</f>
        <v>3.7600000000000001E-2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10.78</v>
      </c>
      <c r="D6" s="2587">
        <f>IF(ISERROR(ROUND(POWER(1+E6,A6-C6)*(POWER(1+E6,C6)-1)/(POWER(1+E6,A6)-1),3)),0,ROUND(POWER(1+E6,A6-C6)*(POWER(1+E6,C6)-1)/(POWER(1+E6,A6)-1),4))</f>
        <v>0.40129999999999999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30.8</v>
      </c>
      <c r="D7" s="2587">
        <f>IF(ISERROR(ROUND(POWER(1+E7,A7-C7)*(POWER(1+E7,C7)-1)/(POWER(1+E7,A7)-1),3)),0,ROUND(POWER(1+E7,A7-C7)*(POWER(1+E7,C7)-1)/(POWER(1+E7,A7)-1),4))</f>
        <v>0.74929999999999997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3286</v>
      </c>
    </row>
    <row r="50" spans="1:4">
      <c r="A50" s="2963" t="s">
        <v>3287</v>
      </c>
      <c r="B50" s="2963" t="s">
        <v>3288</v>
      </c>
      <c r="C50" s="2963" t="s">
        <v>3289</v>
      </c>
      <c r="D50" s="2963" t="s">
        <v>3290</v>
      </c>
    </row>
    <row r="51" spans="1:4">
      <c r="A51" s="2963" t="s">
        <v>3291</v>
      </c>
      <c r="B51" s="2584">
        <f>B52+B53</f>
        <v>15000</v>
      </c>
      <c r="C51" s="2964">
        <f>D51/B51</f>
        <v>2666.6666666666665</v>
      </c>
      <c r="D51" s="2584">
        <f>D52+D53</f>
        <v>40000000</v>
      </c>
    </row>
    <row r="52" spans="1:4">
      <c r="A52" s="2965" t="s">
        <v>3292</v>
      </c>
      <c r="B52" s="2966">
        <v>10000</v>
      </c>
      <c r="C52" s="2966">
        <v>1500</v>
      </c>
      <c r="D52" s="2967">
        <f>C52*B52</f>
        <v>15000000</v>
      </c>
    </row>
    <row r="53" spans="1:4">
      <c r="A53" s="2965" t="s">
        <v>3293</v>
      </c>
      <c r="B53" s="2966">
        <v>5000</v>
      </c>
      <c r="C53" s="2966">
        <v>5000</v>
      </c>
      <c r="D53" s="2967">
        <f>C53*B53</f>
        <v>25000000</v>
      </c>
    </row>
    <row r="54" spans="1:4">
      <c r="A54" s="2963" t="s">
        <v>3294</v>
      </c>
      <c r="B54" s="2584">
        <f>B51</f>
        <v>15000</v>
      </c>
      <c r="C54" s="2590">
        <v>700</v>
      </c>
      <c r="D54" s="2584">
        <f t="shared" ref="D54:D55" si="5">C54*B54</f>
        <v>10500000</v>
      </c>
    </row>
    <row r="55" spans="1:4">
      <c r="A55" s="2963" t="s">
        <v>3295</v>
      </c>
      <c r="B55" s="2584">
        <f>B51</f>
        <v>15000</v>
      </c>
      <c r="C55" s="2590">
        <v>1500</v>
      </c>
      <c r="D55" s="2584">
        <f t="shared" si="5"/>
        <v>22500000</v>
      </c>
    </row>
    <row r="56" spans="1:4">
      <c r="A56" s="2963" t="s">
        <v>3296</v>
      </c>
      <c r="B56" s="2584">
        <f>B51</f>
        <v>15000</v>
      </c>
      <c r="C56" s="2968">
        <f>C51+C54+C55</f>
        <v>4866.6666666666661</v>
      </c>
      <c r="D56" s="2584">
        <f>D51+D54+D55</f>
        <v>73000000</v>
      </c>
    </row>
    <row r="58" spans="1:4">
      <c r="A58" s="2963" t="s">
        <v>3297</v>
      </c>
      <c r="B58" s="2969">
        <v>0.05</v>
      </c>
      <c r="C58" s="2584">
        <f>C56*(1+B58)</f>
        <v>5110</v>
      </c>
      <c r="D58" s="2584">
        <f>D56*B58</f>
        <v>3650000</v>
      </c>
    </row>
    <row r="60" spans="1:4">
      <c r="A60" s="2963" t="s">
        <v>3298</v>
      </c>
      <c r="B60" s="2590">
        <v>3500</v>
      </c>
      <c r="C60" s="2590">
        <f>C53</f>
        <v>5000</v>
      </c>
      <c r="D60" s="2584">
        <f>C60*B60</f>
        <v>17500000</v>
      </c>
    </row>
    <row r="62" spans="1:4">
      <c r="A62" s="2963" t="s">
        <v>3299</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9" t="str">
        <f>IF(B10="北京市","北京市",C10)&amp;F10&amp;IF(结果表!G1="在建","出让国有建设用地使用权及在建建筑物",IF(结果表!G1="土地","出让国有建设用地使用权",))&amp;B9&amp;"预评估"</f>
        <v>北京市预评估</v>
      </c>
      <c r="C1" s="3050"/>
      <c r="D1" s="3050"/>
      <c r="E1" s="3050"/>
      <c r="F1" s="3050"/>
      <c r="G1" s="3050"/>
      <c r="H1" s="3050"/>
      <c r="I1" s="3051"/>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46091</v>
      </c>
      <c r="C3" s="2010" t="s">
        <v>2073</v>
      </c>
      <c r="D3" s="2009">
        <f>B3</f>
        <v>46091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52" t="s">
        <v>2079</v>
      </c>
      <c r="E8" s="2026"/>
      <c r="F8" s="2027"/>
      <c r="G8" s="2266"/>
      <c r="H8" s="2266"/>
      <c r="I8" s="2266"/>
      <c r="J8" s="2069"/>
      <c r="K8" s="2224"/>
      <c r="L8" s="2223"/>
      <c r="M8" s="2223"/>
      <c r="N8" s="2069"/>
      <c r="O8" s="1557"/>
      <c r="P8" s="2069"/>
      <c r="Q8" s="2069"/>
      <c r="R8" s="2069"/>
    </row>
    <row r="9" spans="1:30" ht="13.5" thickBot="1">
      <c r="A9" s="2028" t="s">
        <v>2080</v>
      </c>
      <c r="B9" s="2029"/>
      <c r="C9" s="2030"/>
      <c r="D9" s="3053"/>
      <c r="E9" s="2029"/>
      <c r="F9" s="2031"/>
      <c r="G9" s="2267"/>
      <c r="H9" s="2267"/>
      <c r="I9" s="2267"/>
      <c r="J9" s="2069"/>
      <c r="K9" s="2226"/>
      <c r="L9" s="2223"/>
      <c r="M9" s="2223"/>
      <c r="N9" s="2069"/>
      <c r="O9" s="1557"/>
      <c r="P9" s="2069"/>
      <c r="Q9" s="2069"/>
      <c r="R9" s="2069"/>
    </row>
    <row r="10" spans="1:30" ht="13.5" thickTop="1">
      <c r="A10" s="2032" t="s">
        <v>2081</v>
      </c>
      <c r="B10" s="2033" t="s">
        <v>3322</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3321</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3366</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v>70</v>
      </c>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f>IF(A13="出让",IF(C13="","",ROUNDDOWN(MIN((C13-$D$3)/365,C14),2)),C14)</f>
        <v>70</v>
      </c>
      <c r="D15" s="2045">
        <f>IF(A13="出让",YEARFRAC(D3,D13),D14)</f>
        <v>40</v>
      </c>
      <c r="E15" s="2045">
        <f>IF(A13="出让",IF(E13="","",ROUNDDOWN(MIN((E13-$D$3)/365,E14),2)),E14)</f>
        <v>0</v>
      </c>
      <c r="F15" s="2045">
        <f>IF(A13="出让",IF(F13="","",ROUNDDOWN(MIN((F13-$D$3)/365,F14),2)),F14)</f>
        <v>0</v>
      </c>
      <c r="G15" s="2045">
        <f>IF(A13="出让",IF(G13="","",ROUNDDOWN(MIN((G13-$D$3)/365,G14),2)),G14)</f>
        <v>0</v>
      </c>
      <c r="H15" s="2045">
        <f>IF(A13="出让",IF(H13="","",ROUNDDOWN(MIN((H13-$D$3)/365,H14),2)),H14)</f>
        <v>0</v>
      </c>
      <c r="I15" s="2045">
        <f>IF(A13="出让",IF(I13="","",ROUNDDOWN(MIN((I13-$D$3)/365,I14),2)),I14)</f>
        <v>0</v>
      </c>
      <c r="J15" s="2624"/>
      <c r="K15" s="1557"/>
      <c r="L15" s="1557"/>
      <c r="M15" s="2069"/>
      <c r="N15" s="1557"/>
      <c r="O15" s="2069"/>
      <c r="P15" s="2069"/>
      <c r="Q15" s="2069"/>
      <c r="AD15" s="1505"/>
    </row>
    <row r="16" spans="1:30">
      <c r="A16" s="2035" t="s">
        <v>2095</v>
      </c>
      <c r="B16" s="3059"/>
      <c r="C16" s="3060"/>
      <c r="D16" s="3061"/>
      <c r="E16" s="2046" t="s">
        <v>2096</v>
      </c>
      <c r="F16" s="3062"/>
      <c r="G16" s="3063"/>
      <c r="H16" s="3063"/>
      <c r="I16" s="3064"/>
      <c r="J16" s="2069"/>
      <c r="K16" s="2227"/>
      <c r="L16" s="1557"/>
      <c r="M16" s="1557"/>
      <c r="N16" s="2069"/>
      <c r="O16" s="1557"/>
      <c r="P16" s="2069"/>
      <c r="Q16" s="2069"/>
      <c r="R16" s="2069"/>
    </row>
    <row r="17" spans="1:28">
      <c r="A17" s="303" t="s">
        <v>2097</v>
      </c>
      <c r="B17" s="292" t="s">
        <v>2098</v>
      </c>
      <c r="C17" s="8">
        <f>'数据-汇总表'!E3</f>
        <v>495.26</v>
      </c>
      <c r="D17" s="1143" t="s">
        <v>2099</v>
      </c>
      <c r="E17" s="3065" t="s">
        <v>2100</v>
      </c>
      <c r="F17" s="3066"/>
      <c r="G17" s="3066"/>
      <c r="H17" s="3066"/>
      <c r="I17" s="3067"/>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8" t="s">
        <v>2104</v>
      </c>
      <c r="F18" s="3069"/>
      <c r="G18" s="3069"/>
      <c r="H18" s="3069"/>
      <c r="I18" s="3070"/>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55" t="s">
        <v>2108</v>
      </c>
      <c r="C20" s="3056"/>
      <c r="D20" s="3057" t="s">
        <v>2109</v>
      </c>
      <c r="E20" s="3058"/>
      <c r="F20" s="2254" t="s">
        <v>1050</v>
      </c>
      <c r="G20" s="2266"/>
      <c r="H20" s="2266"/>
      <c r="I20" s="2266"/>
      <c r="J20" s="2069"/>
      <c r="K20" s="3054"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54"/>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54"/>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43"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43"/>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43"/>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44"/>
      <c r="B30" s="292" t="s">
        <v>2120</v>
      </c>
      <c r="C30" s="3045"/>
      <c r="D30" s="3046"/>
      <c r="E30" s="2266"/>
      <c r="F30" s="2266"/>
      <c r="G30" s="2266"/>
      <c r="H30" s="2266"/>
      <c r="I30" s="2266"/>
      <c r="J30" s="2069"/>
      <c r="K30" s="2226"/>
      <c r="L30" s="2223"/>
      <c r="M30" s="2223"/>
      <c r="N30" s="2069"/>
      <c r="O30" s="1557"/>
      <c r="P30" s="2069"/>
      <c r="Q30" s="2069"/>
      <c r="R30" s="2069"/>
      <c r="S30" s="2069"/>
      <c r="T30" s="2069"/>
      <c r="U30" s="2069"/>
      <c r="V30" s="2069"/>
    </row>
    <row r="31" spans="1:28">
      <c r="A31" s="3047"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48"/>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48"/>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42" t="s">
        <v>2130</v>
      </c>
      <c r="T34" s="313" t="str">
        <f>NUMBERSTRING(7-K34,1)&amp;"通"</f>
        <v>七通</v>
      </c>
      <c r="U34" s="2069"/>
      <c r="V34" s="2069"/>
    </row>
    <row r="35" spans="1:30">
      <c r="A35" s="2060"/>
      <c r="B35" s="3042" t="s">
        <v>2131</v>
      </c>
      <c r="C35" s="3042"/>
      <c r="D35" s="3042"/>
      <c r="E35" s="3042"/>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42"/>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3320</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3319</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0" t="s">
        <v>1125</v>
      </c>
      <c r="B2" s="3080"/>
      <c r="C2" s="3080"/>
      <c r="D2" s="726" t="s">
        <v>1101</v>
      </c>
      <c r="E2" s="1410" t="s">
        <v>1102</v>
      </c>
      <c r="F2" s="2263"/>
      <c r="G2" s="2256"/>
      <c r="H2" s="2257"/>
      <c r="I2" s="1970" t="s">
        <v>1126</v>
      </c>
      <c r="J2" s="2263"/>
      <c r="K2" s="2263"/>
      <c r="L2" s="2263"/>
      <c r="M2" s="2263"/>
      <c r="N2" s="2264"/>
      <c r="O2" s="2263"/>
      <c r="P2" s="2263"/>
    </row>
    <row r="3" spans="1:16" ht="15.75" thickBot="1">
      <c r="A3" s="3081" t="s">
        <v>1099</v>
      </c>
      <c r="B3" s="3081"/>
      <c r="C3" s="3081"/>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2"/>
      <c r="B4" s="3083"/>
      <c r="C4" s="3084"/>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5" t="s">
        <v>1104</v>
      </c>
      <c r="C5" s="3085"/>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5" t="s">
        <v>1105</v>
      </c>
      <c r="C6" s="3085"/>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7"/>
      <c r="B7" s="3078"/>
      <c r="C7" s="3079"/>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4" t="s">
        <v>1129</v>
      </c>
      <c r="L16" s="3075"/>
      <c r="M16" s="3075"/>
      <c r="N16" s="3075"/>
      <c r="O16" s="3075"/>
      <c r="P16" s="3076"/>
    </row>
    <row r="17" spans="1:19" ht="15">
      <c r="A17" s="1420" t="s">
        <v>1130</v>
      </c>
      <c r="B17" s="1421" t="s">
        <v>1131</v>
      </c>
      <c r="C17" s="1422" t="s">
        <v>1132</v>
      </c>
      <c r="D17" s="1423" t="s">
        <v>1120</v>
      </c>
      <c r="E17" s="1424" t="s">
        <v>1121</v>
      </c>
      <c r="F17" s="1425"/>
      <c r="G17" s="1426"/>
      <c r="H17" s="1427" t="s">
        <v>1133</v>
      </c>
      <c r="I17" s="1428" t="s">
        <v>1118</v>
      </c>
      <c r="J17" s="984"/>
      <c r="K17" s="3071" t="s">
        <v>1134</v>
      </c>
      <c r="L17" s="3072"/>
      <c r="M17" s="3073"/>
      <c r="N17" s="3071" t="s">
        <v>1135</v>
      </c>
      <c r="O17" s="3072"/>
      <c r="P17" s="3073"/>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3323</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24" priority="1" stopIfTrue="1" operator="containsText" text="面积有误">
      <formula>NOT(ISERROR(SEARCH("面积有误",E27)))</formula>
    </cfRule>
    <cfRule type="cellIs" dxfId="123" priority="3" stopIfTrue="1" operator="equal">
      <formula>"地下面积有误"</formula>
    </cfRule>
  </conditionalFormatting>
  <conditionalFormatting sqref="F27">
    <cfRule type="cellIs" dxfId="12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I6" sqref="I6"/>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46091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t="s">
        <v>3303</v>
      </c>
      <c r="D6" s="783">
        <f>SUMIF(项目基本情况!C$12:I$12,C6,项目基本情况!C$14:I$14)</f>
        <v>70</v>
      </c>
      <c r="E6" s="782">
        <f>IF(B6="","",SUMIF(项目基本情况!C$12:I$12,C6,项目基本情况!C$13:I$13))</f>
        <v>0</v>
      </c>
      <c r="F6" s="60">
        <f>SUMIF(项目基本情况!C$12:I$12,C6,项目基本情况!C$15:I$15)</f>
        <v>70</v>
      </c>
      <c r="G6" s="61">
        <f>IF(ISERROR(ROUND(POWER(1+H6,D6-F6)*(POWER(1+H6,F6)-1)/(POWER(1+H6,D6)-1),3)),0,ROUND(POWER(1+H6,D6-F6)*(POWER(1+H6,F6)-1)/(POWER(1+H6,D6)-1),3))</f>
        <v>1</v>
      </c>
      <c r="H6" s="669">
        <v>0.05</v>
      </c>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f>ROUND(SUMPRODUCT(G6:G13,K6:K13)/SUMPRODUCT((G6:G13&gt;0)*(K6:K13)),3)</f>
        <v>1</v>
      </c>
      <c r="H16" s="83">
        <f>ROUND(SUMPRODUCT(H6:H13,K6:K13)/SUMPRODUCT((H6:H13&gt;0)*(K6:K13)),3)</f>
        <v>0.05</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3282</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3300</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3283</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3284</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3285</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6" t="s">
        <v>2188</v>
      </c>
      <c r="B1" s="3087"/>
      <c r="C1" s="3087"/>
      <c r="D1" s="3087"/>
      <c r="E1" s="3087"/>
      <c r="F1" s="3087"/>
      <c r="G1" s="3087"/>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46091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2365</v>
      </c>
      <c r="C10" s="2124" t="s">
        <v>3255</v>
      </c>
      <c r="D10" s="2124" t="s">
        <v>3256</v>
      </c>
      <c r="E10" s="2955">
        <f>'比较法-商业'!C48</f>
        <v>9.68</v>
      </c>
      <c r="F10" s="2959" t="s">
        <v>3257</v>
      </c>
      <c r="G10" s="2956">
        <v>6.5000000000000002E-2</v>
      </c>
      <c r="H10" s="2287"/>
      <c r="I10" s="2287"/>
      <c r="J10" s="2287"/>
      <c r="K10" s="2287"/>
    </row>
    <row r="11" spans="1:11" ht="16.5">
      <c r="A11" s="2124" t="s">
        <v>665</v>
      </c>
      <c r="B11" s="1135">
        <f>ROUND(E10*365/G10,0)</f>
        <v>54357</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22" t="str">
        <f>项目基本情况!S2</f>
        <v>北京市房地产</v>
      </c>
      <c r="B2" s="3123"/>
      <c r="C2" s="3123"/>
      <c r="D2" s="3123"/>
      <c r="E2" s="3123"/>
      <c r="F2" s="3123"/>
      <c r="G2" s="3123"/>
      <c r="H2" s="3123"/>
      <c r="I2" s="3124"/>
    </row>
    <row r="3" spans="1:12" ht="12.75">
      <c r="A3" s="3126" t="s">
        <v>1256</v>
      </c>
      <c r="B3" s="3127"/>
      <c r="C3" s="3127"/>
      <c r="D3" s="3127"/>
      <c r="E3" s="3127"/>
      <c r="F3" s="3127"/>
      <c r="G3" s="3127"/>
      <c r="H3" s="3127"/>
      <c r="I3" s="3127"/>
    </row>
    <row r="4" spans="1:12" ht="14.25">
      <c r="A4" s="1511" t="s">
        <v>1257</v>
      </c>
      <c r="B4" s="1512" t="s">
        <v>1258</v>
      </c>
      <c r="C4" s="1513"/>
      <c r="D4" s="1513"/>
      <c r="E4" s="3128" t="s">
        <v>1259</v>
      </c>
      <c r="F4" s="3129"/>
      <c r="G4" s="3129"/>
      <c r="H4" s="3129"/>
      <c r="I4" s="3130"/>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2" t="s">
        <v>1260</v>
      </c>
      <c r="B5" s="3089">
        <v>25</v>
      </c>
      <c r="C5" s="3105"/>
      <c r="D5" s="3125"/>
      <c r="E5" s="122" t="s">
        <v>1261</v>
      </c>
      <c r="F5" s="1514"/>
      <c r="G5" s="1514"/>
      <c r="H5" s="1514"/>
      <c r="I5" s="1168"/>
    </row>
    <row r="6" spans="1:12" ht="12.75">
      <c r="A6" s="3102"/>
      <c r="B6" s="3089"/>
      <c r="C6" s="3106"/>
      <c r="D6" s="3125"/>
      <c r="E6" s="122" t="s">
        <v>1262</v>
      </c>
      <c r="F6" s="1514"/>
      <c r="G6" s="1514"/>
      <c r="H6" s="1514"/>
      <c r="I6" s="1168"/>
    </row>
    <row r="7" spans="1:12" ht="12.75">
      <c r="A7" s="3102"/>
      <c r="B7" s="3089"/>
      <c r="C7" s="3107"/>
      <c r="D7" s="3125"/>
      <c r="E7" s="122" t="s">
        <v>1263</v>
      </c>
      <c r="F7" s="1514"/>
      <c r="G7" s="1514"/>
      <c r="H7" s="1514"/>
      <c r="I7" s="1168"/>
    </row>
    <row r="8" spans="1:12" ht="12.75">
      <c r="A8" s="3102" t="s">
        <v>1264</v>
      </c>
      <c r="B8" s="3089">
        <v>15</v>
      </c>
      <c r="C8" s="3105"/>
      <c r="D8" s="3125"/>
      <c r="E8" s="122" t="s">
        <v>1265</v>
      </c>
      <c r="F8" s="1514"/>
      <c r="G8" s="1514"/>
      <c r="H8" s="1514"/>
      <c r="I8" s="1168"/>
    </row>
    <row r="9" spans="1:12" ht="12.75">
      <c r="A9" s="3102"/>
      <c r="B9" s="3089"/>
      <c r="C9" s="3107"/>
      <c r="D9" s="3125"/>
      <c r="E9" s="122" t="s">
        <v>1266</v>
      </c>
      <c r="F9" s="1514"/>
      <c r="G9" s="1514"/>
      <c r="H9" s="1514"/>
      <c r="I9" s="1168"/>
    </row>
    <row r="10" spans="1:12" ht="12.75">
      <c r="A10" s="3102" t="s">
        <v>1267</v>
      </c>
      <c r="B10" s="3089">
        <v>15</v>
      </c>
      <c r="C10" s="3105"/>
      <c r="D10" s="3125"/>
      <c r="E10" s="122" t="s">
        <v>1268</v>
      </c>
      <c r="F10" s="1514"/>
      <c r="G10" s="1514"/>
      <c r="H10" s="1514"/>
      <c r="I10" s="1168"/>
    </row>
    <row r="11" spans="1:12" ht="12.75">
      <c r="A11" s="3102"/>
      <c r="B11" s="3089"/>
      <c r="C11" s="3107"/>
      <c r="D11" s="3125"/>
      <c r="E11" s="122" t="s">
        <v>1269</v>
      </c>
      <c r="F11" s="1514"/>
      <c r="G11" s="1514"/>
      <c r="H11" s="1514"/>
      <c r="I11" s="1168"/>
    </row>
    <row r="12" spans="1:12" ht="12.75">
      <c r="A12" s="3102" t="s">
        <v>1270</v>
      </c>
      <c r="B12" s="3089">
        <v>15</v>
      </c>
      <c r="C12" s="3105"/>
      <c r="D12" s="3125"/>
      <c r="E12" s="122" t="s">
        <v>1271</v>
      </c>
      <c r="F12" s="1514"/>
      <c r="G12" s="1514"/>
      <c r="H12" s="1514"/>
      <c r="I12" s="1168"/>
    </row>
    <row r="13" spans="1:12" ht="12.75">
      <c r="A13" s="3102"/>
      <c r="B13" s="3089"/>
      <c r="C13" s="3107"/>
      <c r="D13" s="3125"/>
      <c r="E13" s="122" t="s">
        <v>1272</v>
      </c>
      <c r="F13" s="1514"/>
      <c r="G13" s="1514"/>
      <c r="H13" s="1514"/>
      <c r="I13" s="1168"/>
    </row>
    <row r="14" spans="1:12" ht="12.75">
      <c r="A14" s="3102" t="s">
        <v>1273</v>
      </c>
      <c r="B14" s="3089">
        <v>30</v>
      </c>
      <c r="C14" s="3105"/>
      <c r="D14" s="3125"/>
      <c r="E14" s="122" t="s">
        <v>1274</v>
      </c>
      <c r="F14" s="1514"/>
      <c r="G14" s="1514"/>
      <c r="H14" s="1514"/>
      <c r="I14" s="1168"/>
    </row>
    <row r="15" spans="1:12" ht="12.75">
      <c r="A15" s="3102"/>
      <c r="B15" s="3089"/>
      <c r="C15" s="3106"/>
      <c r="D15" s="3125"/>
      <c r="E15" s="122" t="s">
        <v>1275</v>
      </c>
      <c r="F15" s="1514"/>
      <c r="G15" s="1514"/>
      <c r="H15" s="1514"/>
      <c r="I15" s="1168"/>
    </row>
    <row r="16" spans="1:12" ht="12.75">
      <c r="A16" s="3102"/>
      <c r="B16" s="3089"/>
      <c r="C16" s="3107"/>
      <c r="D16" s="3125"/>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12" t="s">
        <v>2033</v>
      </c>
      <c r="F18" s="3113"/>
      <c r="G18" s="3113"/>
      <c r="H18" s="3113"/>
      <c r="I18" s="3113"/>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096" t="s">
        <v>1291</v>
      </c>
      <c r="B24" s="1518" t="s">
        <v>1283</v>
      </c>
      <c r="C24" s="127">
        <f>IF(B30=0,0,D30)</f>
        <v>0</v>
      </c>
      <c r="D24" s="1524"/>
      <c r="E24" s="120"/>
      <c r="F24" s="120"/>
      <c r="G24" s="120"/>
      <c r="H24" s="120"/>
      <c r="I24" s="120"/>
    </row>
    <row r="25" spans="1:36" ht="14.25">
      <c r="A25" s="3097"/>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16" t="s">
        <v>1304</v>
      </c>
      <c r="B36" s="1539" t="s">
        <v>1305</v>
      </c>
      <c r="C36" s="136"/>
      <c r="D36" s="1540"/>
      <c r="E36" s="1454"/>
      <c r="F36" s="1541"/>
      <c r="G36" s="120"/>
      <c r="H36" s="120"/>
      <c r="I36" s="120"/>
    </row>
    <row r="37" spans="1:15" ht="15.75" thickBot="1">
      <c r="A37" s="3117"/>
      <c r="B37" s="1442" t="s">
        <v>1306</v>
      </c>
      <c r="C37" s="138"/>
      <c r="D37" s="984"/>
      <c r="E37" s="984"/>
      <c r="F37" s="1541"/>
      <c r="G37" s="120"/>
      <c r="H37" s="120"/>
      <c r="I37" s="120"/>
    </row>
    <row r="38" spans="1:15" ht="15.75" thickBot="1">
      <c r="A38" s="3118"/>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093" t="s">
        <v>1318</v>
      </c>
      <c r="B45" s="3094"/>
      <c r="C45" s="3095"/>
      <c r="D45" s="146" t="e">
        <f ca="1">ROUND(H101*F45,0)</f>
        <v>#REF!</v>
      </c>
      <c r="E45" s="147" t="s">
        <v>1319</v>
      </c>
      <c r="F45" s="148">
        <v>1</v>
      </c>
      <c r="G45" s="149" t="s">
        <v>1320</v>
      </c>
      <c r="H45" s="120"/>
      <c r="I45" s="120"/>
      <c r="J45" s="3171" t="s">
        <v>1321</v>
      </c>
      <c r="K45" s="3171"/>
      <c r="L45" s="3171"/>
      <c r="M45" s="3171"/>
      <c r="N45" s="3171"/>
      <c r="O45" s="3171"/>
    </row>
    <row r="46" spans="1:15" ht="14.25" customHeight="1">
      <c r="A46" s="3090" t="s">
        <v>1322</v>
      </c>
      <c r="B46" s="3091"/>
      <c r="C46" s="3091"/>
      <c r="D46" s="3091"/>
      <c r="E46" s="3091"/>
      <c r="F46" s="3091"/>
      <c r="G46" s="3092"/>
      <c r="H46" s="1555"/>
      <c r="I46" s="150"/>
      <c r="J46" s="2134">
        <v>1</v>
      </c>
      <c r="K46" s="3152" t="s">
        <v>1323</v>
      </c>
      <c r="L46" s="3152"/>
      <c r="M46" s="3172"/>
      <c r="N46" s="3172"/>
      <c r="O46" s="3172"/>
    </row>
    <row r="47" spans="1:15" ht="12" customHeight="1">
      <c r="A47" s="151" t="s">
        <v>1324</v>
      </c>
      <c r="B47" s="152"/>
      <c r="C47" s="153"/>
      <c r="D47" s="937" t="s">
        <v>1325</v>
      </c>
      <c r="E47" s="292" t="s">
        <v>1326</v>
      </c>
      <c r="F47" s="154" t="s">
        <v>1327</v>
      </c>
      <c r="G47" s="2157" t="s">
        <v>1328</v>
      </c>
      <c r="H47" s="2158"/>
      <c r="I47" s="150"/>
      <c r="J47" s="2134">
        <v>2</v>
      </c>
      <c r="K47" s="3152" t="s">
        <v>1329</v>
      </c>
      <c r="L47" s="3152"/>
      <c r="M47" s="3173">
        <f>'数据-取费表'!B2</f>
        <v>46091</v>
      </c>
      <c r="N47" s="3173"/>
      <c r="O47" s="3173"/>
    </row>
    <row r="48" spans="1:15" ht="25.5">
      <c r="A48" s="3121" t="s">
        <v>1330</v>
      </c>
      <c r="B48" s="3104"/>
      <c r="C48" s="3104"/>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52" t="s">
        <v>1332</v>
      </c>
      <c r="L48" s="3152"/>
      <c r="M48" s="3174" t="e">
        <f ca="1">H101</f>
        <v>#REF!</v>
      </c>
      <c r="N48" s="3174"/>
      <c r="O48" s="3174"/>
    </row>
    <row r="49" spans="1:35" ht="25.5" customHeight="1">
      <c r="A49" s="1976" t="s">
        <v>1333</v>
      </c>
      <c r="B49" s="3088" t="s">
        <v>1334</v>
      </c>
      <c r="C49" s="3088"/>
      <c r="D49" s="1365">
        <v>0</v>
      </c>
      <c r="E49" s="314" t="s">
        <v>1335</v>
      </c>
      <c r="F49" s="2057" t="s">
        <v>23</v>
      </c>
      <c r="G49" s="3158"/>
      <c r="H49" s="1959" t="s">
        <v>2036</v>
      </c>
      <c r="I49" s="1960"/>
      <c r="J49" s="2134">
        <v>4</v>
      </c>
      <c r="K49" s="3152" t="str">
        <f>IF(项目基本情况!E8="房地产抵押价值","房地产抵押价值","抵押担保权已注销时的房地产抵押价值")</f>
        <v>抵押担保权已注销时的房地产抵押价值</v>
      </c>
      <c r="L49" s="3152"/>
      <c r="M49" s="3174" t="str">
        <f>IF(项目基本情况!E8="房地产抵押价值",H107,H109)</f>
        <v>——</v>
      </c>
      <c r="N49" s="3174"/>
      <c r="O49" s="3174"/>
    </row>
    <row r="50" spans="1:35" ht="25.5" customHeight="1">
      <c r="A50" s="2162"/>
      <c r="B50" s="3088" t="s">
        <v>1336</v>
      </c>
      <c r="C50" s="3088"/>
      <c r="D50" s="2013"/>
      <c r="E50" s="321"/>
      <c r="F50" s="2057"/>
      <c r="G50" s="3159"/>
      <c r="H50" s="1961" t="s">
        <v>2037</v>
      </c>
      <c r="I50" s="1960"/>
      <c r="J50" s="3171" t="s">
        <v>1337</v>
      </c>
      <c r="K50" s="3171"/>
      <c r="L50" s="3171"/>
      <c r="M50" s="3171"/>
      <c r="N50" s="3171"/>
      <c r="O50" s="3171"/>
    </row>
    <row r="51" spans="1:35" ht="20.45" customHeight="1">
      <c r="A51" s="2163"/>
      <c r="B51" s="3088" t="s">
        <v>1338</v>
      </c>
      <c r="C51" s="3088"/>
      <c r="D51" s="937"/>
      <c r="E51" s="317"/>
      <c r="F51" s="2057"/>
      <c r="G51" s="3160"/>
      <c r="H51" s="1961" t="s">
        <v>2038</v>
      </c>
      <c r="I51" s="1960"/>
      <c r="J51" s="2135" t="s">
        <v>1339</v>
      </c>
      <c r="K51" s="3152" t="s">
        <v>1340</v>
      </c>
      <c r="L51" s="3152"/>
      <c r="M51" s="2135" t="s">
        <v>1341</v>
      </c>
      <c r="N51" s="2135" t="s">
        <v>1342</v>
      </c>
      <c r="O51" s="2135" t="s">
        <v>1343</v>
      </c>
    </row>
    <row r="52" spans="1:35" ht="24" customHeight="1">
      <c r="A52" s="1977" t="s">
        <v>1344</v>
      </c>
      <c r="B52" s="3088" t="s">
        <v>1345</v>
      </c>
      <c r="C52" s="3088"/>
      <c r="D52" s="937" t="e">
        <f ca="1">ROUND(D45*'数据-取费表'!B41/(1+'数据-取费表'!C42),0)</f>
        <v>#REF!</v>
      </c>
      <c r="E52" s="1143" t="s">
        <v>1346</v>
      </c>
      <c r="F52" s="2164">
        <f>'数据-取费表'!B41</f>
        <v>0</v>
      </c>
      <c r="G52" s="2165"/>
      <c r="H52" s="2155"/>
      <c r="I52" s="1556"/>
      <c r="J52" s="2134">
        <v>1</v>
      </c>
      <c r="K52" s="3153" t="s">
        <v>1347</v>
      </c>
      <c r="L52" s="3153"/>
      <c r="M52" s="2136" t="b">
        <f>D48</f>
        <v>0</v>
      </c>
      <c r="N52" s="2134" t="str">
        <f>E48</f>
        <v>销售额×税（费）率</v>
      </c>
      <c r="O52" s="2137">
        <f>F48</f>
        <v>0</v>
      </c>
    </row>
    <row r="53" spans="1:35" ht="12" customHeight="1">
      <c r="A53" s="1977" t="s">
        <v>1348</v>
      </c>
      <c r="B53" s="3114" t="s">
        <v>2193</v>
      </c>
      <c r="C53" s="3115"/>
      <c r="D53" s="937" t="e">
        <f ca="1">ROUND(D45*'数据-取费表'!B41/(1+'数据-取费表'!C42),0)</f>
        <v>#REF!</v>
      </c>
      <c r="E53" s="1143" t="s">
        <v>1346</v>
      </c>
      <c r="F53" s="2164">
        <f>'数据-取费表'!B41</f>
        <v>0</v>
      </c>
      <c r="G53" s="2165"/>
      <c r="H53" s="2155"/>
      <c r="I53" s="1556"/>
      <c r="J53" s="2134">
        <v>2</v>
      </c>
      <c r="K53" s="3153" t="s">
        <v>1349</v>
      </c>
      <c r="L53" s="3153"/>
      <c r="M53" s="2136" t="e">
        <f t="shared" ref="M53:O54" ca="1" si="0">D55</f>
        <v>#REF!</v>
      </c>
      <c r="N53" s="2134" t="str">
        <f t="shared" si="0"/>
        <v>销售额×税（费）率</v>
      </c>
      <c r="O53" s="2137" t="str">
        <f t="shared" si="0"/>
        <v>免征</v>
      </c>
    </row>
    <row r="54" spans="1:35" ht="12" customHeight="1">
      <c r="A54" s="1977" t="s">
        <v>1350</v>
      </c>
      <c r="B54" s="3114" t="s">
        <v>2194</v>
      </c>
      <c r="C54" s="3115"/>
      <c r="D54" s="937" t="e">
        <f ca="1">C68</f>
        <v>#REF!</v>
      </c>
      <c r="E54" s="317" t="s">
        <v>1351</v>
      </c>
      <c r="F54" s="2164">
        <f>'数据-取费表'!B41</f>
        <v>0</v>
      </c>
      <c r="G54" s="2165"/>
      <c r="H54" s="2166"/>
      <c r="I54" s="1556"/>
      <c r="J54" s="2134">
        <v>3</v>
      </c>
      <c r="K54" s="3153" t="s">
        <v>1352</v>
      </c>
      <c r="L54" s="3153"/>
      <c r="M54" s="2136" t="e">
        <f t="shared" ca="1" si="0"/>
        <v>#REF!</v>
      </c>
      <c r="N54" s="2134" t="str">
        <f t="shared" si="0"/>
        <v>增值额×税（费）率</v>
      </c>
      <c r="O54" s="2138" t="str">
        <f t="shared" si="0"/>
        <v>免征</v>
      </c>
    </row>
    <row r="55" spans="1:35" ht="24" customHeight="1">
      <c r="A55" s="3103" t="s">
        <v>1353</v>
      </c>
      <c r="B55" s="3104"/>
      <c r="C55" s="3104"/>
      <c r="D55" s="12" t="e">
        <f ca="1">IF(H55="个人住宅",0,ROUND(D45*I55,0))</f>
        <v>#REF!</v>
      </c>
      <c r="E55" s="1143" t="s">
        <v>1354</v>
      </c>
      <c r="F55" s="2164" t="str">
        <f>IF(H55="正常",I55,"免征")</f>
        <v>免征</v>
      </c>
      <c r="G55" s="2165"/>
      <c r="H55" s="2161"/>
      <c r="I55" s="156">
        <f>'数据-取费表'!B49</f>
        <v>0</v>
      </c>
      <c r="J55" s="2134">
        <f>IF(H59="非个人房产","",4)</f>
        <v>4</v>
      </c>
      <c r="K55" s="3153" t="str">
        <f>IF(H59="非个人房产","——","个人所得税")</f>
        <v>个人所得税</v>
      </c>
      <c r="L55" s="3153"/>
      <c r="M55" s="2139" t="e">
        <f ca="1">D59</f>
        <v>#REF!</v>
      </c>
      <c r="N55" s="1713" t="str">
        <f>E59</f>
        <v>差额计税</v>
      </c>
      <c r="O55" s="2140">
        <f>F59</f>
        <v>0.01</v>
      </c>
    </row>
    <row r="56" spans="1:35" ht="24.75">
      <c r="A56" s="3103" t="s">
        <v>1355</v>
      </c>
      <c r="B56" s="3104"/>
      <c r="C56" s="3104"/>
      <c r="D56" s="12" t="e">
        <f ca="1">IF(H56="个人住宅",D57,D58)</f>
        <v>#REF!</v>
      </c>
      <c r="E56" s="1143" t="s">
        <v>1356</v>
      </c>
      <c r="F56" s="2164" t="str">
        <f>IF(H56="正常",F58,"免征")</f>
        <v>免征</v>
      </c>
      <c r="G56" s="2167" t="s">
        <v>1357</v>
      </c>
      <c r="H56" s="2168"/>
      <c r="I56" s="1557"/>
      <c r="J56" s="2134" t="str">
        <f>IF(项目基本情况!K6="上海银行",IF(J55="",4,J55+1),"")</f>
        <v/>
      </c>
      <c r="K56" s="3176" t="str">
        <f>IF(项目基本情况!K6="上海银行","其他处置费用","")</f>
        <v/>
      </c>
      <c r="L56" s="3177"/>
      <c r="M56" s="2136" t="str">
        <f>IF(项目基本情况!K6="上海银行",M69,"")</f>
        <v/>
      </c>
      <c r="N56" s="3176" t="str">
        <f>IF(项目基本情况!K6="上海银行","包含处置中涉及的律师、诉讼、拍卖、评估等费用","")</f>
        <v/>
      </c>
      <c r="O56" s="3179"/>
    </row>
    <row r="57" spans="1:35" ht="12.75">
      <c r="A57" s="1977" t="s">
        <v>1333</v>
      </c>
      <c r="B57" s="3114" t="s">
        <v>1358</v>
      </c>
      <c r="C57" s="3115"/>
      <c r="D57" s="1365">
        <v>0</v>
      </c>
      <c r="E57" s="314" t="s">
        <v>1335</v>
      </c>
      <c r="F57" s="292"/>
      <c r="G57" s="2165"/>
      <c r="H57" s="2169"/>
      <c r="I57" s="1557"/>
      <c r="J57" s="3153">
        <f>IF(AND(J55="",J56=""),4,IF(项目基本情况!K6="上海银行",结果表!J56+1,结果表!J55+1))</f>
        <v>5</v>
      </c>
      <c r="K57" s="3153" t="s">
        <v>1359</v>
      </c>
      <c r="L57" s="2141" t="s">
        <v>1360</v>
      </c>
      <c r="M57" s="2142"/>
      <c r="N57" s="2143">
        <f ca="1">SUMIF(M52:M56,"&lt;9e307")</f>
        <v>0</v>
      </c>
      <c r="O57" s="2144"/>
      <c r="P57" s="2289" t="e">
        <f ca="1">N57/M49</f>
        <v>#VALUE!</v>
      </c>
    </row>
    <row r="58" spans="1:35" ht="24.75">
      <c r="A58" s="1977" t="s">
        <v>1344</v>
      </c>
      <c r="B58" s="3114" t="s">
        <v>1361</v>
      </c>
      <c r="C58" s="3088"/>
      <c r="D58" s="12" t="e">
        <f ca="1">IF(H58="转让取得",C81,C97)</f>
        <v>#REF!</v>
      </c>
      <c r="E58" s="1143" t="s">
        <v>1356</v>
      </c>
      <c r="F58" s="292" t="s">
        <v>23</v>
      </c>
      <c r="G58" s="2165"/>
      <c r="H58" s="2168"/>
      <c r="I58" s="1557"/>
      <c r="J58" s="3153"/>
      <c r="K58" s="3153"/>
      <c r="L58" s="2141" t="s">
        <v>1362</v>
      </c>
      <c r="M58" s="2145"/>
      <c r="N58" s="2146" t="str">
        <f ca="1">NUMBERSTRING(INT(N57*10000),2)&amp;"元整"</f>
        <v>零元整</v>
      </c>
      <c r="O58" s="2147"/>
    </row>
    <row r="59" spans="1:35" ht="24.75" thickBot="1">
      <c r="A59" s="3156" t="s">
        <v>1363</v>
      </c>
      <c r="B59" s="3157"/>
      <c r="C59" s="3157"/>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54">
        <f>J57+1</f>
        <v>6</v>
      </c>
      <c r="K59" s="3153" t="s">
        <v>1364</v>
      </c>
      <c r="L59" s="2134" t="s">
        <v>1360</v>
      </c>
      <c r="M59" s="2148"/>
      <c r="N59" s="2149" t="e">
        <f ca="1">M49-N57</f>
        <v>#VALUE!</v>
      </c>
      <c r="O59" s="2150"/>
    </row>
    <row r="60" spans="1:35" ht="12" customHeight="1">
      <c r="A60" s="1558"/>
      <c r="B60" s="626"/>
      <c r="C60" s="626"/>
      <c r="D60" s="626"/>
      <c r="E60" s="1353"/>
      <c r="F60" s="1557"/>
      <c r="G60" s="1557"/>
      <c r="H60" s="150"/>
      <c r="I60" s="120"/>
      <c r="J60" s="3155"/>
      <c r="K60" s="3153"/>
      <c r="L60" s="2141" t="s">
        <v>1362</v>
      </c>
      <c r="M60" s="2145"/>
      <c r="N60" s="2146" t="e">
        <f ca="1">NUMBERSTRING(INT(N59*10000),2)&amp;"元整"</f>
        <v>#VALUE!</v>
      </c>
      <c r="O60" s="2147"/>
    </row>
    <row r="61" spans="1:35" ht="13.5" thickBot="1">
      <c r="A61" s="3101" t="s">
        <v>1365</v>
      </c>
      <c r="B61" s="3101"/>
      <c r="C61" s="3101"/>
      <c r="D61" s="3101"/>
      <c r="E61" s="3101"/>
      <c r="F61" s="1557"/>
      <c r="G61" s="1557"/>
      <c r="H61" s="150"/>
      <c r="I61" s="120"/>
      <c r="J61" s="2134">
        <f>J59+1</f>
        <v>7</v>
      </c>
      <c r="K61" s="3153" t="s">
        <v>1366</v>
      </c>
      <c r="L61" s="3153"/>
      <c r="M61" s="2151"/>
      <c r="N61" s="2152" t="e">
        <f ca="1">ROUND(N59*10000/'数据-汇总表'!E3,0)</f>
        <v>#VALUE!</v>
      </c>
      <c r="O61" s="2153"/>
    </row>
    <row r="62" spans="1:35" ht="12.75">
      <c r="A62" s="3119" t="s">
        <v>1367</v>
      </c>
      <c r="B62" s="3120"/>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78"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78"/>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78"/>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78"/>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78"/>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78"/>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78"/>
      <c r="K69" s="1136" t="s">
        <v>1385</v>
      </c>
      <c r="L69" s="1136"/>
      <c r="M69" s="292" t="e">
        <f>ROUND(SUM(M63:M68),0)</f>
        <v>#VALUE!</v>
      </c>
      <c r="N69" s="2156" t="e">
        <f>M69/M49</f>
        <v>#VALUE!</v>
      </c>
      <c r="Z69" s="1510"/>
      <c r="AI69" s="1448"/>
    </row>
    <row r="70" spans="1:35" s="622" customFormat="1" ht="15" thickBot="1">
      <c r="A70" s="3140" t="s">
        <v>1386</v>
      </c>
      <c r="B70" s="3141"/>
      <c r="C70" s="3141"/>
      <c r="D70" s="3141"/>
      <c r="E70" s="3141"/>
      <c r="F70" s="3141"/>
      <c r="G70" s="3141"/>
      <c r="H70" s="3141"/>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19" t="s">
        <v>1367</v>
      </c>
      <c r="B71" s="3120"/>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14" t="s">
        <v>1394</v>
      </c>
      <c r="F76" s="3088"/>
      <c r="G76" s="3088"/>
      <c r="H76" s="3139"/>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098" t="s">
        <v>1398</v>
      </c>
      <c r="F78" s="3099"/>
      <c r="G78" s="3099"/>
      <c r="H78" s="3108"/>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0" t="s">
        <v>1402</v>
      </c>
      <c r="B83" s="3141"/>
      <c r="C83" s="3141"/>
      <c r="D83" s="3141"/>
      <c r="E83" s="3141"/>
      <c r="F83" s="3141"/>
      <c r="G83" s="3141"/>
      <c r="H83" s="3141"/>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19" t="s">
        <v>1367</v>
      </c>
      <c r="B84" s="3120"/>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80" t="s">
        <v>2031</v>
      </c>
      <c r="H90" s="3181"/>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098" t="s">
        <v>1411</v>
      </c>
      <c r="F91" s="3099"/>
      <c r="G91" s="3099"/>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098" t="s">
        <v>1414</v>
      </c>
      <c r="F92" s="3099"/>
      <c r="G92" s="3099"/>
      <c r="H92" s="3108"/>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098" t="s">
        <v>1398</v>
      </c>
      <c r="F93" s="3099"/>
      <c r="G93" s="3099"/>
      <c r="H93" s="3108"/>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09" t="s">
        <v>1418</v>
      </c>
      <c r="F94" s="3110"/>
      <c r="G94" s="3110"/>
      <c r="H94" s="3111"/>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2" t="s">
        <v>1420</v>
      </c>
      <c r="B100" s="3083"/>
      <c r="C100" s="3083"/>
      <c r="D100" s="3100"/>
      <c r="E100" s="3083" t="s">
        <v>1421</v>
      </c>
      <c r="F100" s="3083"/>
      <c r="G100" s="3083"/>
      <c r="H100" s="3100"/>
      <c r="I100" s="120"/>
    </row>
    <row r="101" spans="1:35" ht="18.75" customHeight="1">
      <c r="A101" s="3161" t="s">
        <v>1422</v>
      </c>
      <c r="B101" s="3162"/>
      <c r="C101" s="2195">
        <f>C4</f>
        <v>0</v>
      </c>
      <c r="D101" s="2196">
        <f>D4</f>
        <v>0</v>
      </c>
      <c r="E101" s="3175" t="s">
        <v>1423</v>
      </c>
      <c r="F101" s="3132"/>
      <c r="G101" s="1574" t="s">
        <v>1424</v>
      </c>
      <c r="H101" s="2205" t="e">
        <f ca="1">H118</f>
        <v>#REF!</v>
      </c>
      <c r="I101" s="120"/>
    </row>
    <row r="102" spans="1:35" ht="18.75" customHeight="1">
      <c r="A102" s="3134" t="s">
        <v>1425</v>
      </c>
      <c r="B102" s="2194" t="s">
        <v>1424</v>
      </c>
      <c r="C102" s="2195" t="e">
        <f ca="1">IF(D32="楼面单价",ROUND(C19,0),C19)</f>
        <v>#REF!</v>
      </c>
      <c r="D102" s="2196" t="e">
        <f ca="1">IF(D32="楼面单价",ROUND(D19,0),D19)</f>
        <v>#REF!</v>
      </c>
      <c r="E102" s="3175"/>
      <c r="F102" s="3132"/>
      <c r="G102" s="1574" t="s">
        <v>1426</v>
      </c>
      <c r="H102" s="2165" t="e">
        <f ca="1">I118</f>
        <v>#REF!</v>
      </c>
      <c r="I102" s="120"/>
    </row>
    <row r="103" spans="1:35" ht="42.75" customHeight="1">
      <c r="A103" s="3134"/>
      <c r="B103" s="2194" t="s">
        <v>1426</v>
      </c>
      <c r="C103" s="2197" t="e">
        <f ca="1">C20</f>
        <v>#REF!</v>
      </c>
      <c r="D103" s="2198" t="e">
        <f ca="1">D20</f>
        <v>#REF!</v>
      </c>
      <c r="E103" s="3169" t="s">
        <v>1427</v>
      </c>
      <c r="F103" s="3170"/>
      <c r="G103" s="1575" t="s">
        <v>1428</v>
      </c>
      <c r="H103" s="2205">
        <f>IF(D36="正常操作",H104+H105+H106,H105+H106)</f>
        <v>0</v>
      </c>
      <c r="I103" s="120"/>
    </row>
    <row r="104" spans="1:35" ht="18.75" customHeight="1">
      <c r="A104" s="3134"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5"/>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31" t="str">
        <f>IF(项目基本情况!E8="已注销","——","3.房地产抵押价值")</f>
        <v>3.房地产抵押价值</v>
      </c>
      <c r="F107" s="3132"/>
      <c r="G107" s="1574" t="s">
        <v>1424</v>
      </c>
      <c r="H107" s="2205" t="e">
        <f ca="1">IF(E107="——","——",H101-H103)</f>
        <v>#REF!</v>
      </c>
      <c r="I107" s="120"/>
    </row>
    <row r="108" spans="1:35" ht="18.75" customHeight="1">
      <c r="A108" s="120"/>
      <c r="B108" s="120"/>
      <c r="C108" s="120"/>
      <c r="D108" s="120"/>
      <c r="E108" s="3131"/>
      <c r="F108" s="3132"/>
      <c r="G108" s="1574" t="s">
        <v>1426</v>
      </c>
      <c r="H108" s="2165">
        <f ca="1">IF(H107=H101,H102,ROUND(H107*10000/'数据-汇总表'!E3,0))</f>
        <v>0</v>
      </c>
      <c r="I108" s="120"/>
    </row>
    <row r="109" spans="1:35" ht="18.75" customHeight="1">
      <c r="A109" s="120"/>
      <c r="B109" s="120"/>
      <c r="C109" s="120"/>
      <c r="D109" s="120"/>
      <c r="E109" s="3131" t="str">
        <f>IF(项目基本情况!E8="已注销及未注销","4.抵押担保权已注销时的房地产抵押价值",IF(项目基本情况!E8="已注销","3.抵押担保权已注销时的房地产抵押价值","——"))</f>
        <v>——</v>
      </c>
      <c r="F109" s="3132"/>
      <c r="G109" s="1574" t="s">
        <v>1424</v>
      </c>
      <c r="H109" s="2208" t="str">
        <f>IF(E109="——","——",H101-H105-H106)</f>
        <v>——</v>
      </c>
      <c r="I109" s="120"/>
    </row>
    <row r="110" spans="1:35" ht="18.75" customHeight="1">
      <c r="A110" s="120"/>
      <c r="B110" s="120"/>
      <c r="C110" s="120"/>
      <c r="D110" s="120"/>
      <c r="E110" s="3131"/>
      <c r="F110" s="3132"/>
      <c r="G110" s="1574" t="s">
        <v>1426</v>
      </c>
      <c r="H110" s="2165" t="str">
        <f>IF(H109="——","——",ROUND(H109*10000/'数据-汇总表'!E3,0))</f>
        <v>——</v>
      </c>
      <c r="I110" s="120"/>
    </row>
    <row r="111" spans="1:35" ht="18.75" customHeight="1">
      <c r="A111" s="120"/>
      <c r="B111" s="120"/>
      <c r="C111" s="120"/>
      <c r="D111" s="120"/>
      <c r="E111" s="3163" t="str">
        <f>IF(项目基本情况!E9="抵押净值",IF(OR(项目基本情况!E8="已注销",项目基本情况!E8="房地产抵押价值"),"4.抵押净值","5.抵押净值"),"——")</f>
        <v>——</v>
      </c>
      <c r="F111" s="3133"/>
      <c r="G111" s="1574" t="s">
        <v>1424</v>
      </c>
      <c r="H111" s="2205" t="str">
        <f>IF(E111="——","——",N59)</f>
        <v>——</v>
      </c>
      <c r="I111" s="120"/>
    </row>
    <row r="112" spans="1:35" ht="18.75" customHeight="1" thickBot="1">
      <c r="A112" s="120"/>
      <c r="B112" s="120"/>
      <c r="C112" s="120"/>
      <c r="D112" s="120"/>
      <c r="E112" s="3164"/>
      <c r="F112" s="3165"/>
      <c r="G112" s="1577" t="s">
        <v>1426</v>
      </c>
      <c r="H112" s="2209" t="str">
        <f>IF(E111="——","——",N61)</f>
        <v>——</v>
      </c>
      <c r="I112" s="120"/>
    </row>
    <row r="113" spans="1:27" ht="18.75" customHeight="1">
      <c r="A113" s="120"/>
      <c r="B113" s="120"/>
      <c r="C113" s="120"/>
      <c r="D113" s="120"/>
      <c r="E113" s="3136" t="s">
        <v>1432</v>
      </c>
      <c r="F113" s="3136"/>
      <c r="G113" s="3136"/>
      <c r="H113" s="3136"/>
      <c r="I113" s="120"/>
    </row>
    <row r="114" spans="1:27" ht="3.75" customHeight="1">
      <c r="A114" s="626"/>
      <c r="B114" s="626"/>
      <c r="C114" s="626"/>
      <c r="D114" s="626"/>
      <c r="E114" s="1558"/>
      <c r="F114" s="1558"/>
      <c r="G114" s="1558"/>
      <c r="H114" s="1558"/>
      <c r="I114" s="626"/>
    </row>
    <row r="115" spans="1:27" ht="18.75" customHeight="1">
      <c r="A115" s="3146" t="s">
        <v>1434</v>
      </c>
      <c r="B115" s="3147"/>
      <c r="C115" s="3147"/>
      <c r="D115" s="3147"/>
      <c r="E115" s="3147"/>
      <c r="F115" s="3147"/>
      <c r="G115" s="3147"/>
      <c r="H115" s="3147"/>
      <c r="I115" s="3148"/>
    </row>
    <row r="116" spans="1:27" ht="27" customHeight="1">
      <c r="A116" s="3102" t="s">
        <v>1435</v>
      </c>
      <c r="B116" s="3137" t="s">
        <v>1436</v>
      </c>
      <c r="C116" s="3137" t="s">
        <v>1437</v>
      </c>
      <c r="D116" s="3150" t="s">
        <v>1438</v>
      </c>
      <c r="E116" s="3151"/>
      <c r="F116" s="3145" t="s">
        <v>1439</v>
      </c>
      <c r="G116" s="3145"/>
      <c r="H116" s="3102" t="s">
        <v>1440</v>
      </c>
      <c r="I116" s="3102"/>
    </row>
    <row r="117" spans="1:27" ht="18.75" customHeight="1">
      <c r="A117" s="3102"/>
      <c r="B117" s="3138"/>
      <c r="C117" s="3138"/>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2" t="s">
        <v>1444</v>
      </c>
      <c r="B119" s="3102"/>
      <c r="C119" s="3102"/>
      <c r="D119" s="3142" t="e">
        <f ca="1">NUMBERSTRING(INT(D118*10000),2)&amp;"元整"</f>
        <v>#REF!</v>
      </c>
      <c r="E119" s="3144"/>
      <c r="F119" s="3142" t="e">
        <f ca="1">NUMBERSTRING(INT(F118*10000),2)&amp;"元整"</f>
        <v>#REF!</v>
      </c>
      <c r="G119" s="3144"/>
      <c r="H119" s="3142" t="e">
        <f ca="1">NUMBERSTRING(INT(H118*10000),2)&amp;"元整"</f>
        <v>#REF!</v>
      </c>
      <c r="I119" s="3144"/>
    </row>
    <row r="120" spans="1:27" ht="18.75" customHeight="1">
      <c r="A120" s="3166" t="str">
        <f>IF(项目基本情况!B9="房地产市场价值","",MID(E103,3,LEN(E103)-2))</f>
        <v>估价师知悉的法定优先受偿款</v>
      </c>
      <c r="B120" s="3167"/>
      <c r="C120" s="3168"/>
      <c r="D120" s="3166">
        <f>H103</f>
        <v>0</v>
      </c>
      <c r="E120" s="3167"/>
      <c r="F120" s="3167"/>
      <c r="G120" s="3167"/>
      <c r="H120" s="3167"/>
      <c r="I120" s="3168"/>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42" t="s">
        <v>1444</v>
      </c>
      <c r="B121" s="3143"/>
      <c r="C121" s="3144"/>
      <c r="D121" s="3142" t="str">
        <f>IF(D120=0,"零元整",NUMBERSTRING(INT(D120*10000),2)&amp;"元整")</f>
        <v>零元整</v>
      </c>
      <c r="E121" s="3143"/>
      <c r="F121" s="3143"/>
      <c r="G121" s="3143"/>
      <c r="H121" s="3143"/>
      <c r="I121" s="3144"/>
      <c r="AA121" s="664"/>
    </row>
    <row r="122" spans="1:27" ht="18.75" customHeight="1">
      <c r="A122" s="3133" t="str">
        <f>IF(项目基本情况!B9="房地产市场价值","",MID(E107,3,LEN(E107)-2))</f>
        <v>房地产抵押价值</v>
      </c>
      <c r="B122" s="3133"/>
      <c r="C122" s="3133"/>
      <c r="D122" s="3166" t="e">
        <f ca="1">H107</f>
        <v>#REF!</v>
      </c>
      <c r="E122" s="3167"/>
      <c r="F122" s="3167"/>
      <c r="G122" s="3167"/>
      <c r="H122" s="3167"/>
      <c r="I122" s="3168"/>
      <c r="AA122" s="664"/>
    </row>
    <row r="123" spans="1:27" ht="18.75" customHeight="1">
      <c r="A123" s="3102" t="s">
        <v>1444</v>
      </c>
      <c r="B123" s="3102"/>
      <c r="C123" s="3102"/>
      <c r="D123" s="3142" t="e">
        <f ca="1">NUMBERSTRING(INT(D122*10000),2)&amp;"元整"</f>
        <v>#REF!</v>
      </c>
      <c r="E123" s="3143"/>
      <c r="F123" s="3143"/>
      <c r="G123" s="3143"/>
      <c r="H123" s="3143"/>
      <c r="I123" s="3144"/>
      <c r="AA123" s="664"/>
    </row>
    <row r="124" spans="1:27" ht="18.75" customHeight="1">
      <c r="A124" s="3133" t="str">
        <f>IF(项目基本情况!B9="房地产市场价值","",MID(E109,3,LEN(E109)-2))</f>
        <v/>
      </c>
      <c r="B124" s="3133"/>
      <c r="C124" s="3133"/>
      <c r="D124" s="3166" t="str">
        <f>H109</f>
        <v>——</v>
      </c>
      <c r="E124" s="3167"/>
      <c r="F124" s="3167"/>
      <c r="G124" s="3167"/>
      <c r="H124" s="3167"/>
      <c r="I124" s="3168"/>
      <c r="AA124" s="664"/>
    </row>
    <row r="125" spans="1:27" ht="18.75" customHeight="1">
      <c r="A125" s="3102" t="s">
        <v>1444</v>
      </c>
      <c r="B125" s="3102"/>
      <c r="C125" s="3102"/>
      <c r="D125" s="3142" t="e">
        <f>NUMBERSTRING(INT(D124*10000),2)&amp;"元整"</f>
        <v>#VALUE!</v>
      </c>
      <c r="E125" s="3143"/>
      <c r="F125" s="3143"/>
      <c r="G125" s="3143"/>
      <c r="H125" s="3143"/>
      <c r="I125" s="3144"/>
      <c r="AA125" s="664"/>
    </row>
    <row r="126" spans="1:27" ht="18.75" customHeight="1">
      <c r="A126" s="3133" t="str">
        <f>IF(项目基本情况!B9="房地产市场价值","",MID(E111,3,LEN(E111)-2))</f>
        <v/>
      </c>
      <c r="B126" s="3133"/>
      <c r="C126" s="3133"/>
      <c r="D126" s="3166" t="str">
        <f>H111</f>
        <v>——</v>
      </c>
      <c r="E126" s="3167"/>
      <c r="F126" s="3167"/>
      <c r="G126" s="3167"/>
      <c r="H126" s="3167"/>
      <c r="I126" s="3168"/>
      <c r="AA126" s="664"/>
    </row>
    <row r="127" spans="1:27" ht="18.75" customHeight="1">
      <c r="A127" s="3102" t="s">
        <v>1444</v>
      </c>
      <c r="B127" s="3102"/>
      <c r="C127" s="3102"/>
      <c r="D127" s="3142" t="e">
        <f>NUMBERSTRING(INT(D126*10000),2)&amp;"元整"</f>
        <v>#VALUE!</v>
      </c>
      <c r="E127" s="3143"/>
      <c r="F127" s="3143"/>
      <c r="G127" s="3143"/>
      <c r="H127" s="3143"/>
      <c r="I127" s="3144"/>
      <c r="AA127" s="664"/>
    </row>
    <row r="128" spans="1:27" ht="21.75" customHeight="1">
      <c r="A128" s="3149" t="s">
        <v>1445</v>
      </c>
      <c r="B128" s="3149"/>
      <c r="C128" s="3149"/>
      <c r="D128" s="3149"/>
      <c r="E128" s="3149"/>
      <c r="F128" s="3149"/>
      <c r="G128" s="3149"/>
      <c r="H128" s="3149"/>
      <c r="I128" s="3149"/>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10" stopIfTrue="1" operator="equal">
      <formula>25</formula>
    </cfRule>
  </conditionalFormatting>
  <conditionalFormatting sqref="C8:D13">
    <cfRule type="cellIs" dxfId="118" priority="8" stopIfTrue="1" operator="equal">
      <formula>15</formula>
    </cfRule>
  </conditionalFormatting>
  <conditionalFormatting sqref="C14:D16">
    <cfRule type="cellIs" dxfId="117" priority="6"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2" t="s">
        <v>1536</v>
      </c>
    </row>
    <row r="43" spans="1:7" ht="13.5" customHeight="1">
      <c r="A43" s="712" t="s">
        <v>342</v>
      </c>
      <c r="B43" s="206" t="s">
        <v>1537</v>
      </c>
      <c r="C43" s="229" t="e">
        <f ca="1">ROUND(IF('数据-取费表'!B22&lt;=1,C39*F22*'数据-取费表'!B21/2,C39*(POWER((1+F22),'数据-取费表'!B21/2)-1)),0)</f>
        <v>#VALUE!</v>
      </c>
      <c r="D43" s="229"/>
      <c r="E43" s="229"/>
      <c r="F43" s="230"/>
      <c r="G43" s="3183"/>
    </row>
    <row r="44" spans="1:7" ht="13.5" customHeight="1">
      <c r="A44" s="712" t="s">
        <v>343</v>
      </c>
      <c r="B44" s="206" t="s">
        <v>1538</v>
      </c>
      <c r="C44" s="229" t="e">
        <f ca="1">ROUND(IF('数据-取费表'!B22&lt;=1,C40*F22*'数据-取费表'!B21/2,C40*(POWER((1+F22),'数据-取费表'!B21/2)-1)),4)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0" t="str">
        <f>项目基本情况!B1</f>
        <v>北京市预评估</v>
      </c>
      <c r="C37" s="3000"/>
      <c r="D37" s="3000"/>
      <c r="E37" s="3000"/>
      <c r="F37" s="3000"/>
      <c r="G37" s="3000"/>
      <c r="H37" s="3000"/>
      <c r="I37" s="3000"/>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2" t="s">
        <v>1583</v>
      </c>
    </row>
    <row r="43" spans="1:7" ht="13.5" customHeight="1">
      <c r="A43" s="712" t="s">
        <v>342</v>
      </c>
      <c r="B43" s="206" t="s">
        <v>1537</v>
      </c>
      <c r="C43" s="229" t="e">
        <f ca="1">ROUND(IF('数据-取费表'!B22&lt;=1,C39*F22*'数据-取费表'!B20/2,C39*(POWER((1+F22),'数据-取费表'!B20/2)-1)),0)</f>
        <v>#VALUE!</v>
      </c>
      <c r="D43" s="229"/>
      <c r="E43" s="229"/>
      <c r="F43" s="230"/>
      <c r="G43" s="3183"/>
    </row>
    <row r="44" spans="1:7" ht="13.5" customHeight="1">
      <c r="A44" s="712" t="s">
        <v>343</v>
      </c>
      <c r="B44" s="206" t="s">
        <v>1538</v>
      </c>
      <c r="C44" s="229" t="e">
        <f ca="1">ROUND(IF('数据-取费表'!B22&lt;=1,C40*F22*'数据-取费表'!B20/2,C40*(POWER((1+F22),'数据-取费表'!B20/2)-1)),4)</f>
        <v>#VALUE!</v>
      </c>
      <c r="D44" s="229"/>
      <c r="E44" s="229"/>
      <c r="F44" s="230"/>
      <c r="G44" s="3184"/>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7" t="s">
        <v>688</v>
      </c>
      <c r="C6" s="924">
        <f ca="1">ROUND(F6*F8*F7*(1-F9)/10000,0)</f>
        <v>0</v>
      </c>
      <c r="D6" s="146" t="s">
        <v>2011</v>
      </c>
      <c r="E6" s="292" t="s">
        <v>690</v>
      </c>
      <c r="F6" s="293">
        <f ca="1">INDIRECT("'数据-取费表'!u"&amp;$G$1)</f>
        <v>0</v>
      </c>
      <c r="G6" s="1179"/>
      <c r="H6" s="919" t="s">
        <v>393</v>
      </c>
      <c r="I6" s="3187" t="s">
        <v>688</v>
      </c>
      <c r="J6" s="291">
        <f ca="1">ROUND(M6*M8*M7*(1-M9)/10000,0)</f>
        <v>0</v>
      </c>
      <c r="K6" s="146" t="s">
        <v>2010</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3235</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3235</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3235</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J11">
    <cfRule type="expression" dxfId="112" priority="2">
      <formula>$M$10="自定义"</formula>
    </cfRule>
  </conditionalFormatting>
  <conditionalFormatting sqref="K55 K60">
    <cfRule type="expression" dxfId="11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7" t="s">
        <v>688</v>
      </c>
      <c r="C6" s="924">
        <f ca="1">ROUND(F6*F8*F7*(1-F9),0)</f>
        <v>0</v>
      </c>
      <c r="D6" s="146" t="s">
        <v>2008</v>
      </c>
      <c r="E6" s="292" t="s">
        <v>690</v>
      </c>
      <c r="F6" s="293">
        <f ca="1">INDIRECT("'数据-取费表'!u"&amp;$G$1)</f>
        <v>0</v>
      </c>
      <c r="G6" s="1179"/>
      <c r="H6" s="919" t="s">
        <v>393</v>
      </c>
      <c r="I6" s="3187" t="s">
        <v>688</v>
      </c>
      <c r="J6" s="291">
        <f ca="1">ROUND(M6*M8*M7*(1-M9),0)</f>
        <v>0</v>
      </c>
      <c r="K6" s="1171" t="s">
        <v>2009</v>
      </c>
      <c r="L6" s="292" t="s">
        <v>690</v>
      </c>
      <c r="M6" s="293">
        <f ca="1">INDIRECT("'数据-取费表'!z"&amp;$G$1)</f>
        <v>0</v>
      </c>
    </row>
    <row r="7" spans="1:37" ht="18" customHeight="1">
      <c r="A7" s="923"/>
      <c r="B7" s="3188"/>
      <c r="C7" s="925"/>
      <c r="D7" s="297"/>
      <c r="E7" s="926" t="s">
        <v>691</v>
      </c>
      <c r="F7" s="293">
        <f ca="1">IF(INDIRECT("'数据-取费表'!ah"&amp;$G$1)="",INDIRECT("'数据-取费表'!k"&amp;$G$1),INDIRECT("'数据-取费表'!ah"&amp;$G$1))</f>
        <v>0</v>
      </c>
      <c r="G7" s="1179"/>
      <c r="H7" s="294"/>
      <c r="I7" s="3188"/>
      <c r="J7" s="296"/>
      <c r="K7" s="297"/>
      <c r="L7" s="292" t="s">
        <v>691</v>
      </c>
      <c r="M7" s="293">
        <f ca="1">F7</f>
        <v>0</v>
      </c>
    </row>
    <row r="8" spans="1:37" ht="18" customHeight="1">
      <c r="A8" s="294"/>
      <c r="B8" s="3188"/>
      <c r="C8" s="296"/>
      <c r="D8" s="297"/>
      <c r="E8" s="292" t="s">
        <v>692</v>
      </c>
      <c r="F8" s="293">
        <f ca="1">INDIRECT("'数据-取费表'!ai"&amp;$G$1)</f>
        <v>0</v>
      </c>
      <c r="G8" s="1179"/>
      <c r="H8" s="294"/>
      <c r="I8" s="3188"/>
      <c r="J8" s="296"/>
      <c r="K8" s="297"/>
      <c r="L8" s="292" t="s">
        <v>692</v>
      </c>
      <c r="M8" s="293">
        <f ca="1">INDIRECT("'数据-取费表'!ai"&amp;$G$1)</f>
        <v>0</v>
      </c>
    </row>
    <row r="9" spans="1:37" ht="18" customHeight="1">
      <c r="A9" s="294"/>
      <c r="B9" s="3189"/>
      <c r="C9" s="296"/>
      <c r="D9" s="297"/>
      <c r="E9" s="292" t="s">
        <v>693</v>
      </c>
      <c r="F9" s="302">
        <f ca="1">INDIRECT("'数据-取费表'!w"&amp;$G$1)</f>
        <v>0</v>
      </c>
      <c r="G9" s="1179"/>
      <c r="H9" s="294"/>
      <c r="I9" s="3189"/>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3235</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3235</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3251</v>
      </c>
      <c r="B45" s="1194"/>
      <c r="C45" s="1263" t="e">
        <f ca="1">ROUND((C68-C40)/10000,4)</f>
        <v>#VALUE!</v>
      </c>
      <c r="D45" s="2949" t="s">
        <v>3252</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5" t="s">
        <v>831</v>
      </c>
      <c r="L53" s="3186"/>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3235</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3258</v>
      </c>
      <c r="E2" s="2958"/>
      <c r="F2" s="2417"/>
      <c r="G2" s="2418"/>
      <c r="H2" s="2419"/>
      <c r="I2" s="2420"/>
      <c r="J2" s="3196" t="s">
        <v>2219</v>
      </c>
      <c r="K2" s="3197"/>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8" t="s">
        <v>2229</v>
      </c>
      <c r="K3" s="3199"/>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8" t="s">
        <v>2231</v>
      </c>
      <c r="K4" s="3199"/>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04" t="s">
        <v>2235</v>
      </c>
      <c r="B6" s="3205"/>
      <c r="C6" s="3206"/>
      <c r="D6" s="2441"/>
      <c r="E6" s="2442"/>
      <c r="F6" s="2443"/>
      <c r="G6" s="2444"/>
      <c r="H6" s="2419"/>
      <c r="I6" s="2420"/>
      <c r="J6" s="3190">
        <v>1</v>
      </c>
      <c r="K6" s="3191"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0"/>
      <c r="K7" s="3192"/>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7" t="s">
        <v>2249</v>
      </c>
      <c r="C8" s="3208"/>
      <c r="D8" s="2460" t="s">
        <v>2250</v>
      </c>
      <c r="E8" s="2461" t="s">
        <v>2251</v>
      </c>
      <c r="F8" s="2462" t="s">
        <v>2252</v>
      </c>
      <c r="G8" s="2463"/>
      <c r="H8" s="2419"/>
      <c r="I8" s="2420"/>
      <c r="J8" s="3190"/>
      <c r="K8" s="3192"/>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7" t="s">
        <v>2255</v>
      </c>
      <c r="C9" s="3208"/>
      <c r="D9" s="2460">
        <f>ROUND(D6*E9,0)</f>
        <v>0</v>
      </c>
      <c r="E9" s="2464"/>
      <c r="F9" s="2465" t="s">
        <v>2256</v>
      </c>
      <c r="G9" s="2444"/>
      <c r="H9" s="2419"/>
      <c r="I9" s="2420"/>
      <c r="J9" s="3190"/>
      <c r="K9" s="3192"/>
      <c r="L9" s="2454" t="s">
        <v>2257</v>
      </c>
      <c r="M9" s="2455"/>
      <c r="N9" s="2431"/>
      <c r="O9" s="2456"/>
      <c r="P9" s="2456"/>
      <c r="Q9" s="2457">
        <v>365</v>
      </c>
      <c r="R9" s="2458">
        <f t="shared" si="0"/>
        <v>0</v>
      </c>
      <c r="S9" s="2412"/>
      <c r="T9" s="2412"/>
      <c r="U9" s="2412"/>
      <c r="V9" s="2420"/>
    </row>
    <row r="10" spans="1:22" s="2424" customFormat="1" ht="13.15" customHeight="1">
      <c r="A10" s="2459">
        <v>2</v>
      </c>
      <c r="B10" s="3207" t="s">
        <v>2258</v>
      </c>
      <c r="C10" s="3208"/>
      <c r="D10" s="2460">
        <f>ROUND(D6*E10,0)</f>
        <v>0</v>
      </c>
      <c r="E10" s="2464"/>
      <c r="F10" s="2465" t="s">
        <v>2259</v>
      </c>
      <c r="G10" s="2444"/>
      <c r="H10" s="2419"/>
      <c r="I10" s="2420"/>
      <c r="J10" s="3190"/>
      <c r="K10" s="3192"/>
      <c r="L10" s="2454" t="s">
        <v>2260</v>
      </c>
      <c r="M10" s="2455"/>
      <c r="N10" s="2431"/>
      <c r="O10" s="2456"/>
      <c r="P10" s="2456"/>
      <c r="Q10" s="2457">
        <v>365</v>
      </c>
      <c r="R10" s="2458">
        <f t="shared" si="0"/>
        <v>0</v>
      </c>
      <c r="S10" s="2412"/>
      <c r="T10" s="2412"/>
      <c r="U10" s="2412"/>
      <c r="V10" s="2420"/>
    </row>
    <row r="11" spans="1:22" s="2424" customFormat="1" ht="13.15" customHeight="1">
      <c r="A11" s="2459">
        <v>3</v>
      </c>
      <c r="B11" s="3207" t="s">
        <v>2261</v>
      </c>
      <c r="C11" s="3208"/>
      <c r="D11" s="2460">
        <f>D12+D14+D15+D16</f>
        <v>0</v>
      </c>
      <c r="E11" s="2466" t="e">
        <f>D11/D6</f>
        <v>#DIV/0!</v>
      </c>
      <c r="F11" s="2462"/>
      <c r="G11" s="2463"/>
      <c r="H11" s="2419"/>
      <c r="I11" s="2420"/>
      <c r="J11" s="3190"/>
      <c r="K11" s="3192"/>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0" t="s">
        <v>2264</v>
      </c>
      <c r="C12" s="3201"/>
      <c r="D12" s="2468">
        <f>ROUND(D13*1.2%*(1-30%),0)</f>
        <v>0</v>
      </c>
      <c r="E12" s="2469">
        <v>1.2E-2</v>
      </c>
      <c r="F12" s="2462" t="s">
        <v>2265</v>
      </c>
      <c r="G12" s="2463"/>
      <c r="H12" s="2419"/>
      <c r="I12" s="2420"/>
      <c r="J12" s="3190"/>
      <c r="K12" s="3192"/>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0"/>
      <c r="K13" s="3192"/>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0" t="s">
        <v>2270</v>
      </c>
      <c r="C14" s="3201"/>
      <c r="D14" s="2468">
        <f>ROUND(E14*B5/10000,0)</f>
        <v>0</v>
      </c>
      <c r="E14" s="2457"/>
      <c r="F14" s="2462" t="s">
        <v>2271</v>
      </c>
      <c r="G14" s="2463"/>
      <c r="H14" s="2419"/>
      <c r="I14" s="2420"/>
      <c r="J14" s="3190"/>
      <c r="K14" s="3193"/>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0" t="s">
        <v>2274</v>
      </c>
      <c r="C15" s="3201"/>
      <c r="D15" s="2468">
        <f>ROUND(D6*E15,0)</f>
        <v>0</v>
      </c>
      <c r="E15" s="2469">
        <v>5.5E-2</v>
      </c>
      <c r="F15" s="2462" t="s">
        <v>2275</v>
      </c>
      <c r="G15" s="2444"/>
      <c r="H15" s="2419"/>
      <c r="I15" s="2420"/>
      <c r="J15" s="3190">
        <v>2</v>
      </c>
      <c r="K15" s="3191"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0" t="s">
        <v>2283</v>
      </c>
      <c r="C16" s="3201"/>
      <c r="D16" s="2479">
        <f>D6*E16</f>
        <v>0</v>
      </c>
      <c r="E16" s="2480"/>
      <c r="F16" s="2465" t="s">
        <v>2284</v>
      </c>
      <c r="G16" s="2444"/>
      <c r="H16" s="2419"/>
      <c r="I16" s="2420"/>
      <c r="J16" s="3190"/>
      <c r="K16" s="3192"/>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2" t="s">
        <v>2286</v>
      </c>
      <c r="C17" s="3203"/>
      <c r="D17" s="2482">
        <f>ROUND(D6*E17,0)</f>
        <v>0</v>
      </c>
      <c r="E17" s="2483"/>
      <c r="F17" s="2484" t="s">
        <v>2287</v>
      </c>
      <c r="G17" s="2444"/>
      <c r="H17" s="2419"/>
      <c r="I17" s="2420"/>
      <c r="J17" s="3190"/>
      <c r="K17" s="3192"/>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0"/>
      <c r="K18" s="3192"/>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0"/>
      <c r="K19" s="3193"/>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0">
        <v>3</v>
      </c>
      <c r="K20" s="3191"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0"/>
      <c r="K21" s="3192"/>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0"/>
      <c r="K22" s="3192"/>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0"/>
      <c r="K23" s="3192"/>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0"/>
      <c r="K24" s="3193"/>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194">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195"/>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6" t="s">
        <v>2219</v>
      </c>
      <c r="K32" s="3197"/>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8" t="s">
        <v>2229</v>
      </c>
      <c r="K33" s="3199"/>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8" t="s">
        <v>2231</v>
      </c>
      <c r="K34" s="3199"/>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0">
        <v>1</v>
      </c>
      <c r="K36" s="3191"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0"/>
      <c r="K37" s="3192"/>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0"/>
      <c r="K38" s="3192"/>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0"/>
      <c r="K39" s="3192"/>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0"/>
      <c r="K40" s="3193"/>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194">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195"/>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09" t="s">
        <v>1646</v>
      </c>
      <c r="C5" s="3210"/>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811"/>
      <c r="M4" s="812"/>
      <c r="N4" s="812"/>
      <c r="O4" s="812"/>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811"/>
      <c r="M5" s="812"/>
      <c r="N5" s="812"/>
      <c r="O5" s="812"/>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811"/>
      <c r="M6" s="812"/>
      <c r="N6" s="812"/>
      <c r="O6" s="812"/>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46091</v>
      </c>
      <c r="D7" s="352">
        <v>100</v>
      </c>
      <c r="E7" s="353"/>
      <c r="F7" s="354">
        <f>SUMIF(52:52,YEAR(E7)&amp;"-"&amp;MONTH(E7),53:53)</f>
        <v>0</v>
      </c>
      <c r="G7" s="353"/>
      <c r="H7" s="352">
        <f>SUMIF(52:52,YEAR(G7)&amp;"-"&amp;MONTH(G7),53:53)</f>
        <v>0</v>
      </c>
      <c r="I7" s="353"/>
      <c r="J7" s="352">
        <f>SUMIF(52:52,YEAR(I7)&amp;"-"&amp;MONTH(I7),53:53)</f>
        <v>0</v>
      </c>
      <c r="K7" s="38"/>
      <c r="L7" s="813"/>
      <c r="M7" s="814"/>
      <c r="N7" s="814"/>
      <c r="O7" s="814"/>
      <c r="P7" s="3244" t="s">
        <v>1661</v>
      </c>
      <c r="Q7" s="3246"/>
      <c r="R7" s="644" t="s">
        <v>14</v>
      </c>
      <c r="S7" s="645">
        <f t="shared" ref="S7:S15" si="0">F7</f>
        <v>0</v>
      </c>
      <c r="T7" s="644" t="s">
        <v>14</v>
      </c>
      <c r="U7" s="645">
        <f t="shared" ref="U7:U15" si="1">H7</f>
        <v>0</v>
      </c>
      <c r="V7" s="644" t="s">
        <v>14</v>
      </c>
      <c r="W7" s="645">
        <f t="shared" ref="W7:W15" si="2">J7</f>
        <v>0</v>
      </c>
      <c r="X7" s="646"/>
      <c r="Y7" s="3244" t="s">
        <v>1661</v>
      </c>
      <c r="Z7" s="3245"/>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44" t="s">
        <v>1664</v>
      </c>
      <c r="Q8" s="3245"/>
      <c r="R8" s="644" t="s">
        <v>14</v>
      </c>
      <c r="S8" s="645">
        <f t="shared" si="0"/>
        <v>100</v>
      </c>
      <c r="T8" s="644" t="s">
        <v>14</v>
      </c>
      <c r="U8" s="645">
        <f t="shared" si="1"/>
        <v>100</v>
      </c>
      <c r="V8" s="644" t="s">
        <v>14</v>
      </c>
      <c r="W8" s="645">
        <f t="shared" si="2"/>
        <v>100</v>
      </c>
      <c r="X8" s="646"/>
      <c r="Y8" s="3244" t="s">
        <v>1664</v>
      </c>
      <c r="Z8" s="3245"/>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11"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11"/>
      <c r="Q11" s="525" t="str">
        <f t="shared" si="6"/>
        <v>容积率</v>
      </c>
      <c r="R11" s="644" t="s">
        <v>14</v>
      </c>
      <c r="S11" s="645">
        <f t="shared" si="0"/>
        <v>100</v>
      </c>
      <c r="T11" s="644" t="s">
        <v>14</v>
      </c>
      <c r="U11" s="645">
        <f t="shared" si="1"/>
        <v>100</v>
      </c>
      <c r="V11" s="644" t="s">
        <v>14</v>
      </c>
      <c r="W11" s="645">
        <f t="shared" si="2"/>
        <v>100</v>
      </c>
      <c r="X11" s="646"/>
      <c r="Y11" s="3089"/>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11"/>
      <c r="Q14" s="525">
        <f t="shared" si="6"/>
        <v>111</v>
      </c>
      <c r="R14" s="644" t="s">
        <v>14</v>
      </c>
      <c r="S14" s="645">
        <f t="shared" si="0"/>
        <v>100</v>
      </c>
      <c r="T14" s="644" t="s">
        <v>14</v>
      </c>
      <c r="U14" s="645">
        <f t="shared" si="1"/>
        <v>100</v>
      </c>
      <c r="V14" s="644" t="s">
        <v>14</v>
      </c>
      <c r="W14" s="645">
        <f t="shared" si="2"/>
        <v>100</v>
      </c>
      <c r="X14" s="646"/>
      <c r="Y14" s="3089"/>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16" t="s">
        <v>1672</v>
      </c>
      <c r="Q15" s="1150" t="str">
        <f t="shared" si="6"/>
        <v>产业集聚程度</v>
      </c>
      <c r="R15" s="647" t="s">
        <v>14</v>
      </c>
      <c r="S15" s="648">
        <f t="shared" si="0"/>
        <v>100</v>
      </c>
      <c r="T15" s="647" t="s">
        <v>14</v>
      </c>
      <c r="U15" s="648">
        <f t="shared" si="1"/>
        <v>100</v>
      </c>
      <c r="V15" s="647" t="s">
        <v>14</v>
      </c>
      <c r="W15" s="648">
        <f t="shared" si="2"/>
        <v>100</v>
      </c>
      <c r="X15" s="1152"/>
      <c r="Y15" s="3216"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17"/>
      <c r="Q16" s="1150"/>
      <c r="R16" s="647"/>
      <c r="S16" s="648"/>
      <c r="T16" s="647"/>
      <c r="U16" s="648"/>
      <c r="V16" s="647"/>
      <c r="W16" s="648"/>
      <c r="X16" s="1152"/>
      <c r="Y16" s="3217"/>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17"/>
      <c r="Q17" s="1150" t="str">
        <f>B17</f>
        <v>交通便捷度</v>
      </c>
      <c r="R17" s="647" t="s">
        <v>14</v>
      </c>
      <c r="S17" s="648">
        <f>F17</f>
        <v>100</v>
      </c>
      <c r="T17" s="647" t="s">
        <v>14</v>
      </c>
      <c r="U17" s="648">
        <f>H17</f>
        <v>100</v>
      </c>
      <c r="V17" s="647" t="s">
        <v>14</v>
      </c>
      <c r="W17" s="648">
        <f>J17</f>
        <v>100</v>
      </c>
      <c r="X17" s="1152"/>
      <c r="Y17" s="3217"/>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17"/>
      <c r="Q18" s="1150"/>
      <c r="R18" s="647"/>
      <c r="S18" s="648"/>
      <c r="T18" s="647"/>
      <c r="U18" s="648"/>
      <c r="V18" s="647"/>
      <c r="W18" s="648"/>
      <c r="X18" s="1152"/>
      <c r="Y18" s="3217"/>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17"/>
      <c r="Q19" s="1150" t="str">
        <f>B19</f>
        <v>公共配套设施</v>
      </c>
      <c r="R19" s="647" t="s">
        <v>14</v>
      </c>
      <c r="S19" s="648">
        <f>F19</f>
        <v>100</v>
      </c>
      <c r="T19" s="647" t="s">
        <v>14</v>
      </c>
      <c r="U19" s="648">
        <f>H19</f>
        <v>100</v>
      </c>
      <c r="V19" s="647" t="s">
        <v>14</v>
      </c>
      <c r="W19" s="648">
        <f>J19</f>
        <v>100</v>
      </c>
      <c r="X19" s="1152"/>
      <c r="Y19" s="3217"/>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17"/>
      <c r="Q20" s="1150"/>
      <c r="R20" s="647"/>
      <c r="S20" s="648"/>
      <c r="T20" s="647"/>
      <c r="U20" s="648"/>
      <c r="V20" s="647"/>
      <c r="W20" s="648"/>
      <c r="X20" s="1152"/>
      <c r="Y20" s="3217"/>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17"/>
      <c r="Q21" s="1150" t="str">
        <f>B21</f>
        <v>基础设施水平</v>
      </c>
      <c r="R21" s="647" t="s">
        <v>14</v>
      </c>
      <c r="S21" s="648">
        <f>F21</f>
        <v>100</v>
      </c>
      <c r="T21" s="647" t="s">
        <v>14</v>
      </c>
      <c r="U21" s="648">
        <f>H21</f>
        <v>100</v>
      </c>
      <c r="V21" s="647" t="s">
        <v>14</v>
      </c>
      <c r="W21" s="648">
        <f>J21</f>
        <v>100</v>
      </c>
      <c r="X21" s="1152"/>
      <c r="Y21" s="3217"/>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17"/>
      <c r="Q22" s="1150"/>
      <c r="R22" s="647"/>
      <c r="S22" s="648"/>
      <c r="T22" s="647"/>
      <c r="U22" s="648"/>
      <c r="V22" s="647"/>
      <c r="W22" s="648"/>
      <c r="X22" s="1152"/>
      <c r="Y22" s="3217"/>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17"/>
      <c r="Q23" s="1150" t="str">
        <f>B23</f>
        <v>环境质量</v>
      </c>
      <c r="R23" s="647" t="s">
        <v>14</v>
      </c>
      <c r="S23" s="648">
        <f>F23</f>
        <v>100</v>
      </c>
      <c r="T23" s="647" t="s">
        <v>14</v>
      </c>
      <c r="U23" s="648">
        <f>H23</f>
        <v>100</v>
      </c>
      <c r="V23" s="647" t="s">
        <v>14</v>
      </c>
      <c r="W23" s="648">
        <f>J23</f>
        <v>100</v>
      </c>
      <c r="X23" s="1152"/>
      <c r="Y23" s="3217"/>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17"/>
      <c r="Q24" s="1150"/>
      <c r="R24" s="647"/>
      <c r="S24" s="648"/>
      <c r="T24" s="647"/>
      <c r="U24" s="648"/>
      <c r="V24" s="647"/>
      <c r="W24" s="648"/>
      <c r="X24" s="1152"/>
      <c r="Y24" s="3217"/>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17"/>
      <c r="Q25" s="1150">
        <f>B25</f>
        <v>111</v>
      </c>
      <c r="R25" s="647" t="s">
        <v>14</v>
      </c>
      <c r="S25" s="648">
        <f>F25</f>
        <v>100</v>
      </c>
      <c r="T25" s="647" t="s">
        <v>14</v>
      </c>
      <c r="U25" s="648">
        <f>H25</f>
        <v>100</v>
      </c>
      <c r="V25" s="647" t="s">
        <v>14</v>
      </c>
      <c r="W25" s="648">
        <f>J25</f>
        <v>100</v>
      </c>
      <c r="X25" s="1152"/>
      <c r="Y25" s="3217"/>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17"/>
      <c r="Q26" s="1150">
        <f t="shared" ref="Q26:Q40" si="11">B26</f>
        <v>111</v>
      </c>
      <c r="R26" s="647" t="s">
        <v>14</v>
      </c>
      <c r="S26" s="648">
        <f>F26</f>
        <v>100</v>
      </c>
      <c r="T26" s="647" t="s">
        <v>14</v>
      </c>
      <c r="U26" s="648">
        <f>H26</f>
        <v>100</v>
      </c>
      <c r="V26" s="647" t="s">
        <v>14</v>
      </c>
      <c r="W26" s="648">
        <f>J26</f>
        <v>100</v>
      </c>
      <c r="X26" s="1152"/>
      <c r="Y26" s="3217"/>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17"/>
      <c r="Q27" s="525">
        <f t="shared" si="11"/>
        <v>111</v>
      </c>
      <c r="R27" s="644" t="s">
        <v>14</v>
      </c>
      <c r="S27" s="645">
        <f>F27</f>
        <v>100</v>
      </c>
      <c r="T27" s="644" t="s">
        <v>14</v>
      </c>
      <c r="U27" s="645">
        <f>H27</f>
        <v>100</v>
      </c>
      <c r="V27" s="644" t="s">
        <v>14</v>
      </c>
      <c r="W27" s="645">
        <f>J27</f>
        <v>100</v>
      </c>
      <c r="X27" s="646"/>
      <c r="Y27" s="3217"/>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17"/>
      <c r="Q28" s="1150">
        <f t="shared" si="11"/>
        <v>111</v>
      </c>
      <c r="R28" s="647" t="s">
        <v>14</v>
      </c>
      <c r="S28" s="648">
        <f t="shared" ref="S28:S40" si="12">F28</f>
        <v>100</v>
      </c>
      <c r="T28" s="647" t="s">
        <v>14</v>
      </c>
      <c r="U28" s="648">
        <f t="shared" ref="U28:U40" si="13">H28</f>
        <v>100</v>
      </c>
      <c r="V28" s="647" t="s">
        <v>14</v>
      </c>
      <c r="W28" s="648">
        <f t="shared" ref="W28:W40" si="14">J28</f>
        <v>100</v>
      </c>
      <c r="X28" s="1152"/>
      <c r="Y28" s="3217"/>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18" t="s">
        <v>1674</v>
      </c>
      <c r="Q29" s="1150" t="str">
        <f t="shared" si="11"/>
        <v>建筑类型</v>
      </c>
      <c r="R29" s="647" t="s">
        <v>14</v>
      </c>
      <c r="S29" s="648">
        <f t="shared" si="12"/>
        <v>100</v>
      </c>
      <c r="T29" s="647" t="s">
        <v>14</v>
      </c>
      <c r="U29" s="648">
        <f t="shared" si="13"/>
        <v>100</v>
      </c>
      <c r="V29" s="647" t="s">
        <v>14</v>
      </c>
      <c r="W29" s="648">
        <f t="shared" si="14"/>
        <v>100</v>
      </c>
      <c r="X29" s="1152"/>
      <c r="Y29" s="3219"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19"/>
      <c r="Q30" s="526" t="str">
        <f t="shared" si="11"/>
        <v>项目建筑规模</v>
      </c>
      <c r="R30" s="649" t="s">
        <v>14</v>
      </c>
      <c r="S30" s="650" t="e">
        <f t="shared" si="12"/>
        <v>#N/A</v>
      </c>
      <c r="T30" s="649" t="s">
        <v>14</v>
      </c>
      <c r="U30" s="650" t="e">
        <f t="shared" si="13"/>
        <v>#N/A</v>
      </c>
      <c r="V30" s="649" t="s">
        <v>14</v>
      </c>
      <c r="W30" s="650" t="e">
        <f t="shared" si="14"/>
        <v>#N/A</v>
      </c>
      <c r="X30" s="651"/>
      <c r="Y30" s="3219"/>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19"/>
      <c r="Q31" s="1150" t="str">
        <f t="shared" si="11"/>
        <v>建筑结构</v>
      </c>
      <c r="R31" s="647" t="s">
        <v>14</v>
      </c>
      <c r="S31" s="648">
        <f t="shared" si="12"/>
        <v>100</v>
      </c>
      <c r="T31" s="647" t="s">
        <v>14</v>
      </c>
      <c r="U31" s="648">
        <f t="shared" si="13"/>
        <v>100</v>
      </c>
      <c r="V31" s="647" t="s">
        <v>14</v>
      </c>
      <c r="W31" s="648">
        <f t="shared" si="14"/>
        <v>100</v>
      </c>
      <c r="X31" s="1152"/>
      <c r="Y31" s="3219"/>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19"/>
      <c r="Q32" s="1150" t="str">
        <f t="shared" si="11"/>
        <v>公共部分装修</v>
      </c>
      <c r="R32" s="647" t="s">
        <v>14</v>
      </c>
      <c r="S32" s="648">
        <f t="shared" si="12"/>
        <v>100</v>
      </c>
      <c r="T32" s="647" t="s">
        <v>14</v>
      </c>
      <c r="U32" s="648">
        <f t="shared" si="13"/>
        <v>100</v>
      </c>
      <c r="V32" s="647" t="s">
        <v>14</v>
      </c>
      <c r="W32" s="648">
        <f t="shared" si="14"/>
        <v>100</v>
      </c>
      <c r="X32" s="1152"/>
      <c r="Y32" s="3219"/>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19"/>
      <c r="Q33" s="1150" t="str">
        <f t="shared" si="11"/>
        <v>成新度</v>
      </c>
      <c r="R33" s="647" t="s">
        <v>14</v>
      </c>
      <c r="S33" s="648" t="e">
        <f t="shared" si="12"/>
        <v>#N/A</v>
      </c>
      <c r="T33" s="647" t="s">
        <v>14</v>
      </c>
      <c r="U33" s="648" t="e">
        <f t="shared" si="13"/>
        <v>#N/A</v>
      </c>
      <c r="V33" s="647" t="s">
        <v>14</v>
      </c>
      <c r="W33" s="648" t="e">
        <f t="shared" si="14"/>
        <v>#N/A</v>
      </c>
      <c r="X33" s="1152"/>
      <c r="Y33" s="3219"/>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19"/>
      <c r="Q34" s="525" t="str">
        <f t="shared" si="11"/>
        <v>物业管理</v>
      </c>
      <c r="R34" s="644" t="s">
        <v>14</v>
      </c>
      <c r="S34" s="645">
        <f t="shared" si="12"/>
        <v>100</v>
      </c>
      <c r="T34" s="644" t="s">
        <v>14</v>
      </c>
      <c r="U34" s="645">
        <f t="shared" si="13"/>
        <v>100</v>
      </c>
      <c r="V34" s="644" t="s">
        <v>14</v>
      </c>
      <c r="W34" s="645">
        <f t="shared" si="14"/>
        <v>100</v>
      </c>
      <c r="X34" s="646"/>
      <c r="Y34" s="3219"/>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19" t="s">
        <v>1674</v>
      </c>
      <c r="Q35" s="1150" t="str">
        <f t="shared" si="11"/>
        <v>市政基础设施</v>
      </c>
      <c r="R35" s="647" t="s">
        <v>14</v>
      </c>
      <c r="S35" s="648">
        <f t="shared" si="12"/>
        <v>100</v>
      </c>
      <c r="T35" s="647" t="s">
        <v>14</v>
      </c>
      <c r="U35" s="648">
        <f t="shared" si="13"/>
        <v>100</v>
      </c>
      <c r="V35" s="647" t="s">
        <v>14</v>
      </c>
      <c r="W35" s="648">
        <f t="shared" si="14"/>
        <v>100</v>
      </c>
      <c r="X35" s="1152"/>
      <c r="Y35" s="3219"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19"/>
      <c r="Q36" s="1150" t="str">
        <f t="shared" si="11"/>
        <v>内部装修</v>
      </c>
      <c r="R36" s="647" t="s">
        <v>14</v>
      </c>
      <c r="S36" s="648">
        <f t="shared" si="12"/>
        <v>100</v>
      </c>
      <c r="T36" s="647" t="s">
        <v>14</v>
      </c>
      <c r="U36" s="648">
        <f t="shared" si="13"/>
        <v>100</v>
      </c>
      <c r="V36" s="647" t="s">
        <v>14</v>
      </c>
      <c r="W36" s="648">
        <f t="shared" si="14"/>
        <v>100</v>
      </c>
      <c r="X36" s="1152"/>
      <c r="Y36" s="3219"/>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19"/>
      <c r="Q37" s="1150" t="str">
        <f t="shared" si="11"/>
        <v>内部装修状况</v>
      </c>
      <c r="R37" s="647" t="s">
        <v>14</v>
      </c>
      <c r="S37" s="648">
        <f t="shared" si="12"/>
        <v>100</v>
      </c>
      <c r="T37" s="647" t="s">
        <v>14</v>
      </c>
      <c r="U37" s="648">
        <f t="shared" si="13"/>
        <v>100</v>
      </c>
      <c r="V37" s="647" t="s">
        <v>14</v>
      </c>
      <c r="W37" s="648">
        <f t="shared" si="14"/>
        <v>100</v>
      </c>
      <c r="X37" s="1152"/>
      <c r="Y37" s="3219"/>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19"/>
      <c r="Q38" s="526">
        <f t="shared" si="11"/>
        <v>111</v>
      </c>
      <c r="R38" s="649" t="s">
        <v>14</v>
      </c>
      <c r="S38" s="650">
        <f t="shared" si="12"/>
        <v>100</v>
      </c>
      <c r="T38" s="649" t="s">
        <v>14</v>
      </c>
      <c r="U38" s="650">
        <f t="shared" si="13"/>
        <v>100</v>
      </c>
      <c r="V38" s="649" t="s">
        <v>14</v>
      </c>
      <c r="W38" s="650">
        <f t="shared" si="14"/>
        <v>100</v>
      </c>
      <c r="X38" s="651"/>
      <c r="Y38" s="3219"/>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19"/>
      <c r="Q39" s="1150">
        <f t="shared" si="11"/>
        <v>111</v>
      </c>
      <c r="R39" s="647" t="s">
        <v>14</v>
      </c>
      <c r="S39" s="648">
        <f t="shared" si="12"/>
        <v>100</v>
      </c>
      <c r="T39" s="647" t="s">
        <v>14</v>
      </c>
      <c r="U39" s="648">
        <f t="shared" si="13"/>
        <v>100</v>
      </c>
      <c r="V39" s="647" t="s">
        <v>14</v>
      </c>
      <c r="W39" s="648">
        <f t="shared" si="14"/>
        <v>100</v>
      </c>
      <c r="X39" s="1152"/>
      <c r="Y39" s="3219"/>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20"/>
      <c r="Q40" s="1150">
        <f t="shared" si="11"/>
        <v>111</v>
      </c>
      <c r="R40" s="647" t="s">
        <v>14</v>
      </c>
      <c r="S40" s="648">
        <f t="shared" si="12"/>
        <v>100</v>
      </c>
      <c r="T40" s="647" t="s">
        <v>14</v>
      </c>
      <c r="U40" s="648">
        <f t="shared" si="13"/>
        <v>100</v>
      </c>
      <c r="V40" s="647" t="s">
        <v>14</v>
      </c>
      <c r="W40" s="648">
        <f t="shared" si="14"/>
        <v>100</v>
      </c>
      <c r="X40" s="1152"/>
      <c r="Y40" s="3220"/>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11" t="str">
        <f>A41</f>
        <v>成交单价（元/平方米）</v>
      </c>
      <c r="Q41" s="3211"/>
      <c r="R41" s="3212">
        <f>E41</f>
        <v>0</v>
      </c>
      <c r="S41" s="3212"/>
      <c r="T41" s="3212">
        <f>G41</f>
        <v>0</v>
      </c>
      <c r="U41" s="3212"/>
      <c r="V41" s="3212">
        <f>I41</f>
        <v>0</v>
      </c>
      <c r="W41" s="3212"/>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13" t="str">
        <f>A43</f>
        <v>估价对象XX用房的比较价值（楼面单价，元/平方米）</v>
      </c>
      <c r="Q43" s="3214"/>
      <c r="R43" s="3215" t="e">
        <f>IF(F1="售价",ROUND(IF(D42="简单平均",AVERAGE(R42:V42),R42*F42+T42*H42+V42*J42),0),ROUND(IF(D42="简单平均",AVERAGE(R42:V42),R42*F42+T42*H42+V42*J42),1))</f>
        <v>#DIV/0!</v>
      </c>
      <c r="S43" s="3215"/>
      <c r="T43" s="3215"/>
      <c r="U43" s="3215"/>
      <c r="V43" s="3215"/>
      <c r="W43" s="3215"/>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2026-3</v>
      </c>
      <c r="D52" s="1015">
        <f>EDATE(C52,-1)</f>
        <v>46054</v>
      </c>
      <c r="E52" s="1015">
        <f t="shared" ref="E52:O52" si="16">EDATE(D52,-1)</f>
        <v>46023</v>
      </c>
      <c r="F52" s="1015">
        <f t="shared" si="16"/>
        <v>45992</v>
      </c>
      <c r="G52" s="1015">
        <f t="shared" si="16"/>
        <v>45962</v>
      </c>
      <c r="H52" s="1015">
        <f t="shared" si="16"/>
        <v>45931</v>
      </c>
      <c r="I52" s="1015">
        <f t="shared" si="16"/>
        <v>45901</v>
      </c>
      <c r="J52" s="1015">
        <f t="shared" si="16"/>
        <v>45870</v>
      </c>
      <c r="K52" s="1015">
        <f t="shared" si="16"/>
        <v>45839</v>
      </c>
      <c r="L52" s="1015">
        <f t="shared" si="16"/>
        <v>45809</v>
      </c>
      <c r="M52" s="1015">
        <f t="shared" si="16"/>
        <v>45778</v>
      </c>
      <c r="N52" s="1015">
        <f t="shared" si="16"/>
        <v>45748</v>
      </c>
      <c r="O52" s="1015">
        <f t="shared" si="16"/>
        <v>45717</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05" priority="16" stopIfTrue="1">
      <formula>$F$46="超过30%"</formula>
    </cfRule>
  </conditionalFormatting>
  <conditionalFormatting sqref="E47">
    <cfRule type="expression" dxfId="104" priority="15" stopIfTrue="1">
      <formula>$F$47="超过20%"</formula>
    </cfRule>
  </conditionalFormatting>
  <conditionalFormatting sqref="E48">
    <cfRule type="expression" dxfId="103" priority="14" stopIfTrue="1">
      <formula>$F$48="超过30%"</formula>
    </cfRule>
  </conditionalFormatting>
  <conditionalFormatting sqref="F7:F40 H7:H40 J7:J40">
    <cfRule type="cellIs" dxfId="102" priority="1" operator="notEqual">
      <formula>100</formula>
    </cfRule>
  </conditionalFormatting>
  <conditionalFormatting sqref="F42">
    <cfRule type="expression" dxfId="101" priority="4">
      <formula>$D$42="简单平均"</formula>
    </cfRule>
  </conditionalFormatting>
  <conditionalFormatting sqref="F46:F48 H46:H48">
    <cfRule type="containsText" dxfId="100" priority="17" stopIfTrue="1" operator="containsText" text="超过">
      <formula>NOT(ISERROR(SEARCH("超过",F46)))</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G48">
    <cfRule type="expression" dxfId="97" priority="13" stopIfTrue="1">
      <formula>$H$48="超过30%"</formula>
    </cfRule>
  </conditionalFormatting>
  <conditionalFormatting sqref="H42">
    <cfRule type="expression" dxfId="96" priority="3">
      <formula>$D$42="简单平均"</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J42">
    <cfRule type="expression" dxfId="92" priority="2">
      <formula>$D$42="简单平均"</formula>
    </cfRule>
  </conditionalFormatting>
  <conditionalFormatting sqref="J46:J48">
    <cfRule type="containsText" dxfId="9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3232</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46091</v>
      </c>
      <c r="D7" s="352">
        <v>100</v>
      </c>
      <c r="E7" s="353"/>
      <c r="F7" s="354">
        <f>SUMIF(48:48,YEAR(E7)&amp;"-"&amp;MONTH(E7),49:49)</f>
        <v>0</v>
      </c>
      <c r="G7" s="353"/>
      <c r="H7" s="352">
        <f>SUMIF(48:48,YEAR(G7)&amp;"-"&amp;MONTH(G7),49:49)</f>
        <v>0</v>
      </c>
      <c r="I7" s="353"/>
      <c r="J7" s="352">
        <f>SUMIF(48:48,YEAR(I7)&amp;"-"&amp;MONTH(I7),49:49)</f>
        <v>0</v>
      </c>
      <c r="K7" s="38"/>
      <c r="L7" s="2311"/>
      <c r="M7" s="2264"/>
      <c r="N7" s="2264"/>
      <c r="O7" s="2264"/>
      <c r="P7" s="3244" t="s">
        <v>1661</v>
      </c>
      <c r="Q7" s="3246"/>
      <c r="R7" s="644" t="s">
        <v>14</v>
      </c>
      <c r="S7" s="645">
        <f t="shared" ref="S7:S14" si="0">F7</f>
        <v>0</v>
      </c>
      <c r="T7" s="644" t="s">
        <v>14</v>
      </c>
      <c r="U7" s="645">
        <f t="shared" ref="U7:U14" si="1">H7</f>
        <v>0</v>
      </c>
      <c r="V7" s="644" t="s">
        <v>14</v>
      </c>
      <c r="W7" s="645">
        <f t="shared" ref="W7:W14" si="2">J7</f>
        <v>0</v>
      </c>
      <c r="X7" s="646"/>
      <c r="Y7" s="3244" t="s">
        <v>1661</v>
      </c>
      <c r="Z7" s="3245"/>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44" t="s">
        <v>1664</v>
      </c>
      <c r="Q8" s="3245"/>
      <c r="R8" s="644" t="s">
        <v>14</v>
      </c>
      <c r="S8" s="645">
        <f t="shared" si="0"/>
        <v>100</v>
      </c>
      <c r="T8" s="644" t="s">
        <v>14</v>
      </c>
      <c r="U8" s="645">
        <f t="shared" si="1"/>
        <v>100</v>
      </c>
      <c r="V8" s="644" t="s">
        <v>14</v>
      </c>
      <c r="W8" s="645">
        <f t="shared" si="2"/>
        <v>100</v>
      </c>
      <c r="X8" s="646"/>
      <c r="Y8" s="3244" t="s">
        <v>1664</v>
      </c>
      <c r="Z8" s="3245"/>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11" t="s">
        <v>1667</v>
      </c>
      <c r="Q9" s="525" t="str">
        <f t="shared" ref="Q9:Q14" si="6">B9</f>
        <v>用途</v>
      </c>
      <c r="R9" s="644" t="s">
        <v>14</v>
      </c>
      <c r="S9" s="645">
        <f t="shared" si="0"/>
        <v>100</v>
      </c>
      <c r="T9" s="644" t="s">
        <v>14</v>
      </c>
      <c r="U9" s="645">
        <f t="shared" si="1"/>
        <v>100</v>
      </c>
      <c r="V9" s="644" t="s">
        <v>14</v>
      </c>
      <c r="W9" s="645">
        <f t="shared" si="2"/>
        <v>100</v>
      </c>
      <c r="X9" s="646"/>
      <c r="Y9" s="3089"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11"/>
      <c r="Q11" s="525">
        <f t="shared" si="6"/>
        <v>111</v>
      </c>
      <c r="R11" s="644" t="s">
        <v>14</v>
      </c>
      <c r="S11" s="645">
        <f t="shared" si="0"/>
        <v>100</v>
      </c>
      <c r="T11" s="644" t="s">
        <v>14</v>
      </c>
      <c r="U11" s="645">
        <f t="shared" si="1"/>
        <v>100</v>
      </c>
      <c r="V11" s="644" t="s">
        <v>14</v>
      </c>
      <c r="W11" s="645">
        <f t="shared" si="2"/>
        <v>100</v>
      </c>
      <c r="X11" s="646"/>
      <c r="Y11" s="3089"/>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16" t="s">
        <v>1672</v>
      </c>
      <c r="Q14" s="1150" t="str">
        <f t="shared" si="6"/>
        <v>交通便捷度</v>
      </c>
      <c r="R14" s="647" t="s">
        <v>14</v>
      </c>
      <c r="S14" s="648">
        <f t="shared" si="0"/>
        <v>100</v>
      </c>
      <c r="T14" s="647" t="s">
        <v>14</v>
      </c>
      <c r="U14" s="648">
        <f t="shared" si="1"/>
        <v>100</v>
      </c>
      <c r="V14" s="647" t="s">
        <v>14</v>
      </c>
      <c r="W14" s="648">
        <f t="shared" si="2"/>
        <v>100</v>
      </c>
      <c r="X14" s="1152"/>
      <c r="Y14" s="3216"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17"/>
      <c r="Q15" s="1150"/>
      <c r="R15" s="647"/>
      <c r="S15" s="648"/>
      <c r="T15" s="647"/>
      <c r="U15" s="648"/>
      <c r="V15" s="647"/>
      <c r="W15" s="648"/>
      <c r="X15" s="1152"/>
      <c r="Y15" s="3217"/>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17"/>
      <c r="Q16" s="1150" t="str">
        <f>B16</f>
        <v>公共配套设施</v>
      </c>
      <c r="R16" s="647" t="s">
        <v>14</v>
      </c>
      <c r="S16" s="648">
        <f>F16</f>
        <v>100</v>
      </c>
      <c r="T16" s="647" t="s">
        <v>14</v>
      </c>
      <c r="U16" s="648">
        <f>H16</f>
        <v>100</v>
      </c>
      <c r="V16" s="647" t="s">
        <v>14</v>
      </c>
      <c r="W16" s="648">
        <f>J16</f>
        <v>100</v>
      </c>
      <c r="X16" s="1152"/>
      <c r="Y16" s="3217"/>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17"/>
      <c r="Q17" s="1150"/>
      <c r="R17" s="647"/>
      <c r="S17" s="648"/>
      <c r="T17" s="647"/>
      <c r="U17" s="648"/>
      <c r="V17" s="647"/>
      <c r="W17" s="648"/>
      <c r="X17" s="1152"/>
      <c r="Y17" s="3217"/>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17"/>
      <c r="Q18" s="1150" t="str">
        <f>B18</f>
        <v>基础设施水平</v>
      </c>
      <c r="R18" s="647" t="s">
        <v>14</v>
      </c>
      <c r="S18" s="648">
        <f>F18</f>
        <v>100</v>
      </c>
      <c r="T18" s="647" t="s">
        <v>14</v>
      </c>
      <c r="U18" s="648">
        <f>H18</f>
        <v>100</v>
      </c>
      <c r="V18" s="647" t="s">
        <v>14</v>
      </c>
      <c r="W18" s="648">
        <f>J18</f>
        <v>100</v>
      </c>
      <c r="X18" s="1152"/>
      <c r="Y18" s="3217"/>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17"/>
      <c r="Q19" s="1150"/>
      <c r="R19" s="647"/>
      <c r="S19" s="648"/>
      <c r="T19" s="647"/>
      <c r="U19" s="648"/>
      <c r="V19" s="647"/>
      <c r="W19" s="648"/>
      <c r="X19" s="1152"/>
      <c r="Y19" s="3217"/>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17"/>
      <c r="Q20" s="1150" t="str">
        <f>B20</f>
        <v>自然及人文环境</v>
      </c>
      <c r="R20" s="647" t="s">
        <v>14</v>
      </c>
      <c r="S20" s="648">
        <f>F20</f>
        <v>100</v>
      </c>
      <c r="T20" s="647" t="s">
        <v>14</v>
      </c>
      <c r="U20" s="648">
        <f>H20</f>
        <v>100</v>
      </c>
      <c r="V20" s="647" t="s">
        <v>14</v>
      </c>
      <c r="W20" s="648">
        <f>J20</f>
        <v>100</v>
      </c>
      <c r="X20" s="1152"/>
      <c r="Y20" s="3217"/>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17"/>
      <c r="Q21" s="1150"/>
      <c r="R21" s="647"/>
      <c r="S21" s="648"/>
      <c r="T21" s="647"/>
      <c r="U21" s="648"/>
      <c r="V21" s="647"/>
      <c r="W21" s="648"/>
      <c r="X21" s="1152"/>
      <c r="Y21" s="3217"/>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17"/>
      <c r="Q22" s="1150" t="str">
        <f>B22</f>
        <v>楼层</v>
      </c>
      <c r="R22" s="647" t="s">
        <v>14</v>
      </c>
      <c r="S22" s="648">
        <f>F22</f>
        <v>100</v>
      </c>
      <c r="T22" s="647" t="s">
        <v>14</v>
      </c>
      <c r="U22" s="648">
        <f>H22</f>
        <v>100</v>
      </c>
      <c r="V22" s="647" t="s">
        <v>14</v>
      </c>
      <c r="W22" s="648">
        <f>J22</f>
        <v>100</v>
      </c>
      <c r="X22" s="1152"/>
      <c r="Y22" s="3217"/>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17"/>
      <c r="Q23" s="1150">
        <f>B23</f>
        <v>111</v>
      </c>
      <c r="R23" s="647" t="s">
        <v>14</v>
      </c>
      <c r="S23" s="648">
        <f>F23</f>
        <v>100</v>
      </c>
      <c r="T23" s="647" t="s">
        <v>14</v>
      </c>
      <c r="U23" s="648">
        <f>H23</f>
        <v>100</v>
      </c>
      <c r="V23" s="647" t="s">
        <v>14</v>
      </c>
      <c r="W23" s="648">
        <f>J23</f>
        <v>100</v>
      </c>
      <c r="X23" s="1152"/>
      <c r="Y23" s="3217"/>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17"/>
      <c r="Q24" s="1150">
        <f t="shared" ref="Q24:Q36" si="11">B24</f>
        <v>111</v>
      </c>
      <c r="R24" s="647" t="s">
        <v>14</v>
      </c>
      <c r="S24" s="648">
        <f>F24</f>
        <v>100</v>
      </c>
      <c r="T24" s="647" t="s">
        <v>14</v>
      </c>
      <c r="U24" s="648">
        <f>H24</f>
        <v>100</v>
      </c>
      <c r="V24" s="647" t="s">
        <v>14</v>
      </c>
      <c r="W24" s="648">
        <f>J24</f>
        <v>100</v>
      </c>
      <c r="X24" s="1152"/>
      <c r="Y24" s="3217"/>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17"/>
      <c r="Q25" s="525">
        <f t="shared" si="11"/>
        <v>111</v>
      </c>
      <c r="R25" s="644" t="s">
        <v>14</v>
      </c>
      <c r="S25" s="645">
        <f>F25</f>
        <v>100</v>
      </c>
      <c r="T25" s="644" t="s">
        <v>14</v>
      </c>
      <c r="U25" s="645">
        <f>H25</f>
        <v>100</v>
      </c>
      <c r="V25" s="644" t="s">
        <v>14</v>
      </c>
      <c r="W25" s="645">
        <f>J25</f>
        <v>100</v>
      </c>
      <c r="X25" s="646"/>
      <c r="Y25" s="3217"/>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18"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19"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19"/>
      <c r="Q27" s="526" t="str">
        <f t="shared" si="11"/>
        <v>项目停车位配比</v>
      </c>
      <c r="R27" s="649" t="s">
        <v>14</v>
      </c>
      <c r="S27" s="650">
        <f t="shared" si="12"/>
        <v>100</v>
      </c>
      <c r="T27" s="649" t="s">
        <v>14</v>
      </c>
      <c r="U27" s="650">
        <f t="shared" si="13"/>
        <v>100</v>
      </c>
      <c r="V27" s="649" t="s">
        <v>14</v>
      </c>
      <c r="W27" s="650">
        <f t="shared" si="14"/>
        <v>100</v>
      </c>
      <c r="X27" s="651"/>
      <c r="Y27" s="3219"/>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19"/>
      <c r="Q28" s="1150" t="str">
        <f t="shared" si="11"/>
        <v>公共部分装修</v>
      </c>
      <c r="R28" s="647" t="s">
        <v>14</v>
      </c>
      <c r="S28" s="648">
        <f t="shared" si="12"/>
        <v>100</v>
      </c>
      <c r="T28" s="647" t="s">
        <v>14</v>
      </c>
      <c r="U28" s="648">
        <f t="shared" si="13"/>
        <v>100</v>
      </c>
      <c r="V28" s="647" t="s">
        <v>14</v>
      </c>
      <c r="W28" s="648">
        <f t="shared" si="14"/>
        <v>100</v>
      </c>
      <c r="X28" s="1152"/>
      <c r="Y28" s="3219"/>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19"/>
      <c r="Q29" s="1150" t="str">
        <f t="shared" si="11"/>
        <v>成新率</v>
      </c>
      <c r="R29" s="647" t="s">
        <v>14</v>
      </c>
      <c r="S29" s="648" t="e">
        <f t="shared" si="12"/>
        <v>#N/A</v>
      </c>
      <c r="T29" s="647" t="s">
        <v>14</v>
      </c>
      <c r="U29" s="648" t="e">
        <f t="shared" si="13"/>
        <v>#N/A</v>
      </c>
      <c r="V29" s="647" t="s">
        <v>14</v>
      </c>
      <c r="W29" s="648" t="e">
        <f t="shared" si="14"/>
        <v>#N/A</v>
      </c>
      <c r="X29" s="1152"/>
      <c r="Y29" s="3219"/>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19"/>
      <c r="Q30" s="1150" t="str">
        <f t="shared" si="11"/>
        <v>物业等级</v>
      </c>
      <c r="R30" s="647" t="s">
        <v>14</v>
      </c>
      <c r="S30" s="648">
        <f t="shared" si="12"/>
        <v>100</v>
      </c>
      <c r="T30" s="647" t="s">
        <v>14</v>
      </c>
      <c r="U30" s="648">
        <f t="shared" si="13"/>
        <v>100</v>
      </c>
      <c r="V30" s="647" t="s">
        <v>14</v>
      </c>
      <c r="W30" s="648">
        <f t="shared" si="14"/>
        <v>100</v>
      </c>
      <c r="X30" s="1152"/>
      <c r="Y30" s="3219"/>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19"/>
      <c r="Q31" s="525" t="str">
        <f t="shared" si="11"/>
        <v>停车位面积</v>
      </c>
      <c r="R31" s="644" t="s">
        <v>14</v>
      </c>
      <c r="S31" s="645" t="e">
        <f t="shared" si="12"/>
        <v>#N/A</v>
      </c>
      <c r="T31" s="644" t="s">
        <v>14</v>
      </c>
      <c r="U31" s="645" t="e">
        <f t="shared" si="13"/>
        <v>#N/A</v>
      </c>
      <c r="V31" s="644" t="s">
        <v>14</v>
      </c>
      <c r="W31" s="645" t="e">
        <f t="shared" si="14"/>
        <v>#N/A</v>
      </c>
      <c r="X31" s="646"/>
      <c r="Y31" s="3219"/>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19" t="s">
        <v>1674</v>
      </c>
      <c r="Q32" s="1150" t="str">
        <f t="shared" si="11"/>
        <v>车位类型</v>
      </c>
      <c r="R32" s="647" t="s">
        <v>14</v>
      </c>
      <c r="S32" s="648">
        <f t="shared" si="12"/>
        <v>100</v>
      </c>
      <c r="T32" s="647" t="s">
        <v>14</v>
      </c>
      <c r="U32" s="648">
        <f t="shared" si="13"/>
        <v>100</v>
      </c>
      <c r="V32" s="647" t="s">
        <v>14</v>
      </c>
      <c r="W32" s="648">
        <f t="shared" si="14"/>
        <v>100</v>
      </c>
      <c r="X32" s="1152"/>
      <c r="Y32" s="3219"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19"/>
      <c r="Q33" s="1150" t="str">
        <f t="shared" si="11"/>
        <v>是否直接入户</v>
      </c>
      <c r="R33" s="647" t="s">
        <v>14</v>
      </c>
      <c r="S33" s="648">
        <f t="shared" si="12"/>
        <v>100</v>
      </c>
      <c r="T33" s="647" t="s">
        <v>14</v>
      </c>
      <c r="U33" s="648">
        <f t="shared" si="13"/>
        <v>100</v>
      </c>
      <c r="V33" s="647" t="s">
        <v>14</v>
      </c>
      <c r="W33" s="648">
        <f t="shared" si="14"/>
        <v>100</v>
      </c>
      <c r="X33" s="1152"/>
      <c r="Y33" s="3219"/>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19"/>
      <c r="Q34" s="1150">
        <f t="shared" si="11"/>
        <v>111</v>
      </c>
      <c r="R34" s="647" t="s">
        <v>14</v>
      </c>
      <c r="S34" s="648">
        <f t="shared" si="12"/>
        <v>100</v>
      </c>
      <c r="T34" s="647" t="s">
        <v>14</v>
      </c>
      <c r="U34" s="648">
        <f t="shared" si="13"/>
        <v>100</v>
      </c>
      <c r="V34" s="647" t="s">
        <v>14</v>
      </c>
      <c r="W34" s="648">
        <f t="shared" si="14"/>
        <v>100</v>
      </c>
      <c r="X34" s="1152"/>
      <c r="Y34" s="3219"/>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19"/>
      <c r="Q35" s="526">
        <f t="shared" si="11"/>
        <v>111</v>
      </c>
      <c r="R35" s="649" t="s">
        <v>14</v>
      </c>
      <c r="S35" s="650">
        <f t="shared" si="12"/>
        <v>100</v>
      </c>
      <c r="T35" s="649" t="s">
        <v>14</v>
      </c>
      <c r="U35" s="650">
        <f t="shared" si="13"/>
        <v>100</v>
      </c>
      <c r="V35" s="649" t="s">
        <v>14</v>
      </c>
      <c r="W35" s="650">
        <f t="shared" si="14"/>
        <v>100</v>
      </c>
      <c r="X35" s="651"/>
      <c r="Y35" s="3219"/>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19"/>
      <c r="Q36" s="1150">
        <f t="shared" si="11"/>
        <v>111</v>
      </c>
      <c r="R36" s="647" t="s">
        <v>14</v>
      </c>
      <c r="S36" s="648">
        <f t="shared" si="12"/>
        <v>100</v>
      </c>
      <c r="T36" s="647" t="s">
        <v>14</v>
      </c>
      <c r="U36" s="648">
        <f t="shared" si="13"/>
        <v>100</v>
      </c>
      <c r="V36" s="647" t="s">
        <v>14</v>
      </c>
      <c r="W36" s="648">
        <f t="shared" si="14"/>
        <v>100</v>
      </c>
      <c r="X36" s="1152"/>
      <c r="Y36" s="3219"/>
      <c r="Z36" s="1151">
        <f t="shared" si="15"/>
        <v>111</v>
      </c>
      <c r="AA36" s="1151">
        <f t="shared" si="3"/>
        <v>1</v>
      </c>
      <c r="AB36" s="1151">
        <f t="shared" si="4"/>
        <v>1</v>
      </c>
      <c r="AC36" s="1151">
        <f t="shared" si="5"/>
        <v>1</v>
      </c>
    </row>
    <row r="37" spans="1:29" ht="15">
      <c r="A37" s="411" t="s">
        <v>1769</v>
      </c>
      <c r="B37" s="1651" t="s">
        <v>3253</v>
      </c>
      <c r="C37" s="994" t="s">
        <v>0</v>
      </c>
      <c r="D37" s="413"/>
      <c r="E37" s="414"/>
      <c r="F37" s="415"/>
      <c r="G37" s="416"/>
      <c r="H37" s="417"/>
      <c r="I37" s="414"/>
      <c r="J37" s="417"/>
      <c r="K37" s="538"/>
      <c r="L37" s="2317"/>
      <c r="M37" s="2310"/>
      <c r="N37" s="2310"/>
      <c r="O37" s="2310"/>
      <c r="P37" s="3211" t="str">
        <f>A37</f>
        <v>成交单价</v>
      </c>
      <c r="Q37" s="3211"/>
      <c r="R37" s="3212">
        <f>E37</f>
        <v>0</v>
      </c>
      <c r="S37" s="3212"/>
      <c r="T37" s="3212">
        <f>G37</f>
        <v>0</v>
      </c>
      <c r="U37" s="3212"/>
      <c r="V37" s="3212">
        <f>I37</f>
        <v>0</v>
      </c>
      <c r="W37" s="3212"/>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13" t="str">
        <f>A39</f>
        <v>估价对象XX用房的比较价值（楼面单价，元/平方米）</v>
      </c>
      <c r="Q39" s="3214"/>
      <c r="R39" s="3251" t="e">
        <f>IF(F1="售价",ROUND(IF(D38="简单平均",AVERAGE(R38:W38),R38*F38+T38*H38+V38*J38),0),ROUND(IF(D38="简单平均",AVERAGE(R38:V38),R38*F38+T38*H38+V38*J38),1))</f>
        <v>#DIV/0!</v>
      </c>
      <c r="S39" s="3251"/>
      <c r="T39" s="3251"/>
      <c r="U39" s="3251"/>
      <c r="V39" s="3251"/>
      <c r="W39" s="3251"/>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2026-3</v>
      </c>
      <c r="D48" s="1015">
        <f>EDATE(C48,-1)</f>
        <v>46054</v>
      </c>
      <c r="E48" s="1015">
        <f t="shared" ref="E48:O48" si="16">EDATE(D48,-1)</f>
        <v>46023</v>
      </c>
      <c r="F48" s="1015">
        <f t="shared" si="16"/>
        <v>45992</v>
      </c>
      <c r="G48" s="1015">
        <f t="shared" si="16"/>
        <v>45962</v>
      </c>
      <c r="H48" s="1015">
        <f t="shared" si="16"/>
        <v>45931</v>
      </c>
      <c r="I48" s="1015">
        <f t="shared" si="16"/>
        <v>45901</v>
      </c>
      <c r="J48" s="1015">
        <f t="shared" si="16"/>
        <v>45870</v>
      </c>
      <c r="K48" s="1015">
        <f t="shared" si="16"/>
        <v>45839</v>
      </c>
      <c r="L48" s="1015">
        <f t="shared" si="16"/>
        <v>45809</v>
      </c>
      <c r="M48" s="1015">
        <f t="shared" si="16"/>
        <v>45778</v>
      </c>
      <c r="N48" s="1015">
        <f t="shared" si="16"/>
        <v>45748</v>
      </c>
      <c r="O48" s="1015">
        <f t="shared" si="16"/>
        <v>45717</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90" priority="13" stopIfTrue="1">
      <formula>$F$42="超过30%"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F7:F36 H7:H36 J7:J36">
    <cfRule type="cellIs" dxfId="87" priority="1" operator="notEqual">
      <formula>100</formula>
    </cfRule>
  </conditionalFormatting>
  <conditionalFormatting sqref="F38">
    <cfRule type="expression" dxfId="86" priority="4">
      <formula>$D$38="简单平均"</formula>
    </cfRule>
  </conditionalFormatting>
  <conditionalFormatting sqref="F42:F44 H42:H44 J42:J44">
    <cfRule type="containsText" dxfId="85" priority="14" stopIfTrue="1" operator="containsText" text="超过">
      <formula>NOT(ISERROR(SEARCH("超过",F42)))</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G44">
    <cfRule type="expression" dxfId="82" priority="12" stopIfTrue="1">
      <formula>$H$54+$H$44="超过30%"</formula>
    </cfRule>
  </conditionalFormatting>
  <conditionalFormatting sqref="H38">
    <cfRule type="expression" dxfId="81" priority="3">
      <formula>$D$38="简单平均"</formula>
    </cfRule>
  </conditionalFormatting>
  <conditionalFormatting sqref="I42">
    <cfRule type="expression" dxfId="80" priority="7" stopIfTrue="1">
      <formula>$J$52+$J$42="超过30%"</formula>
    </cfRule>
  </conditionalFormatting>
  <conditionalFormatting sqref="I43">
    <cfRule type="expression" dxfId="79" priority="6" stopIfTrue="1">
      <formula>$J$53+$J$43="超过20%"</formula>
    </cfRule>
  </conditionalFormatting>
  <conditionalFormatting sqref="I44">
    <cfRule type="expression" dxfId="78" priority="5" stopIfTrue="1">
      <formula>$J$44="超过30%"</formula>
    </cfRule>
  </conditionalFormatting>
  <conditionalFormatting sqref="J38">
    <cfRule type="expression" dxfId="7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44" t="s">
        <v>1661</v>
      </c>
      <c r="Q7" s="3246"/>
      <c r="R7" s="644" t="s">
        <v>14</v>
      </c>
      <c r="S7" s="645">
        <f t="shared" ref="S7:S14" si="0">F7</f>
        <v>0</v>
      </c>
      <c r="T7" s="644" t="s">
        <v>14</v>
      </c>
      <c r="U7" s="645">
        <f t="shared" ref="U7:U14" si="1">H7</f>
        <v>0</v>
      </c>
      <c r="V7" s="644" t="s">
        <v>14</v>
      </c>
      <c r="W7" s="645">
        <f t="shared" ref="W7:W14" si="2">J7</f>
        <v>0</v>
      </c>
      <c r="X7" s="646"/>
      <c r="Y7" s="3244" t="s">
        <v>1661</v>
      </c>
      <c r="Z7" s="3245"/>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44" t="s">
        <v>1664</v>
      </c>
      <c r="Q8" s="3245"/>
      <c r="R8" s="644" t="s">
        <v>14</v>
      </c>
      <c r="S8" s="645">
        <f t="shared" si="0"/>
        <v>100</v>
      </c>
      <c r="T8" s="644" t="s">
        <v>14</v>
      </c>
      <c r="U8" s="645">
        <f t="shared" si="1"/>
        <v>100</v>
      </c>
      <c r="V8" s="644" t="s">
        <v>14</v>
      </c>
      <c r="W8" s="645">
        <f t="shared" si="2"/>
        <v>100</v>
      </c>
      <c r="X8" s="646"/>
      <c r="Y8" s="3244" t="s">
        <v>1664</v>
      </c>
      <c r="Z8" s="3245"/>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11" t="s">
        <v>1667</v>
      </c>
      <c r="Q9" s="525" t="str">
        <f t="shared" ref="Q9:Q14" si="6">B9</f>
        <v>用途</v>
      </c>
      <c r="R9" s="644" t="s">
        <v>14</v>
      </c>
      <c r="S9" s="645">
        <f t="shared" si="0"/>
        <v>100</v>
      </c>
      <c r="T9" s="644" t="s">
        <v>14</v>
      </c>
      <c r="U9" s="645">
        <f t="shared" si="1"/>
        <v>100</v>
      </c>
      <c r="V9" s="644" t="s">
        <v>14</v>
      </c>
      <c r="W9" s="645">
        <f t="shared" si="2"/>
        <v>100</v>
      </c>
      <c r="X9" s="646"/>
      <c r="Y9" s="3089"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11"/>
      <c r="Q11" s="525">
        <f t="shared" si="6"/>
        <v>111</v>
      </c>
      <c r="R11" s="644" t="s">
        <v>14</v>
      </c>
      <c r="S11" s="645">
        <f t="shared" si="0"/>
        <v>100</v>
      </c>
      <c r="T11" s="644" t="s">
        <v>14</v>
      </c>
      <c r="U11" s="645">
        <f t="shared" si="1"/>
        <v>100</v>
      </c>
      <c r="V11" s="644" t="s">
        <v>14</v>
      </c>
      <c r="W11" s="645">
        <f t="shared" si="2"/>
        <v>100</v>
      </c>
      <c r="X11" s="646"/>
      <c r="Y11" s="3089"/>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16" t="s">
        <v>1672</v>
      </c>
      <c r="Q14" s="1150" t="str">
        <f t="shared" si="6"/>
        <v>交通便捷度</v>
      </c>
      <c r="R14" s="647" t="s">
        <v>14</v>
      </c>
      <c r="S14" s="648">
        <f t="shared" si="0"/>
        <v>100</v>
      </c>
      <c r="T14" s="647" t="s">
        <v>14</v>
      </c>
      <c r="U14" s="648">
        <f t="shared" si="1"/>
        <v>100</v>
      </c>
      <c r="V14" s="647" t="s">
        <v>14</v>
      </c>
      <c r="W14" s="648">
        <f t="shared" si="2"/>
        <v>100</v>
      </c>
      <c r="X14" s="1152"/>
      <c r="Y14" s="3216"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17"/>
      <c r="Q15" s="1150"/>
      <c r="R15" s="647"/>
      <c r="S15" s="648"/>
      <c r="T15" s="647"/>
      <c r="U15" s="648"/>
      <c r="V15" s="647"/>
      <c r="W15" s="648"/>
      <c r="X15" s="1152"/>
      <c r="Y15" s="3217"/>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17"/>
      <c r="Q16" s="1150" t="str">
        <f>B16</f>
        <v>公共配套设施</v>
      </c>
      <c r="R16" s="647" t="s">
        <v>14</v>
      </c>
      <c r="S16" s="648">
        <f>F16</f>
        <v>100</v>
      </c>
      <c r="T16" s="647" t="s">
        <v>14</v>
      </c>
      <c r="U16" s="648">
        <f>H16</f>
        <v>100</v>
      </c>
      <c r="V16" s="647" t="s">
        <v>14</v>
      </c>
      <c r="W16" s="648">
        <f>J16</f>
        <v>100</v>
      </c>
      <c r="X16" s="1152"/>
      <c r="Y16" s="3217"/>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17"/>
      <c r="Q17" s="1150"/>
      <c r="R17" s="647"/>
      <c r="S17" s="648"/>
      <c r="T17" s="647"/>
      <c r="U17" s="648"/>
      <c r="V17" s="647"/>
      <c r="W17" s="648"/>
      <c r="X17" s="1152"/>
      <c r="Y17" s="3217"/>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17"/>
      <c r="Q18" s="1150" t="str">
        <f>B18</f>
        <v>基础设施水平</v>
      </c>
      <c r="R18" s="647" t="s">
        <v>14</v>
      </c>
      <c r="S18" s="648">
        <f>F18</f>
        <v>100</v>
      </c>
      <c r="T18" s="647" t="s">
        <v>14</v>
      </c>
      <c r="U18" s="648">
        <f>H18</f>
        <v>100</v>
      </c>
      <c r="V18" s="647" t="s">
        <v>14</v>
      </c>
      <c r="W18" s="648">
        <f>J18</f>
        <v>100</v>
      </c>
      <c r="X18" s="1152"/>
      <c r="Y18" s="3217"/>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17"/>
      <c r="Q19" s="1150"/>
      <c r="R19" s="647"/>
      <c r="S19" s="648"/>
      <c r="T19" s="647"/>
      <c r="U19" s="648"/>
      <c r="V19" s="647"/>
      <c r="W19" s="648"/>
      <c r="X19" s="1152"/>
      <c r="Y19" s="3217"/>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17"/>
      <c r="Q20" s="1150" t="str">
        <f>B20</f>
        <v>自然及人文环境</v>
      </c>
      <c r="R20" s="647" t="s">
        <v>14</v>
      </c>
      <c r="S20" s="648">
        <f>F20</f>
        <v>100</v>
      </c>
      <c r="T20" s="647" t="s">
        <v>14</v>
      </c>
      <c r="U20" s="648">
        <f>H20</f>
        <v>100</v>
      </c>
      <c r="V20" s="647" t="s">
        <v>14</v>
      </c>
      <c r="W20" s="648">
        <f>J20</f>
        <v>100</v>
      </c>
      <c r="X20" s="1152"/>
      <c r="Y20" s="3217"/>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17"/>
      <c r="Q21" s="1150"/>
      <c r="R21" s="647"/>
      <c r="S21" s="648"/>
      <c r="T21" s="647"/>
      <c r="U21" s="648"/>
      <c r="V21" s="647"/>
      <c r="W21" s="648"/>
      <c r="X21" s="1152"/>
      <c r="Y21" s="3217"/>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17"/>
      <c r="Q22" s="1150" t="str">
        <f>B22</f>
        <v>楼层</v>
      </c>
      <c r="R22" s="647" t="s">
        <v>14</v>
      </c>
      <c r="S22" s="648">
        <f>F22</f>
        <v>100</v>
      </c>
      <c r="T22" s="647" t="s">
        <v>14</v>
      </c>
      <c r="U22" s="648">
        <f>H22</f>
        <v>100</v>
      </c>
      <c r="V22" s="647" t="s">
        <v>14</v>
      </c>
      <c r="W22" s="648">
        <f>J22</f>
        <v>100</v>
      </c>
      <c r="X22" s="1152"/>
      <c r="Y22" s="3217"/>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17"/>
      <c r="Q23" s="1150">
        <f>B23</f>
        <v>111</v>
      </c>
      <c r="R23" s="647" t="s">
        <v>14</v>
      </c>
      <c r="S23" s="648">
        <f>F23</f>
        <v>100</v>
      </c>
      <c r="T23" s="647" t="s">
        <v>14</v>
      </c>
      <c r="U23" s="648">
        <f>H23</f>
        <v>100</v>
      </c>
      <c r="V23" s="647" t="s">
        <v>14</v>
      </c>
      <c r="W23" s="648">
        <f>J23</f>
        <v>100</v>
      </c>
      <c r="X23" s="1152"/>
      <c r="Y23" s="3217"/>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17"/>
      <c r="Q24" s="1150">
        <f t="shared" ref="Q24:Q34" si="11">B24</f>
        <v>111</v>
      </c>
      <c r="R24" s="647" t="s">
        <v>14</v>
      </c>
      <c r="S24" s="648">
        <f>F24</f>
        <v>100</v>
      </c>
      <c r="T24" s="647" t="s">
        <v>14</v>
      </c>
      <c r="U24" s="648">
        <f>H24</f>
        <v>100</v>
      </c>
      <c r="V24" s="647" t="s">
        <v>14</v>
      </c>
      <c r="W24" s="648">
        <f>J24</f>
        <v>100</v>
      </c>
      <c r="X24" s="1152"/>
      <c r="Y24" s="3217"/>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17"/>
      <c r="Q25" s="525">
        <f t="shared" si="11"/>
        <v>111</v>
      </c>
      <c r="R25" s="644" t="s">
        <v>14</v>
      </c>
      <c r="S25" s="645">
        <f>F25</f>
        <v>100</v>
      </c>
      <c r="T25" s="644" t="s">
        <v>14</v>
      </c>
      <c r="U25" s="645">
        <f>H25</f>
        <v>100</v>
      </c>
      <c r="V25" s="644" t="s">
        <v>14</v>
      </c>
      <c r="W25" s="645">
        <f>J25</f>
        <v>100</v>
      </c>
      <c r="X25" s="646"/>
      <c r="Y25" s="3217"/>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18"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19"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19"/>
      <c r="Q27" s="526" t="str">
        <f t="shared" si="11"/>
        <v>成新率</v>
      </c>
      <c r="R27" s="649" t="s">
        <v>14</v>
      </c>
      <c r="S27" s="650" t="e">
        <f t="shared" si="12"/>
        <v>#N/A</v>
      </c>
      <c r="T27" s="649" t="s">
        <v>14</v>
      </c>
      <c r="U27" s="650" t="e">
        <f t="shared" si="13"/>
        <v>#N/A</v>
      </c>
      <c r="V27" s="649" t="s">
        <v>14</v>
      </c>
      <c r="W27" s="650" t="e">
        <f t="shared" si="14"/>
        <v>#N/A</v>
      </c>
      <c r="X27" s="651"/>
      <c r="Y27" s="3219"/>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19"/>
      <c r="Q28" s="1150" t="str">
        <f t="shared" si="11"/>
        <v>物业等级</v>
      </c>
      <c r="R28" s="647" t="s">
        <v>14</v>
      </c>
      <c r="S28" s="648">
        <f t="shared" si="12"/>
        <v>100</v>
      </c>
      <c r="T28" s="647" t="s">
        <v>14</v>
      </c>
      <c r="U28" s="648">
        <f t="shared" si="13"/>
        <v>100</v>
      </c>
      <c r="V28" s="647" t="s">
        <v>14</v>
      </c>
      <c r="W28" s="648">
        <f t="shared" si="14"/>
        <v>100</v>
      </c>
      <c r="X28" s="1152"/>
      <c r="Y28" s="3219"/>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19"/>
      <c r="Q29" s="1150" t="str">
        <f t="shared" si="11"/>
        <v>有无电梯</v>
      </c>
      <c r="R29" s="647" t="s">
        <v>14</v>
      </c>
      <c r="S29" s="648">
        <f t="shared" si="12"/>
        <v>100</v>
      </c>
      <c r="T29" s="647" t="s">
        <v>14</v>
      </c>
      <c r="U29" s="648">
        <f t="shared" si="13"/>
        <v>100</v>
      </c>
      <c r="V29" s="647" t="s">
        <v>14</v>
      </c>
      <c r="W29" s="648">
        <f t="shared" si="14"/>
        <v>100</v>
      </c>
      <c r="X29" s="1152"/>
      <c r="Y29" s="3219"/>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19"/>
      <c r="Q30" s="1150" t="str">
        <f t="shared" si="11"/>
        <v>建筑面积</v>
      </c>
      <c r="R30" s="647" t="s">
        <v>14</v>
      </c>
      <c r="S30" s="648" t="e">
        <f t="shared" si="12"/>
        <v>#N/A</v>
      </c>
      <c r="T30" s="647" t="s">
        <v>14</v>
      </c>
      <c r="U30" s="648" t="e">
        <f t="shared" si="13"/>
        <v>#N/A</v>
      </c>
      <c r="V30" s="647" t="s">
        <v>14</v>
      </c>
      <c r="W30" s="648" t="e">
        <f t="shared" si="14"/>
        <v>#N/A</v>
      </c>
      <c r="X30" s="1152"/>
      <c r="Y30" s="3219"/>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19"/>
      <c r="Q31" s="525" t="str">
        <f t="shared" si="11"/>
        <v>是否封闭</v>
      </c>
      <c r="R31" s="644" t="s">
        <v>14</v>
      </c>
      <c r="S31" s="645">
        <f t="shared" si="12"/>
        <v>100</v>
      </c>
      <c r="T31" s="644" t="s">
        <v>14</v>
      </c>
      <c r="U31" s="645">
        <f t="shared" si="13"/>
        <v>100</v>
      </c>
      <c r="V31" s="644" t="s">
        <v>14</v>
      </c>
      <c r="W31" s="645">
        <f t="shared" si="14"/>
        <v>100</v>
      </c>
      <c r="X31" s="646"/>
      <c r="Y31" s="3219"/>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19" t="s">
        <v>1674</v>
      </c>
      <c r="Q32" s="1150">
        <f t="shared" si="11"/>
        <v>111</v>
      </c>
      <c r="R32" s="647" t="s">
        <v>14</v>
      </c>
      <c r="S32" s="648">
        <f t="shared" si="12"/>
        <v>100</v>
      </c>
      <c r="T32" s="647" t="s">
        <v>14</v>
      </c>
      <c r="U32" s="648">
        <f t="shared" si="13"/>
        <v>100</v>
      </c>
      <c r="V32" s="647" t="s">
        <v>14</v>
      </c>
      <c r="W32" s="648">
        <f t="shared" si="14"/>
        <v>100</v>
      </c>
      <c r="X32" s="1152"/>
      <c r="Y32" s="3219"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19"/>
      <c r="Q33" s="1150">
        <f t="shared" si="11"/>
        <v>111</v>
      </c>
      <c r="R33" s="647" t="s">
        <v>14</v>
      </c>
      <c r="S33" s="648">
        <f t="shared" si="12"/>
        <v>100</v>
      </c>
      <c r="T33" s="647" t="s">
        <v>14</v>
      </c>
      <c r="U33" s="648">
        <f t="shared" si="13"/>
        <v>100</v>
      </c>
      <c r="V33" s="647" t="s">
        <v>14</v>
      </c>
      <c r="W33" s="648">
        <f t="shared" si="14"/>
        <v>100</v>
      </c>
      <c r="X33" s="1152"/>
      <c r="Y33" s="3219"/>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19"/>
      <c r="Q34" s="1150">
        <f t="shared" si="11"/>
        <v>111</v>
      </c>
      <c r="R34" s="647" t="s">
        <v>14</v>
      </c>
      <c r="S34" s="648">
        <f t="shared" si="12"/>
        <v>100</v>
      </c>
      <c r="T34" s="647" t="s">
        <v>14</v>
      </c>
      <c r="U34" s="648">
        <f t="shared" si="13"/>
        <v>100</v>
      </c>
      <c r="V34" s="647" t="s">
        <v>14</v>
      </c>
      <c r="W34" s="648">
        <f t="shared" si="14"/>
        <v>100</v>
      </c>
      <c r="X34" s="1152"/>
      <c r="Y34" s="3219"/>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11" t="str">
        <f>A35</f>
        <v>成交单价（元/平方米）</v>
      </c>
      <c r="Q35" s="3211"/>
      <c r="R35" s="3212">
        <f>E35</f>
        <v>0</v>
      </c>
      <c r="S35" s="3212"/>
      <c r="T35" s="3212">
        <f>G35</f>
        <v>0</v>
      </c>
      <c r="U35" s="3212"/>
      <c r="V35" s="3212">
        <f>I35</f>
        <v>0</v>
      </c>
      <c r="W35" s="3212"/>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13" t="str">
        <f>A37</f>
        <v>估价对象XX用房的比较价值（楼面单价，元/平方米）</v>
      </c>
      <c r="Q37" s="3214"/>
      <c r="R37" s="3251" t="e">
        <f>IF(F1="售价",ROUND(IF(D36="简单平均",AVERAGE(R36:W36),R36*F36+T36*H36+V36*J36),0),ROUND(IF(D36="简单平均",AVERAGE(R36:V36),R36*F36+T36*H36+V36*J36),1))</f>
        <v>#DIV/0!</v>
      </c>
      <c r="S37" s="3251"/>
      <c r="T37" s="3251"/>
      <c r="U37" s="3251"/>
      <c r="V37" s="3251"/>
      <c r="W37" s="3251"/>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2026-3</v>
      </c>
      <c r="D46" s="1015">
        <f>EDATE(C46,-1)</f>
        <v>46054</v>
      </c>
      <c r="E46" s="1015">
        <f t="shared" ref="E46:O46" si="16">EDATE(D46,-1)</f>
        <v>46023</v>
      </c>
      <c r="F46" s="1015">
        <f t="shared" si="16"/>
        <v>45992</v>
      </c>
      <c r="G46" s="1015">
        <f t="shared" si="16"/>
        <v>45962</v>
      </c>
      <c r="H46" s="1015">
        <f t="shared" si="16"/>
        <v>45931</v>
      </c>
      <c r="I46" s="1015">
        <f t="shared" si="16"/>
        <v>45901</v>
      </c>
      <c r="J46" s="1015">
        <f t="shared" si="16"/>
        <v>45870</v>
      </c>
      <c r="K46" s="1015">
        <f t="shared" si="16"/>
        <v>45839</v>
      </c>
      <c r="L46" s="1015">
        <f t="shared" si="16"/>
        <v>45809</v>
      </c>
      <c r="M46" s="1015">
        <f t="shared" si="16"/>
        <v>45778</v>
      </c>
      <c r="N46" s="1015">
        <f t="shared" si="16"/>
        <v>45748</v>
      </c>
      <c r="O46" s="1015">
        <f t="shared" si="16"/>
        <v>45717</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76" priority="13" stopIfTrue="1">
      <formula>$F$40="超过30%"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F7:F34 H7:H34 J7:J34">
    <cfRule type="cellIs" dxfId="73" priority="1" operator="notEqual">
      <formula>100</formula>
    </cfRule>
  </conditionalFormatting>
  <conditionalFormatting sqref="F36">
    <cfRule type="expression" dxfId="72" priority="4">
      <formula>$D$36="简单平均"</formula>
    </cfRule>
  </conditionalFormatting>
  <conditionalFormatting sqref="F40:F42 H40:H42 J40:J42">
    <cfRule type="containsText" dxfId="71" priority="14" stopIfTrue="1" operator="containsText" text="超过">
      <formula>NOT(ISERROR(SEARCH("超过",F40)))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G42">
    <cfRule type="expression" dxfId="68" priority="12" stopIfTrue="1">
      <formula>$H$54+$H$42="超过30%"</formula>
    </cfRule>
  </conditionalFormatting>
  <conditionalFormatting sqref="H36">
    <cfRule type="expression" dxfId="67" priority="3">
      <formula>$D$36="简单平均"</formula>
    </cfRule>
  </conditionalFormatting>
  <conditionalFormatting sqref="I40">
    <cfRule type="expression" dxfId="66" priority="7" stopIfTrue="1">
      <formula>$J$40="超过30%"</formula>
    </cfRule>
  </conditionalFormatting>
  <conditionalFormatting sqref="I41">
    <cfRule type="expression" dxfId="65" priority="6" stopIfTrue="1">
      <formula>$J$41="超过20%"</formula>
    </cfRule>
  </conditionalFormatting>
  <conditionalFormatting sqref="I42">
    <cfRule type="expression" dxfId="64" priority="5" stopIfTrue="1">
      <formula>$J$42="超过30%"</formula>
    </cfRule>
  </conditionalFormatting>
  <conditionalFormatting sqref="J36">
    <cfRule type="expression" dxfId="6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10" zoomScaleNormal="60" zoomScaleSheetLayoutView="100" workbookViewId="0">
      <selection activeCell="R47" sqref="R47:S47"/>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f>F65</f>
        <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f>ROUND(IF(D3="",B2*10000/'数据-汇总表'!E3,B2*10000/D3),0)</f>
        <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46091</v>
      </c>
      <c r="D7" s="352">
        <v>100</v>
      </c>
      <c r="E7" s="353">
        <v>46082</v>
      </c>
      <c r="F7" s="354">
        <f>SUMIF(69:69,YEAR(E7)&amp;"-"&amp;INT((MONTH(E7)+2)/3),70:70)</f>
        <v>100</v>
      </c>
      <c r="G7" s="353">
        <v>46082</v>
      </c>
      <c r="H7" s="352">
        <f>SUMIF(69:69,YEAR(G7)&amp;"-"&amp;INT((MONTH(G7)+2)/3),70:70)</f>
        <v>100</v>
      </c>
      <c r="I7" s="353">
        <v>46082</v>
      </c>
      <c r="J7" s="352">
        <f>SUMIF(69:69,YEAR(I7)&amp;"-"&amp;INT((MONTH(I7)+2)/3),70:70)</f>
        <v>100</v>
      </c>
      <c r="K7" s="38"/>
      <c r="L7" s="2311"/>
      <c r="M7" s="2264"/>
      <c r="N7" s="2264"/>
      <c r="O7" s="2264"/>
      <c r="P7" s="3244" t="s">
        <v>1661</v>
      </c>
      <c r="Q7" s="3246"/>
      <c r="R7" s="644" t="s">
        <v>14</v>
      </c>
      <c r="S7" s="645">
        <f t="shared" ref="S7:S15" si="0">F7</f>
        <v>100</v>
      </c>
      <c r="T7" s="644" t="s">
        <v>14</v>
      </c>
      <c r="U7" s="645">
        <f t="shared" ref="U7:U15" si="1">H7</f>
        <v>100</v>
      </c>
      <c r="V7" s="644" t="s">
        <v>14</v>
      </c>
      <c r="W7" s="645">
        <f t="shared" ref="W7:W15" si="2">J7</f>
        <v>100</v>
      </c>
      <c r="X7" s="646"/>
      <c r="Y7" s="3244" t="s">
        <v>1661</v>
      </c>
      <c r="Z7" s="3245"/>
      <c r="AA7" s="50">
        <f>D7/F7</f>
        <v>1</v>
      </c>
      <c r="AB7" s="50">
        <f>D7/H7</f>
        <v>1</v>
      </c>
      <c r="AC7" s="50">
        <f>D7/J7</f>
        <v>1</v>
      </c>
    </row>
    <row r="8" spans="1:29" s="101" customFormat="1" ht="15.75" thickBot="1">
      <c r="A8" s="349" t="s">
        <v>1662</v>
      </c>
      <c r="B8" s="350"/>
      <c r="C8" s="355" t="s">
        <v>1663</v>
      </c>
      <c r="D8" s="352">
        <v>100</v>
      </c>
      <c r="E8" s="355" t="s">
        <v>3324</v>
      </c>
      <c r="F8" s="354">
        <f>SUMIF(72:72,E8,73:73)-SUMIF(72:72,C8,73:73)+100</f>
        <v>100</v>
      </c>
      <c r="G8" s="355" t="s">
        <v>3324</v>
      </c>
      <c r="H8" s="352">
        <f>SUMIF(72:72,G8,73:73)-SUMIF(72:72,C8,73:73)+100</f>
        <v>100</v>
      </c>
      <c r="I8" s="355" t="s">
        <v>3324</v>
      </c>
      <c r="J8" s="352">
        <f>SUMIF(72:72,I8,73:73)-SUMIF(72:72,C8,73:73)+100</f>
        <v>100</v>
      </c>
      <c r="K8" s="38"/>
      <c r="L8" s="2311"/>
      <c r="M8" s="2264"/>
      <c r="N8" s="2264"/>
      <c r="O8" s="2264"/>
      <c r="P8" s="3244" t="s">
        <v>1664</v>
      </c>
      <c r="Q8" s="3245"/>
      <c r="R8" s="644" t="s">
        <v>14</v>
      </c>
      <c r="S8" s="645">
        <f t="shared" si="0"/>
        <v>100</v>
      </c>
      <c r="T8" s="644" t="s">
        <v>14</v>
      </c>
      <c r="U8" s="645">
        <f t="shared" si="1"/>
        <v>100</v>
      </c>
      <c r="V8" s="644" t="s">
        <v>14</v>
      </c>
      <c r="W8" s="645">
        <f t="shared" si="2"/>
        <v>100</v>
      </c>
      <c r="X8" s="646"/>
      <c r="Y8" s="3244" t="s">
        <v>1664</v>
      </c>
      <c r="Z8" s="3245"/>
      <c r="AA8" s="50">
        <f t="shared" ref="AA8:AA45" si="3">D8/F8</f>
        <v>1</v>
      </c>
      <c r="AB8" s="50">
        <f t="shared" ref="AB8:AB45" si="4">D8/H8</f>
        <v>1</v>
      </c>
      <c r="AC8" s="50">
        <f t="shared" ref="AC8:AC45" si="5">D8/J8</f>
        <v>1</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11"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367">
        <v>70</v>
      </c>
      <c r="D10" s="118">
        <v>100</v>
      </c>
      <c r="E10" s="398" t="s">
        <v>3367</v>
      </c>
      <c r="F10" s="118">
        <f>ROUND(100/'数据-取费表'!G16,0)</f>
        <v>100</v>
      </c>
      <c r="G10" s="397" t="s">
        <v>3367</v>
      </c>
      <c r="H10" s="118">
        <f>ROUND(100/'数据-取费表'!G16,0)</f>
        <v>100</v>
      </c>
      <c r="I10" s="397" t="s">
        <v>3367</v>
      </c>
      <c r="J10" s="118">
        <f>ROUND(100/'数据-取费表'!G16,0)</f>
        <v>100</v>
      </c>
      <c r="K10" s="585"/>
      <c r="L10" s="2312"/>
      <c r="M10" s="2313"/>
      <c r="N10" s="2313"/>
      <c r="O10" s="2363"/>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LOOKUP(E11,79:79,80:80)-LOOKUP(C11,79:79,80:80)+100</f>
        <v>100</v>
      </c>
      <c r="G11" s="365"/>
      <c r="H11" s="118">
        <f>LOOKUP(G11,79:79,80:80)-LOOKUP(C11,79:79,80:80)+100</f>
        <v>100</v>
      </c>
      <c r="I11" s="364"/>
      <c r="J11" s="118">
        <f>LOOKUP(I11,79:79,80:80)-LOOKUP(C11,79:79,80:80)+100</f>
        <v>100</v>
      </c>
      <c r="K11" s="586"/>
      <c r="L11" s="2314"/>
      <c r="M11" s="2310"/>
      <c r="N11" s="2310"/>
      <c r="O11" s="2364"/>
      <c r="P11" s="3211"/>
      <c r="Q11" s="525" t="str">
        <f t="shared" si="6"/>
        <v>容积率</v>
      </c>
      <c r="R11" s="644" t="s">
        <v>14</v>
      </c>
      <c r="S11" s="645">
        <f t="shared" si="0"/>
        <v>100</v>
      </c>
      <c r="T11" s="644" t="s">
        <v>14</v>
      </c>
      <c r="U11" s="645">
        <f t="shared" si="1"/>
        <v>100</v>
      </c>
      <c r="V11" s="644" t="s">
        <v>14</v>
      </c>
      <c r="W11" s="645">
        <f t="shared" si="2"/>
        <v>100</v>
      </c>
      <c r="X11" s="646"/>
      <c r="Y11" s="3089"/>
      <c r="Z11" s="50" t="str">
        <f t="shared" si="7"/>
        <v>容积率</v>
      </c>
      <c r="AA11" s="50">
        <f t="shared" si="3"/>
        <v>1</v>
      </c>
      <c r="AB11" s="50">
        <f t="shared" si="4"/>
        <v>1</v>
      </c>
      <c r="AC11" s="50">
        <f t="shared" si="5"/>
        <v>1</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11"/>
      <c r="Q12" s="525" t="str">
        <f t="shared" si="6"/>
        <v>配建</v>
      </c>
      <c r="R12" s="644" t="s">
        <v>14</v>
      </c>
      <c r="S12" s="645">
        <f t="shared" si="0"/>
        <v>100</v>
      </c>
      <c r="T12" s="644" t="s">
        <v>14</v>
      </c>
      <c r="U12" s="645">
        <f t="shared" si="1"/>
        <v>100</v>
      </c>
      <c r="V12" s="644" t="s">
        <v>14</v>
      </c>
      <c r="W12" s="645">
        <f t="shared" si="2"/>
        <v>100</v>
      </c>
      <c r="X12" s="646"/>
      <c r="Y12" s="3089"/>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11"/>
      <c r="Q14" s="525">
        <f t="shared" si="6"/>
        <v>111</v>
      </c>
      <c r="R14" s="644" t="s">
        <v>14</v>
      </c>
      <c r="S14" s="645">
        <f t="shared" si="0"/>
        <v>100</v>
      </c>
      <c r="T14" s="644" t="s">
        <v>14</v>
      </c>
      <c r="U14" s="645">
        <f t="shared" si="1"/>
        <v>100</v>
      </c>
      <c r="V14" s="644" t="s">
        <v>14</v>
      </c>
      <c r="W14" s="645">
        <f t="shared" si="2"/>
        <v>100</v>
      </c>
      <c r="X14" s="646"/>
      <c r="Y14" s="3089"/>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96</v>
      </c>
      <c r="G15" s="377"/>
      <c r="H15" s="376">
        <f>SUMIF(87:87,G16,88:88)-SUMIF(87:87,C16,88:88)+100</f>
        <v>96</v>
      </c>
      <c r="I15" s="379"/>
      <c r="J15" s="376">
        <f>SUMIF(87:87,I16,88:88)-SUMIF(87:87,C16,88:88)+100</f>
        <v>96</v>
      </c>
      <c r="K15" s="586">
        <v>2</v>
      </c>
      <c r="L15" s="2315"/>
      <c r="M15" s="2310"/>
      <c r="N15" s="2310"/>
      <c r="O15" s="2364"/>
      <c r="P15" s="3216" t="s">
        <v>1672</v>
      </c>
      <c r="Q15" s="1150" t="str">
        <f t="shared" si="6"/>
        <v>居住社区成熟度</v>
      </c>
      <c r="R15" s="647" t="s">
        <v>14</v>
      </c>
      <c r="S15" s="648">
        <f t="shared" si="0"/>
        <v>96</v>
      </c>
      <c r="T15" s="647" t="s">
        <v>14</v>
      </c>
      <c r="U15" s="648">
        <f t="shared" si="1"/>
        <v>96</v>
      </c>
      <c r="V15" s="647" t="s">
        <v>14</v>
      </c>
      <c r="W15" s="648">
        <f t="shared" si="2"/>
        <v>96</v>
      </c>
      <c r="X15" s="1152"/>
      <c r="Y15" s="3216" t="s">
        <v>1672</v>
      </c>
      <c r="Z15" s="1151" t="str">
        <f t="shared" si="7"/>
        <v>居住社区成熟度</v>
      </c>
      <c r="AA15" s="1151">
        <f t="shared" si="3"/>
        <v>1.0416666666666667</v>
      </c>
      <c r="AB15" s="1151">
        <f t="shared" si="4"/>
        <v>1.0416666666666667</v>
      </c>
      <c r="AC15" s="1151">
        <f t="shared" si="5"/>
        <v>1.0416666666666667</v>
      </c>
    </row>
    <row r="16" spans="1:29" ht="15">
      <c r="A16" s="363"/>
      <c r="B16" s="380"/>
      <c r="C16" s="381" t="s">
        <v>3327</v>
      </c>
      <c r="D16" s="382"/>
      <c r="E16" s="1629" t="s">
        <v>3365</v>
      </c>
      <c r="F16" s="382"/>
      <c r="G16" s="1629" t="s">
        <v>3365</v>
      </c>
      <c r="H16" s="384"/>
      <c r="I16" s="1628" t="s">
        <v>3365</v>
      </c>
      <c r="J16" s="382"/>
      <c r="K16" s="585"/>
      <c r="L16" s="2315"/>
      <c r="M16" s="2310"/>
      <c r="N16" s="2310"/>
      <c r="O16" s="2364"/>
      <c r="P16" s="3217"/>
      <c r="Q16" s="1150"/>
      <c r="R16" s="647"/>
      <c r="S16" s="648"/>
      <c r="T16" s="647"/>
      <c r="U16" s="648"/>
      <c r="V16" s="647"/>
      <c r="W16" s="648"/>
      <c r="X16" s="1152"/>
      <c r="Y16" s="3217"/>
      <c r="Z16" s="1151"/>
      <c r="AA16" s="1151">
        <v>1</v>
      </c>
      <c r="AB16" s="1151">
        <v>1</v>
      </c>
      <c r="AC16" s="1151">
        <v>1</v>
      </c>
    </row>
    <row r="17" spans="1:29" ht="71.25" hidden="1">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17"/>
      <c r="Q17" s="1150" t="str">
        <f>B17</f>
        <v>商业繁华度</v>
      </c>
      <c r="R17" s="647" t="s">
        <v>14</v>
      </c>
      <c r="S17" s="648">
        <f>F17</f>
        <v>100</v>
      </c>
      <c r="T17" s="647" t="s">
        <v>14</v>
      </c>
      <c r="U17" s="648">
        <f>H17</f>
        <v>100</v>
      </c>
      <c r="V17" s="647" t="s">
        <v>14</v>
      </c>
      <c r="W17" s="648">
        <f>J17</f>
        <v>100</v>
      </c>
      <c r="X17" s="1152"/>
      <c r="Y17" s="3217"/>
      <c r="Z17" s="1151" t="str">
        <f>Q17</f>
        <v>商业繁华度</v>
      </c>
      <c r="AA17" s="1151">
        <f t="shared" si="3"/>
        <v>1</v>
      </c>
      <c r="AB17" s="1151">
        <f t="shared" si="4"/>
        <v>1</v>
      </c>
      <c r="AC17" s="1151">
        <f t="shared" si="5"/>
        <v>1</v>
      </c>
    </row>
    <row r="18" spans="1:29" ht="15" hidden="1">
      <c r="A18" s="363"/>
      <c r="B18" s="390"/>
      <c r="C18" s="1631"/>
      <c r="D18" s="384"/>
      <c r="E18" s="1633"/>
      <c r="F18" s="384"/>
      <c r="G18" s="1633"/>
      <c r="H18" s="382"/>
      <c r="I18" s="1632"/>
      <c r="J18" s="382"/>
      <c r="K18" s="585"/>
      <c r="L18" s="2315"/>
      <c r="M18" s="2310"/>
      <c r="N18" s="2310"/>
      <c r="O18" s="2364"/>
      <c r="P18" s="3217"/>
      <c r="Q18" s="1150"/>
      <c r="R18" s="647"/>
      <c r="S18" s="648"/>
      <c r="T18" s="647"/>
      <c r="U18" s="648"/>
      <c r="V18" s="647"/>
      <c r="W18" s="648"/>
      <c r="X18" s="1152"/>
      <c r="Y18" s="3217"/>
      <c r="Z18" s="1151"/>
      <c r="AA18" s="1151">
        <v>1</v>
      </c>
      <c r="AB18" s="1151">
        <v>1</v>
      </c>
      <c r="AC18" s="1151">
        <v>1</v>
      </c>
    </row>
    <row r="19" spans="1:29" ht="71.25" hidden="1">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17"/>
      <c r="Q19" s="1150" t="str">
        <f>B19</f>
        <v>办公集聚程度</v>
      </c>
      <c r="R19" s="647" t="s">
        <v>14</v>
      </c>
      <c r="S19" s="648">
        <f>F19</f>
        <v>100</v>
      </c>
      <c r="T19" s="647" t="s">
        <v>14</v>
      </c>
      <c r="U19" s="648">
        <f>H19</f>
        <v>100</v>
      </c>
      <c r="V19" s="647" t="s">
        <v>14</v>
      </c>
      <c r="W19" s="648">
        <f>J19</f>
        <v>100</v>
      </c>
      <c r="X19" s="1152"/>
      <c r="Y19" s="3217"/>
      <c r="Z19" s="1151" t="str">
        <f>Q19</f>
        <v>办公集聚程度</v>
      </c>
      <c r="AA19" s="1151">
        <f t="shared" si="3"/>
        <v>1</v>
      </c>
      <c r="AB19" s="1151">
        <f t="shared" si="4"/>
        <v>1</v>
      </c>
      <c r="AC19" s="1151">
        <f t="shared" si="5"/>
        <v>1</v>
      </c>
    </row>
    <row r="20" spans="1:29" ht="15" hidden="1">
      <c r="A20" s="363"/>
      <c r="B20" s="390"/>
      <c r="C20" s="381"/>
      <c r="D20" s="382"/>
      <c r="E20" s="1629"/>
      <c r="F20" s="382"/>
      <c r="G20" s="1629"/>
      <c r="H20" s="382"/>
      <c r="I20" s="1628"/>
      <c r="J20" s="382"/>
      <c r="K20" s="585"/>
      <c r="L20" s="2315"/>
      <c r="M20" s="2310"/>
      <c r="N20" s="2310"/>
      <c r="O20" s="2364"/>
      <c r="P20" s="3217"/>
      <c r="Q20" s="1150"/>
      <c r="R20" s="647"/>
      <c r="S20" s="648"/>
      <c r="T20" s="647"/>
      <c r="U20" s="648"/>
      <c r="V20" s="647"/>
      <c r="W20" s="648"/>
      <c r="X20" s="1152"/>
      <c r="Y20" s="3217"/>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17"/>
      <c r="Q21" s="1150" t="str">
        <f>B21</f>
        <v>交通便捷度</v>
      </c>
      <c r="R21" s="647" t="s">
        <v>14</v>
      </c>
      <c r="S21" s="648">
        <f>F21</f>
        <v>100</v>
      </c>
      <c r="T21" s="647" t="s">
        <v>14</v>
      </c>
      <c r="U21" s="648">
        <f>H21</f>
        <v>100</v>
      </c>
      <c r="V21" s="647" t="s">
        <v>14</v>
      </c>
      <c r="W21" s="648">
        <f>J21</f>
        <v>100</v>
      </c>
      <c r="X21" s="1152"/>
      <c r="Y21" s="3217"/>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17"/>
      <c r="Q22" s="1150"/>
      <c r="R22" s="647"/>
      <c r="S22" s="648"/>
      <c r="T22" s="647"/>
      <c r="U22" s="648"/>
      <c r="V22" s="647"/>
      <c r="W22" s="648"/>
      <c r="X22" s="1152"/>
      <c r="Y22" s="3217"/>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17"/>
      <c r="Q23" s="1150" t="str">
        <f t="shared" ref="Q23:Q37" si="8">B23</f>
        <v>区域土地利用方向</v>
      </c>
      <c r="R23" s="647" t="s">
        <v>14</v>
      </c>
      <c r="S23" s="648">
        <f>F23</f>
        <v>100</v>
      </c>
      <c r="T23" s="647" t="s">
        <v>14</v>
      </c>
      <c r="U23" s="648">
        <f>H23</f>
        <v>100</v>
      </c>
      <c r="V23" s="647" t="s">
        <v>14</v>
      </c>
      <c r="W23" s="648">
        <f>J23</f>
        <v>100</v>
      </c>
      <c r="X23" s="1152"/>
      <c r="Y23" s="3217"/>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17"/>
      <c r="Q24" s="1150"/>
      <c r="R24" s="647"/>
      <c r="S24" s="648"/>
      <c r="T24" s="647"/>
      <c r="U24" s="648"/>
      <c r="V24" s="647"/>
      <c r="W24" s="648"/>
      <c r="X24" s="1152"/>
      <c r="Y24" s="3217"/>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17"/>
      <c r="Q25" s="1150" t="str">
        <f t="shared" si="8"/>
        <v>自然及人文环境状况</v>
      </c>
      <c r="R25" s="647" t="s">
        <v>14</v>
      </c>
      <c r="S25" s="648">
        <f>F25</f>
        <v>100</v>
      </c>
      <c r="T25" s="647" t="s">
        <v>14</v>
      </c>
      <c r="U25" s="648">
        <f>H25</f>
        <v>100</v>
      </c>
      <c r="V25" s="647" t="s">
        <v>14</v>
      </c>
      <c r="W25" s="648">
        <f>J25</f>
        <v>100</v>
      </c>
      <c r="X25" s="1152"/>
      <c r="Y25" s="3217"/>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17"/>
      <c r="Q26" s="1150"/>
      <c r="R26" s="647"/>
      <c r="S26" s="648"/>
      <c r="T26" s="647"/>
      <c r="U26" s="648"/>
      <c r="V26" s="647"/>
      <c r="W26" s="648"/>
      <c r="X26" s="1152"/>
      <c r="Y26" s="3217"/>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17"/>
      <c r="Q27" s="525" t="str">
        <f t="shared" si="8"/>
        <v>公共配套设施</v>
      </c>
      <c r="R27" s="644" t="s">
        <v>14</v>
      </c>
      <c r="S27" s="645">
        <f>F27</f>
        <v>100</v>
      </c>
      <c r="T27" s="644" t="s">
        <v>14</v>
      </c>
      <c r="U27" s="645">
        <f>H27</f>
        <v>100</v>
      </c>
      <c r="V27" s="644" t="s">
        <v>14</v>
      </c>
      <c r="W27" s="645">
        <f>J27</f>
        <v>100</v>
      </c>
      <c r="X27" s="646"/>
      <c r="Y27" s="3217"/>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17"/>
      <c r="Q28" s="525"/>
      <c r="R28" s="644"/>
      <c r="S28" s="645"/>
      <c r="T28" s="644"/>
      <c r="U28" s="645"/>
      <c r="V28" s="644"/>
      <c r="W28" s="645"/>
      <c r="X28" s="646"/>
      <c r="Y28" s="3217"/>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17"/>
      <c r="Q29" s="525" t="str">
        <f t="shared" ref="Q29" si="9">B29</f>
        <v>基础设施水平</v>
      </c>
      <c r="R29" s="644" t="s">
        <v>14</v>
      </c>
      <c r="S29" s="645">
        <f>F29</f>
        <v>100</v>
      </c>
      <c r="T29" s="644" t="s">
        <v>14</v>
      </c>
      <c r="U29" s="645">
        <f>H29</f>
        <v>100</v>
      </c>
      <c r="V29" s="644" t="s">
        <v>14</v>
      </c>
      <c r="W29" s="645">
        <f>J29</f>
        <v>100</v>
      </c>
      <c r="X29" s="646"/>
      <c r="Y29" s="3217"/>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17"/>
      <c r="Q30" s="525"/>
      <c r="R30" s="644"/>
      <c r="S30" s="645"/>
      <c r="T30" s="644"/>
      <c r="U30" s="645"/>
      <c r="V30" s="644"/>
      <c r="W30" s="645"/>
      <c r="X30" s="646"/>
      <c r="Y30" s="3217"/>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17"/>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17"/>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17"/>
      <c r="Q32" s="1150" t="str">
        <f t="shared" si="8"/>
        <v>毗邻道路的类型与等级</v>
      </c>
      <c r="R32" s="647" t="s">
        <v>14</v>
      </c>
      <c r="S32" s="648">
        <f t="shared" si="10"/>
        <v>100</v>
      </c>
      <c r="T32" s="647" t="s">
        <v>14</v>
      </c>
      <c r="U32" s="648">
        <f t="shared" si="11"/>
        <v>100</v>
      </c>
      <c r="V32" s="647" t="s">
        <v>14</v>
      </c>
      <c r="W32" s="648">
        <f t="shared" si="12"/>
        <v>100</v>
      </c>
      <c r="X32" s="1152"/>
      <c r="Y32" s="3217"/>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17"/>
      <c r="Q33" s="1150"/>
      <c r="R33" s="647"/>
      <c r="S33" s="648"/>
      <c r="T33" s="647"/>
      <c r="U33" s="648"/>
      <c r="V33" s="647"/>
      <c r="W33" s="648"/>
      <c r="X33" s="1152"/>
      <c r="Y33" s="3217"/>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17"/>
      <c r="Q34" s="1150" t="str">
        <f t="shared" si="8"/>
        <v>土地级别</v>
      </c>
      <c r="R34" s="647" t="s">
        <v>14</v>
      </c>
      <c r="S34" s="648">
        <f t="shared" si="10"/>
        <v>100</v>
      </c>
      <c r="T34" s="647" t="s">
        <v>14</v>
      </c>
      <c r="U34" s="648">
        <f t="shared" si="11"/>
        <v>100</v>
      </c>
      <c r="V34" s="647" t="s">
        <v>14</v>
      </c>
      <c r="W34" s="648">
        <f t="shared" si="12"/>
        <v>100</v>
      </c>
      <c r="X34" s="1152"/>
      <c r="Y34" s="3217"/>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17"/>
      <c r="Q35" s="1150">
        <f t="shared" si="8"/>
        <v>111</v>
      </c>
      <c r="R35" s="647" t="s">
        <v>14</v>
      </c>
      <c r="S35" s="648">
        <f t="shared" si="10"/>
        <v>100</v>
      </c>
      <c r="T35" s="647" t="s">
        <v>14</v>
      </c>
      <c r="U35" s="648">
        <f t="shared" si="11"/>
        <v>100</v>
      </c>
      <c r="V35" s="647" t="s">
        <v>14</v>
      </c>
      <c r="W35" s="648">
        <f t="shared" si="12"/>
        <v>100</v>
      </c>
      <c r="X35" s="1152"/>
      <c r="Y35" s="3217"/>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18" t="s">
        <v>1674</v>
      </c>
      <c r="Q36" s="1150">
        <f t="shared" si="8"/>
        <v>111</v>
      </c>
      <c r="R36" s="647" t="s">
        <v>14</v>
      </c>
      <c r="S36" s="648">
        <f t="shared" si="10"/>
        <v>100</v>
      </c>
      <c r="T36" s="647" t="s">
        <v>14</v>
      </c>
      <c r="U36" s="648">
        <f t="shared" si="11"/>
        <v>100</v>
      </c>
      <c r="V36" s="647" t="s">
        <v>14</v>
      </c>
      <c r="W36" s="648">
        <f t="shared" si="12"/>
        <v>100</v>
      </c>
      <c r="X36" s="1152"/>
      <c r="Y36" s="3219"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19"/>
      <c r="Q37" s="1150">
        <f t="shared" si="8"/>
        <v>111</v>
      </c>
      <c r="R37" s="649" t="s">
        <v>14</v>
      </c>
      <c r="S37" s="650">
        <f t="shared" si="10"/>
        <v>100</v>
      </c>
      <c r="T37" s="649" t="s">
        <v>14</v>
      </c>
      <c r="U37" s="650">
        <f t="shared" si="11"/>
        <v>100</v>
      </c>
      <c r="V37" s="649" t="s">
        <v>14</v>
      </c>
      <c r="W37" s="650">
        <f t="shared" si="12"/>
        <v>100</v>
      </c>
      <c r="X37" s="651"/>
      <c r="Y37" s="3219"/>
      <c r="Z37" s="652">
        <f t="shared" si="13"/>
        <v>111</v>
      </c>
      <c r="AA37" s="1151">
        <f t="shared" si="3"/>
        <v>1</v>
      </c>
      <c r="AB37" s="1151">
        <f t="shared" si="4"/>
        <v>1</v>
      </c>
      <c r="AC37" s="1151">
        <f t="shared" si="5"/>
        <v>1</v>
      </c>
    </row>
    <row r="38" spans="1:29" ht="15">
      <c r="A38" s="404" t="s">
        <v>1673</v>
      </c>
      <c r="B38" s="390" t="s">
        <v>1799</v>
      </c>
      <c r="C38" s="592">
        <v>100</v>
      </c>
      <c r="D38" s="400">
        <v>100</v>
      </c>
      <c r="E38" s="592">
        <v>100</v>
      </c>
      <c r="F38" s="400">
        <f>LOOKUP(E38,116:116,117:117)-LOOKUP(C38,116:116,117:117)+100</f>
        <v>100</v>
      </c>
      <c r="G38" s="592">
        <v>100</v>
      </c>
      <c r="H38" s="400">
        <f>LOOKUP(G38,116:116,117:117)-LOOKUP(C38,116:116,117:117)+100</f>
        <v>100</v>
      </c>
      <c r="I38" s="457">
        <v>100</v>
      </c>
      <c r="J38" s="400">
        <f>LOOKUP(I38,116:116,117:117)-LOOKUP(C38,116:116,117:117)+100</f>
        <v>100</v>
      </c>
      <c r="K38" s="532"/>
      <c r="L38" s="2315"/>
      <c r="M38" s="2310"/>
      <c r="N38" s="2310"/>
      <c r="O38" s="2364"/>
      <c r="P38" s="3219"/>
      <c r="Q38" s="1150" t="str">
        <f>B38</f>
        <v>宗地面积</v>
      </c>
      <c r="R38" s="647" t="s">
        <v>14</v>
      </c>
      <c r="S38" s="648">
        <f t="shared" si="10"/>
        <v>100</v>
      </c>
      <c r="T38" s="647" t="s">
        <v>14</v>
      </c>
      <c r="U38" s="648">
        <f t="shared" si="11"/>
        <v>100</v>
      </c>
      <c r="V38" s="647" t="s">
        <v>14</v>
      </c>
      <c r="W38" s="648">
        <f t="shared" si="12"/>
        <v>100</v>
      </c>
      <c r="X38" s="1152"/>
      <c r="Y38" s="3219"/>
      <c r="Z38" s="1151" t="str">
        <f t="shared" si="13"/>
        <v>宗地面积</v>
      </c>
      <c r="AA38" s="1151">
        <f t="shared" si="3"/>
        <v>1</v>
      </c>
      <c r="AB38" s="1151">
        <f t="shared" si="4"/>
        <v>1</v>
      </c>
      <c r="AC38" s="1151">
        <f t="shared" si="5"/>
        <v>1</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19"/>
      <c r="Q39" s="1150" t="str">
        <f t="shared" ref="Q39:Q45" si="14">B39</f>
        <v>宗地形状</v>
      </c>
      <c r="R39" s="647" t="s">
        <v>14</v>
      </c>
      <c r="S39" s="648">
        <f t="shared" si="10"/>
        <v>100</v>
      </c>
      <c r="T39" s="647" t="s">
        <v>14</v>
      </c>
      <c r="U39" s="648">
        <f t="shared" si="11"/>
        <v>100</v>
      </c>
      <c r="V39" s="647" t="s">
        <v>14</v>
      </c>
      <c r="W39" s="648">
        <f t="shared" si="12"/>
        <v>100</v>
      </c>
      <c r="X39" s="1152"/>
      <c r="Y39" s="3219"/>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19"/>
      <c r="Q40" s="1150" t="str">
        <f t="shared" si="14"/>
        <v>临街宽度及深度</v>
      </c>
      <c r="R40" s="647" t="s">
        <v>14</v>
      </c>
      <c r="S40" s="648">
        <f t="shared" si="10"/>
        <v>100</v>
      </c>
      <c r="T40" s="647" t="s">
        <v>14</v>
      </c>
      <c r="U40" s="648">
        <f t="shared" si="11"/>
        <v>100</v>
      </c>
      <c r="V40" s="647" t="s">
        <v>14</v>
      </c>
      <c r="W40" s="648">
        <f t="shared" si="12"/>
        <v>100</v>
      </c>
      <c r="X40" s="1152"/>
      <c r="Y40" s="3219"/>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19"/>
      <c r="Q41" s="1150" t="str">
        <f t="shared" si="14"/>
        <v>宗地开发程度</v>
      </c>
      <c r="R41" s="644" t="s">
        <v>14</v>
      </c>
      <c r="S41" s="645">
        <f t="shared" si="10"/>
        <v>100</v>
      </c>
      <c r="T41" s="644" t="s">
        <v>14</v>
      </c>
      <c r="U41" s="645">
        <f t="shared" si="11"/>
        <v>100</v>
      </c>
      <c r="V41" s="644" t="s">
        <v>14</v>
      </c>
      <c r="W41" s="645">
        <f t="shared" si="12"/>
        <v>100</v>
      </c>
      <c r="X41" s="646"/>
      <c r="Y41" s="3219"/>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19" t="s">
        <v>1674</v>
      </c>
      <c r="Q42" s="1150" t="str">
        <f t="shared" si="14"/>
        <v>工程地质条件</v>
      </c>
      <c r="R42" s="647" t="s">
        <v>14</v>
      </c>
      <c r="S42" s="648">
        <f t="shared" si="10"/>
        <v>100</v>
      </c>
      <c r="T42" s="647" t="s">
        <v>14</v>
      </c>
      <c r="U42" s="648">
        <f t="shared" si="11"/>
        <v>100</v>
      </c>
      <c r="V42" s="647" t="s">
        <v>14</v>
      </c>
      <c r="W42" s="648">
        <f t="shared" si="12"/>
        <v>100</v>
      </c>
      <c r="X42" s="1152"/>
      <c r="Y42" s="3219"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19"/>
      <c r="Q43" s="1150">
        <f t="shared" si="14"/>
        <v>111</v>
      </c>
      <c r="R43" s="647" t="s">
        <v>14</v>
      </c>
      <c r="S43" s="648">
        <f t="shared" si="10"/>
        <v>100</v>
      </c>
      <c r="T43" s="647" t="s">
        <v>14</v>
      </c>
      <c r="U43" s="648">
        <f t="shared" si="11"/>
        <v>100</v>
      </c>
      <c r="V43" s="647" t="s">
        <v>14</v>
      </c>
      <c r="W43" s="648">
        <f t="shared" si="12"/>
        <v>100</v>
      </c>
      <c r="X43" s="1152"/>
      <c r="Y43" s="3219"/>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19"/>
      <c r="Q44" s="1150">
        <f t="shared" si="14"/>
        <v>111</v>
      </c>
      <c r="R44" s="647" t="s">
        <v>14</v>
      </c>
      <c r="S44" s="648">
        <f t="shared" si="10"/>
        <v>100</v>
      </c>
      <c r="T44" s="647" t="s">
        <v>14</v>
      </c>
      <c r="U44" s="648">
        <f t="shared" si="11"/>
        <v>100</v>
      </c>
      <c r="V44" s="647" t="s">
        <v>14</v>
      </c>
      <c r="W44" s="648">
        <f t="shared" si="12"/>
        <v>100</v>
      </c>
      <c r="X44" s="1152"/>
      <c r="Y44" s="3219"/>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19"/>
      <c r="Q45" s="1150">
        <f t="shared" si="14"/>
        <v>111</v>
      </c>
      <c r="R45" s="649" t="s">
        <v>14</v>
      </c>
      <c r="S45" s="650">
        <f t="shared" si="10"/>
        <v>100</v>
      </c>
      <c r="T45" s="649" t="s">
        <v>14</v>
      </c>
      <c r="U45" s="650">
        <f t="shared" si="11"/>
        <v>100</v>
      </c>
      <c r="V45" s="649" t="s">
        <v>14</v>
      </c>
      <c r="W45" s="650">
        <f t="shared" si="12"/>
        <v>100</v>
      </c>
      <c r="X45" s="651"/>
      <c r="Y45" s="3219"/>
      <c r="Z45" s="652">
        <f t="shared" si="13"/>
        <v>111</v>
      </c>
      <c r="AA45" s="1151">
        <f t="shared" si="3"/>
        <v>1</v>
      </c>
      <c r="AB45" s="1151">
        <f t="shared" si="4"/>
        <v>1</v>
      </c>
      <c r="AC45" s="1151">
        <f t="shared" si="5"/>
        <v>1</v>
      </c>
    </row>
    <row r="46" spans="1:29" ht="15">
      <c r="A46" s="411" t="s">
        <v>1769</v>
      </c>
      <c r="B46" s="1660" t="s">
        <v>1804</v>
      </c>
      <c r="C46" s="595" t="s">
        <v>0</v>
      </c>
      <c r="D46" s="413"/>
      <c r="E46" s="414">
        <f>Sheet2!M6</f>
        <v>0.52173913043478259</v>
      </c>
      <c r="F46" s="415"/>
      <c r="G46" s="416">
        <f>Sheet2!M11</f>
        <v>0.51679586563307489</v>
      </c>
      <c r="H46" s="417"/>
      <c r="I46" s="414">
        <f>Sheet2!M14</f>
        <v>0.55555555555555558</v>
      </c>
      <c r="J46" s="417"/>
      <c r="K46" s="654"/>
      <c r="L46" s="2317"/>
      <c r="M46" s="2310"/>
      <c r="N46" s="2310"/>
      <c r="O46" s="2310"/>
      <c r="P46" s="3211" t="str">
        <f>A46</f>
        <v>成交单价</v>
      </c>
      <c r="Q46" s="3211"/>
      <c r="R46" s="3212">
        <f>E46</f>
        <v>0.52173913043478259</v>
      </c>
      <c r="S46" s="3212"/>
      <c r="T46" s="3212">
        <f>G46</f>
        <v>0.51679586563307489</v>
      </c>
      <c r="U46" s="3212"/>
      <c r="V46" s="3212">
        <f>I46</f>
        <v>0.55555555555555558</v>
      </c>
      <c r="W46" s="3212"/>
      <c r="X46" s="380"/>
      <c r="Y46" s="653"/>
      <c r="Z46" s="380"/>
      <c r="AA46" s="380"/>
      <c r="AB46" s="380"/>
      <c r="AC46" s="380"/>
    </row>
    <row r="47" spans="1:29" ht="15.75" thickBot="1">
      <c r="A47" s="418" t="s">
        <v>1725</v>
      </c>
      <c r="B47" s="596"/>
      <c r="C47" s="421">
        <f>R48</f>
        <v>1</v>
      </c>
      <c r="D47" s="1966" t="s">
        <v>2040</v>
      </c>
      <c r="E47" s="421">
        <f>R47</f>
        <v>0.54349999999999998</v>
      </c>
      <c r="F47" s="1967"/>
      <c r="G47" s="420">
        <f>T47</f>
        <v>0.5383</v>
      </c>
      <c r="H47" s="1967"/>
      <c r="I47" s="421">
        <f>V47</f>
        <v>0.57869999999999999</v>
      </c>
      <c r="J47" s="1967"/>
      <c r="K47" s="1968">
        <f>F47+H47+J47</f>
        <v>0</v>
      </c>
      <c r="L47" s="2317"/>
      <c r="M47" s="2310"/>
      <c r="N47" s="2310"/>
      <c r="O47" s="2310"/>
      <c r="P47" s="3211" t="str">
        <f>A47</f>
        <v>比较价值（元/平方米）</v>
      </c>
      <c r="Q47" s="3211"/>
      <c r="R47" s="3252">
        <f>ROUND(PRODUCT(R46,AA7:AA45),4)</f>
        <v>0.54349999999999998</v>
      </c>
      <c r="S47" s="3252"/>
      <c r="T47" s="3252">
        <f>ROUND(PRODUCT(T46,AB7:AB45),4)</f>
        <v>0.5383</v>
      </c>
      <c r="U47" s="3252"/>
      <c r="V47" s="3252">
        <f>ROUND(PRODUCT(V46,AC7:AC45),4)</f>
        <v>0.57869999999999999</v>
      </c>
      <c r="W47" s="3252"/>
      <c r="X47" s="380"/>
      <c r="Y47" s="380"/>
      <c r="Z47" s="380"/>
      <c r="AA47" s="380"/>
      <c r="AB47" s="380"/>
      <c r="AC47" s="380"/>
    </row>
    <row r="48" spans="1:29" ht="15.75" thickBot="1">
      <c r="A48" s="422" t="s">
        <v>1805</v>
      </c>
      <c r="B48" s="423"/>
      <c r="C48" s="424">
        <f>R48</f>
        <v>1</v>
      </c>
      <c r="D48" s="424"/>
      <c r="E48" s="424"/>
      <c r="F48" s="424"/>
      <c r="G48" s="424"/>
      <c r="H48" s="424"/>
      <c r="I48" s="424"/>
      <c r="J48" s="424"/>
      <c r="K48" s="655"/>
      <c r="L48" s="2317"/>
      <c r="M48" s="2310"/>
      <c r="N48" s="2310"/>
      <c r="O48" s="2310"/>
      <c r="P48" s="3213" t="str">
        <f>A48</f>
        <v>估价对象XX用房的比较价值（楼面单价，元/平方米）</v>
      </c>
      <c r="Q48" s="3214"/>
      <c r="R48" s="3253">
        <f>ROUND(IF(D47="简单平均",AVERAGE(R47:W47),R47*F47+T47*H47+V47*J47),0)</f>
        <v>1</v>
      </c>
      <c r="S48" s="3253"/>
      <c r="T48" s="3253"/>
      <c r="U48" s="3253"/>
      <c r="V48" s="3253"/>
      <c r="W48" s="3253"/>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f>IF(E46&lt;E47,E47/E46-1,E46/E47-1)</f>
        <v>4.1708333333333236E-2</v>
      </c>
      <c r="F51" s="430" t="str">
        <f>IF(OR(E51&gt;=0.3,E51&lt;=-0.3),"超过30%","")</f>
        <v/>
      </c>
      <c r="G51" s="429">
        <f>IF(G46&lt;G47,G47/G46-1,G46/G47-1)</f>
        <v>4.1610499999999995E-2</v>
      </c>
      <c r="H51" s="430" t="str">
        <f>IF(OR(G51&gt;=0.3,G51&lt;=-0.3),"超过30%","")</f>
        <v/>
      </c>
      <c r="I51" s="429">
        <f>IF(I46&lt;I47,I47/I46-1,I46/I47-1)</f>
        <v>4.166000000000003E-2</v>
      </c>
      <c r="J51" s="430" t="str">
        <f>IF(OR(I51&gt;=0.3,I51&lt;=-0.3),"超过30%","")</f>
        <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f>IF(E47&lt;G47,G47/E47-1,E47/G47-1)</f>
        <v>9.660040869403641E-3</v>
      </c>
      <c r="F52" s="430" t="str">
        <f>IF(OR(E52&gt;=0.2,E52&lt;=-0.2),"超过20%","")</f>
        <v/>
      </c>
      <c r="G52" s="429">
        <f>IF(G47&lt;I47,I47/G47-1,G47/I47-1)</f>
        <v>7.5051086754597707E-2</v>
      </c>
      <c r="H52" s="430" t="str">
        <f>IF(OR(G52&gt;=0.2,G52&lt;=-0.2),"超过20%","")</f>
        <v/>
      </c>
      <c r="I52" s="429">
        <f>IF(I47&lt;E47,E47/I47-1,I47/E47-1)</f>
        <v>6.4765409383624739E-2</v>
      </c>
      <c r="J52" s="430" t="str">
        <f>IF(OR(I52&gt;=0.2,I52&lt;=-0.2),"超过20%","")</f>
        <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f>IF(E46&lt;G46,G46/E46-1,E46/G46-1)</f>
        <v>9.565217391304337E-3</v>
      </c>
      <c r="F53" s="430" t="str">
        <f>IF(OR(E53&gt;=0.3,E53&lt;=-0.3),"超过30%","")</f>
        <v/>
      </c>
      <c r="G53" s="429">
        <f>IF(G46&lt;I46,I46/G46-1,G46/I46-1)</f>
        <v>7.5000000000000178E-2</v>
      </c>
      <c r="H53" s="430" t="str">
        <f>IF(OR(G53&gt;=0.3,G53&lt;=-0.3),"超过30%","")</f>
        <v/>
      </c>
      <c r="I53" s="429">
        <f>IF(I46&lt;E46,E46/I46-1,I46/E46-1)</f>
        <v>6.4814814814814881E-2</v>
      </c>
      <c r="J53" s="430" t="str">
        <f>IF(OR(I53&gt;=0.3,I53&lt;=-0.3),"超过30%","")</f>
        <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4" t="s">
        <v>1812</v>
      </c>
      <c r="H55" s="3254"/>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f>C48</f>
        <v>1</v>
      </c>
      <c r="C56" s="603">
        <v>1</v>
      </c>
      <c r="D56" s="841">
        <v>1</v>
      </c>
      <c r="E56" s="603">
        <f>'数据-汇总表'!E8+'数据-汇总表'!E9</f>
        <v>435</v>
      </c>
      <c r="F56" s="792">
        <f t="shared" ref="F56:F64" si="15">ROUND(B56*E56/10000,0)</f>
        <v>0</v>
      </c>
      <c r="G56" s="3255"/>
      <c r="H56" s="3211"/>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f>ROUND($C$48*C57*D57,0)</f>
        <v>0</v>
      </c>
      <c r="C57" s="162">
        <f t="shared" ref="C57:C64" si="16">IF($C$55="北京市系数",I57,J57)</f>
        <v>0.6</v>
      </c>
      <c r="D57" s="842">
        <v>0.25</v>
      </c>
      <c r="E57" s="607"/>
      <c r="F57" s="792">
        <f t="shared" si="15"/>
        <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f t="shared" ref="B58:B64" si="17">ROUND($C$48*C58*D58,0)</f>
        <v>0</v>
      </c>
      <c r="C58" s="162">
        <f t="shared" si="16"/>
        <v>0.3</v>
      </c>
      <c r="D58" s="842">
        <v>0.25</v>
      </c>
      <c r="E58" s="607"/>
      <c r="F58" s="792">
        <f t="shared" si="15"/>
        <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f t="shared" si="17"/>
        <v>0</v>
      </c>
      <c r="C59" s="162">
        <f t="shared" si="16"/>
        <v>0.25</v>
      </c>
      <c r="D59" s="842">
        <v>0.25</v>
      </c>
      <c r="E59" s="607"/>
      <c r="F59" s="792">
        <f t="shared" si="15"/>
        <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f t="shared" si="17"/>
        <v>0</v>
      </c>
      <c r="C60" s="162">
        <f t="shared" si="16"/>
        <v>0</v>
      </c>
      <c r="D60" s="842">
        <v>0.25</v>
      </c>
      <c r="E60" s="208">
        <f>'数据-汇总表'!E11</f>
        <v>0</v>
      </c>
      <c r="F60" s="792">
        <f t="shared" si="15"/>
        <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f t="shared" si="17"/>
        <v>0</v>
      </c>
      <c r="C61" s="162">
        <f t="shared" si="16"/>
        <v>0</v>
      </c>
      <c r="D61" s="842">
        <v>0.25</v>
      </c>
      <c r="E61" s="208">
        <f>'数据-汇总表'!E12</f>
        <v>0</v>
      </c>
      <c r="F61" s="792">
        <f t="shared" si="15"/>
        <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f t="shared" si="17"/>
        <v>0</v>
      </c>
      <c r="C62" s="162">
        <f t="shared" si="16"/>
        <v>0</v>
      </c>
      <c r="D62" s="842">
        <v>0.25</v>
      </c>
      <c r="E62" s="208">
        <f>'数据-汇总表'!E13</f>
        <v>0</v>
      </c>
      <c r="F62" s="792">
        <f t="shared" si="15"/>
        <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f t="shared" si="17"/>
        <v>0</v>
      </c>
      <c r="C63" s="162">
        <f t="shared" si="16"/>
        <v>0.15</v>
      </c>
      <c r="D63" s="842">
        <v>0.25</v>
      </c>
      <c r="E63" s="208">
        <f>'数据-汇总表'!E14</f>
        <v>0</v>
      </c>
      <c r="F63" s="792">
        <f t="shared" si="15"/>
        <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f t="shared" si="17"/>
        <v>0</v>
      </c>
      <c r="C64" s="162">
        <f t="shared" si="16"/>
        <v>0</v>
      </c>
      <c r="D64" s="842">
        <v>0.25</v>
      </c>
      <c r="E64" s="208">
        <f>'数据-汇总表'!E15</f>
        <v>0</v>
      </c>
      <c r="F64" s="792">
        <f t="shared" si="15"/>
        <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f>IF(B46="楼面地价",SUM(F56:F64),ROUND(C48*E65/10000,0))</f>
        <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2026-3-1</v>
      </c>
      <c r="D67" s="636">
        <f>EDATE(C67,-3)</f>
        <v>45992</v>
      </c>
      <c r="E67" s="636">
        <f>EDATE(D67,-3)</f>
        <v>45901</v>
      </c>
      <c r="F67" s="636">
        <f t="shared" ref="F67:O67" si="18">EDATE(E67,-3)</f>
        <v>45809</v>
      </c>
      <c r="G67" s="636">
        <f t="shared" si="18"/>
        <v>45717</v>
      </c>
      <c r="H67" s="636">
        <f t="shared" si="18"/>
        <v>45627</v>
      </c>
      <c r="I67" s="636">
        <f t="shared" si="18"/>
        <v>45536</v>
      </c>
      <c r="J67" s="636">
        <f t="shared" si="18"/>
        <v>45444</v>
      </c>
      <c r="K67" s="636">
        <f t="shared" si="18"/>
        <v>45352</v>
      </c>
      <c r="L67" s="636">
        <f t="shared" si="18"/>
        <v>45261</v>
      </c>
      <c r="M67" s="636">
        <f t="shared" si="18"/>
        <v>45170</v>
      </c>
      <c r="N67" s="636">
        <f t="shared" si="18"/>
        <v>45078</v>
      </c>
      <c r="O67" s="636">
        <f t="shared" si="18"/>
        <v>44986</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0（含）-1</v>
      </c>
      <c r="D78" s="473" t="str">
        <f t="shared" ref="D78:L78" si="20">D79&amp;"（含）"&amp;"-"&amp;E79</f>
        <v>1（含）-2</v>
      </c>
      <c r="E78" s="473" t="str">
        <f t="shared" si="20"/>
        <v>2（含）-3</v>
      </c>
      <c r="F78" s="473" t="str">
        <f t="shared" si="20"/>
        <v>3（含）-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v>0</v>
      </c>
      <c r="D79" s="475">
        <v>1</v>
      </c>
      <c r="E79" s="475">
        <v>2</v>
      </c>
      <c r="F79" s="475">
        <v>3</v>
      </c>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98</v>
      </c>
      <c r="E88" s="470">
        <f>D88-$K15</f>
        <v>96</v>
      </c>
      <c r="F88" s="470">
        <f>E88-$K15</f>
        <v>94</v>
      </c>
      <c r="G88" s="470">
        <f>F88-$K15</f>
        <v>92</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0(含)-100</v>
      </c>
      <c r="D115" s="456" t="str">
        <f t="shared" ref="D115:M115" si="25">D116&amp;"(含)"&amp;"-"&amp;E116</f>
        <v>100(含)-200</v>
      </c>
      <c r="E115" s="456" t="str">
        <f t="shared" si="25"/>
        <v>200(含)-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v>0</v>
      </c>
      <c r="D116" s="6">
        <v>100</v>
      </c>
      <c r="E116" s="6">
        <v>200</v>
      </c>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v>100</v>
      </c>
      <c r="D117" s="516">
        <v>99</v>
      </c>
      <c r="E117" s="516">
        <v>98</v>
      </c>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62" priority="13" stopIfTrue="1">
      <formula>$F$51="超过30%"</formula>
    </cfRule>
  </conditionalFormatting>
  <conditionalFormatting sqref="E52">
    <cfRule type="expression" dxfId="61" priority="11" stopIfTrue="1">
      <formula>$F$52="超过20%"</formula>
    </cfRule>
  </conditionalFormatting>
  <conditionalFormatting sqref="E53">
    <cfRule type="expression" dxfId="60" priority="10" stopIfTrue="1">
      <formula>$F$53="超过30%"</formula>
    </cfRule>
  </conditionalFormatting>
  <conditionalFormatting sqref="F7:F45 H7:H45 J7:J45">
    <cfRule type="cellIs" dxfId="59" priority="1" operator="notEqual">
      <formula>100</formula>
    </cfRule>
  </conditionalFormatting>
  <conditionalFormatting sqref="F47">
    <cfRule type="expression" dxfId="58" priority="4">
      <formula>$D$47="简单平均"</formula>
    </cfRule>
  </conditionalFormatting>
  <conditionalFormatting sqref="F51:F53 H51:H53 J51:J53">
    <cfRule type="containsText" dxfId="57" priority="14" stopIfTrue="1" operator="containsText" text="超过">
      <formula>NOT(ISERROR(SEARCH("超过",F51)))</formula>
    </cfRule>
  </conditionalFormatting>
  <conditionalFormatting sqref="G51">
    <cfRule type="expression" dxfId="56" priority="9" stopIfTrue="1">
      <formula>$H$53+$H$51="超过30%"</formula>
    </cfRule>
  </conditionalFormatting>
  <conditionalFormatting sqref="G52">
    <cfRule type="expression" dxfId="55" priority="8" stopIfTrue="1">
      <formula>$H$52="超过20%"</formula>
    </cfRule>
  </conditionalFormatting>
  <conditionalFormatting sqref="G53">
    <cfRule type="expression" dxfId="54" priority="12" stopIfTrue="1">
      <formula>$H$53="超过30%"</formula>
    </cfRule>
  </conditionalFormatting>
  <conditionalFormatting sqref="H47">
    <cfRule type="expression" dxfId="53" priority="3">
      <formula>$D$47="简单平均"</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J47">
    <cfRule type="expression" dxfId="4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2026年3月10日（评估专业人员实地查勘之日）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本次估价的“房地产价值”是指在正常市场情况下，在价值时点2026年3月10日，估价对象规划用途为，土地取得方式为划拨，假定未设立法定优先受偿款下的房地产市场价值。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22" t="s">
        <v>1704</v>
      </c>
      <c r="AC4" s="3221" t="s">
        <v>1705</v>
      </c>
    </row>
    <row r="5" spans="1:29" ht="15">
      <c r="A5" s="345"/>
      <c r="B5" s="346"/>
      <c r="C5" s="3242" t="s">
        <v>1654</v>
      </c>
      <c r="D5" s="3243"/>
      <c r="E5" s="3249" t="s">
        <v>1655</v>
      </c>
      <c r="F5" s="3250"/>
      <c r="G5" s="3242" t="s">
        <v>1656</v>
      </c>
      <c r="H5" s="3243"/>
      <c r="I5" s="3242" t="s">
        <v>1657</v>
      </c>
      <c r="J5" s="3243"/>
      <c r="K5" s="530"/>
      <c r="L5" s="2309"/>
      <c r="M5" s="2310"/>
      <c r="N5" s="2310"/>
      <c r="O5" s="2310"/>
      <c r="P5" s="3230"/>
      <c r="Q5" s="3231"/>
      <c r="R5" s="3236"/>
      <c r="S5" s="3237"/>
      <c r="T5" s="3236"/>
      <c r="U5" s="3237"/>
      <c r="V5" s="3212"/>
      <c r="W5" s="3212"/>
      <c r="X5" s="1152"/>
      <c r="Y5" s="3236"/>
      <c r="Z5" s="3237"/>
      <c r="AA5" s="3222"/>
      <c r="AB5" s="3222"/>
      <c r="AC5" s="3222"/>
    </row>
    <row r="6" spans="1:29" ht="15.75" thickBot="1">
      <c r="A6" s="347"/>
      <c r="B6" s="348"/>
      <c r="C6" s="3256" t="s">
        <v>1844</v>
      </c>
      <c r="D6" s="3257"/>
      <c r="E6" s="3258" t="s">
        <v>1844</v>
      </c>
      <c r="F6" s="3259"/>
      <c r="G6" s="3256" t="s">
        <v>1844</v>
      </c>
      <c r="H6" s="3257"/>
      <c r="I6" s="3256" t="s">
        <v>1844</v>
      </c>
      <c r="J6" s="3257"/>
      <c r="K6" s="530" t="s">
        <v>1659</v>
      </c>
      <c r="L6" s="2309"/>
      <c r="M6" s="2310"/>
      <c r="N6" s="2310"/>
      <c r="O6" s="2310"/>
      <c r="P6" s="3232"/>
      <c r="Q6" s="3233"/>
      <c r="R6" s="3236"/>
      <c r="S6" s="3237"/>
      <c r="T6" s="3238"/>
      <c r="U6" s="3239"/>
      <c r="V6" s="3212"/>
      <c r="W6" s="3212"/>
      <c r="X6" s="1152"/>
      <c r="Y6" s="3238"/>
      <c r="Z6" s="3239"/>
      <c r="AA6" s="3223"/>
      <c r="AB6" s="3223"/>
      <c r="AC6" s="3223"/>
    </row>
    <row r="7" spans="1:29" s="101" customFormat="1" ht="15.75" thickBot="1">
      <c r="A7" s="349" t="s">
        <v>1660</v>
      </c>
      <c r="B7" s="350"/>
      <c r="C7" s="351">
        <f>'数据-取费表'!B2</f>
        <v>46091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44" t="s">
        <v>1661</v>
      </c>
      <c r="Q7" s="3246"/>
      <c r="R7" s="644" t="s">
        <v>14</v>
      </c>
      <c r="S7" s="645">
        <f t="shared" ref="S7:S15" si="0">F7</f>
        <v>0</v>
      </c>
      <c r="T7" s="644" t="s">
        <v>14</v>
      </c>
      <c r="U7" s="645">
        <f t="shared" ref="U7:U15" si="1">H7</f>
        <v>0</v>
      </c>
      <c r="V7" s="644" t="s">
        <v>14</v>
      </c>
      <c r="W7" s="645">
        <f t="shared" ref="W7:W15" si="2">J7</f>
        <v>0</v>
      </c>
      <c r="X7" s="646"/>
      <c r="Y7" s="3244" t="s">
        <v>1661</v>
      </c>
      <c r="Z7" s="3245"/>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44" t="s">
        <v>1664</v>
      </c>
      <c r="Q8" s="3245"/>
      <c r="R8" s="644" t="s">
        <v>14</v>
      </c>
      <c r="S8" s="645">
        <f t="shared" si="0"/>
        <v>0</v>
      </c>
      <c r="T8" s="644" t="s">
        <v>14</v>
      </c>
      <c r="U8" s="645">
        <f t="shared" si="1"/>
        <v>0</v>
      </c>
      <c r="V8" s="644" t="s">
        <v>14</v>
      </c>
      <c r="W8" s="645">
        <f t="shared" si="2"/>
        <v>0</v>
      </c>
      <c r="X8" s="646"/>
      <c r="Y8" s="3244" t="s">
        <v>1664</v>
      </c>
      <c r="Z8" s="3245"/>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11"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f>ROUND(100/'数据-取费表'!G16,0)</f>
        <v>100</v>
      </c>
      <c r="G10" s="367"/>
      <c r="H10" s="118">
        <f>ROUND(100/'数据-取费表'!G16,0)</f>
        <v>100</v>
      </c>
      <c r="I10" s="367"/>
      <c r="J10" s="118">
        <f>ROUND(100/'数据-取费表'!G16,0)</f>
        <v>100</v>
      </c>
      <c r="K10" s="585"/>
      <c r="L10" s="2312"/>
      <c r="M10" s="2313"/>
      <c r="N10" s="2313"/>
      <c r="O10" s="2363"/>
      <c r="P10" s="3211"/>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11"/>
      <c r="Q11" s="525" t="str">
        <f t="shared" si="6"/>
        <v>容积率</v>
      </c>
      <c r="R11" s="644" t="s">
        <v>14</v>
      </c>
      <c r="S11" s="645" t="e">
        <f t="shared" si="0"/>
        <v>#N/A</v>
      </c>
      <c r="T11" s="644" t="s">
        <v>14</v>
      </c>
      <c r="U11" s="645" t="e">
        <f t="shared" si="1"/>
        <v>#N/A</v>
      </c>
      <c r="V11" s="644" t="s">
        <v>14</v>
      </c>
      <c r="W11" s="645" t="e">
        <f t="shared" si="2"/>
        <v>#N/A</v>
      </c>
      <c r="X11" s="646"/>
      <c r="Y11" s="3089"/>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11"/>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11"/>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11"/>
      <c r="Q14" s="525">
        <f t="shared" si="6"/>
        <v>111</v>
      </c>
      <c r="R14" s="644" t="s">
        <v>14</v>
      </c>
      <c r="S14" s="645">
        <f t="shared" si="0"/>
        <v>100</v>
      </c>
      <c r="T14" s="644" t="s">
        <v>14</v>
      </c>
      <c r="U14" s="645">
        <f t="shared" si="1"/>
        <v>100</v>
      </c>
      <c r="V14" s="644" t="s">
        <v>14</v>
      </c>
      <c r="W14" s="645">
        <f t="shared" si="2"/>
        <v>100</v>
      </c>
      <c r="X14" s="646"/>
      <c r="Y14" s="3089"/>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16" t="s">
        <v>1672</v>
      </c>
      <c r="Q15" s="1150" t="str">
        <f t="shared" si="6"/>
        <v>产业集聚程度</v>
      </c>
      <c r="R15" s="647" t="s">
        <v>14</v>
      </c>
      <c r="S15" s="648">
        <f t="shared" si="0"/>
        <v>100</v>
      </c>
      <c r="T15" s="647" t="s">
        <v>14</v>
      </c>
      <c r="U15" s="648">
        <f t="shared" si="1"/>
        <v>100</v>
      </c>
      <c r="V15" s="647" t="s">
        <v>14</v>
      </c>
      <c r="W15" s="648">
        <f t="shared" si="2"/>
        <v>100</v>
      </c>
      <c r="X15" s="1152"/>
      <c r="Y15" s="3216"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17"/>
      <c r="Q16" s="1150"/>
      <c r="R16" s="647"/>
      <c r="S16" s="648"/>
      <c r="T16" s="647"/>
      <c r="U16" s="648"/>
      <c r="V16" s="647"/>
      <c r="W16" s="648"/>
      <c r="X16" s="1152"/>
      <c r="Y16" s="3217"/>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17"/>
      <c r="Q17" s="1150" t="str">
        <f>B17</f>
        <v>交通便捷度</v>
      </c>
      <c r="R17" s="647" t="s">
        <v>14</v>
      </c>
      <c r="S17" s="648">
        <f>F17</f>
        <v>100</v>
      </c>
      <c r="T17" s="647" t="s">
        <v>14</v>
      </c>
      <c r="U17" s="648">
        <f>H17</f>
        <v>100</v>
      </c>
      <c r="V17" s="647" t="s">
        <v>14</v>
      </c>
      <c r="W17" s="648">
        <f>J17</f>
        <v>100</v>
      </c>
      <c r="X17" s="1152"/>
      <c r="Y17" s="3217"/>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17"/>
      <c r="Q18" s="1150"/>
      <c r="R18" s="647"/>
      <c r="S18" s="648"/>
      <c r="T18" s="647"/>
      <c r="U18" s="648"/>
      <c r="V18" s="647"/>
      <c r="W18" s="648"/>
      <c r="X18" s="1152"/>
      <c r="Y18" s="3217"/>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17"/>
      <c r="Q19" s="1150" t="str">
        <f t="shared" ref="Q19:Q33" si="8">B19</f>
        <v>区域土地利用方向</v>
      </c>
      <c r="R19" s="647" t="s">
        <v>14</v>
      </c>
      <c r="S19" s="648">
        <f>F19</f>
        <v>100</v>
      </c>
      <c r="T19" s="647" t="s">
        <v>14</v>
      </c>
      <c r="U19" s="648">
        <f>H19</f>
        <v>100</v>
      </c>
      <c r="V19" s="647" t="s">
        <v>14</v>
      </c>
      <c r="W19" s="648">
        <f>J19</f>
        <v>100</v>
      </c>
      <c r="X19" s="1152"/>
      <c r="Y19" s="3217"/>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17"/>
      <c r="Q20" s="1150"/>
      <c r="R20" s="647"/>
      <c r="S20" s="648"/>
      <c r="T20" s="647"/>
      <c r="U20" s="648"/>
      <c r="V20" s="647"/>
      <c r="W20" s="648"/>
      <c r="X20" s="1152"/>
      <c r="Y20" s="3217"/>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17"/>
      <c r="Q21" s="1150" t="str">
        <f t="shared" si="8"/>
        <v>环境状况</v>
      </c>
      <c r="R21" s="647" t="s">
        <v>14</v>
      </c>
      <c r="S21" s="648">
        <f>F21</f>
        <v>100</v>
      </c>
      <c r="T21" s="647" t="s">
        <v>14</v>
      </c>
      <c r="U21" s="648">
        <f>H21</f>
        <v>100</v>
      </c>
      <c r="V21" s="647" t="s">
        <v>14</v>
      </c>
      <c r="W21" s="648">
        <f>J21</f>
        <v>100</v>
      </c>
      <c r="X21" s="1152"/>
      <c r="Y21" s="3217"/>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17"/>
      <c r="Q22" s="1150"/>
      <c r="R22" s="647"/>
      <c r="S22" s="648"/>
      <c r="T22" s="647"/>
      <c r="U22" s="648"/>
      <c r="V22" s="647"/>
      <c r="W22" s="648"/>
      <c r="X22" s="1152"/>
      <c r="Y22" s="3217"/>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17"/>
      <c r="Q23" s="525" t="str">
        <f t="shared" si="8"/>
        <v>公共配套设施</v>
      </c>
      <c r="R23" s="644" t="s">
        <v>14</v>
      </c>
      <c r="S23" s="645">
        <f>F23</f>
        <v>100</v>
      </c>
      <c r="T23" s="644" t="s">
        <v>14</v>
      </c>
      <c r="U23" s="645">
        <f>H23</f>
        <v>100</v>
      </c>
      <c r="V23" s="644" t="s">
        <v>14</v>
      </c>
      <c r="W23" s="645">
        <f>J23</f>
        <v>100</v>
      </c>
      <c r="X23" s="646"/>
      <c r="Y23" s="3217"/>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17"/>
      <c r="Q24" s="525"/>
      <c r="R24" s="644"/>
      <c r="S24" s="645"/>
      <c r="T24" s="644"/>
      <c r="U24" s="645"/>
      <c r="V24" s="644"/>
      <c r="W24" s="645"/>
      <c r="X24" s="646"/>
      <c r="Y24" s="3217"/>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17"/>
      <c r="Q25" s="525" t="str">
        <f t="shared" ref="Q25" si="9">B25</f>
        <v>基础设施水平</v>
      </c>
      <c r="R25" s="644" t="s">
        <v>14</v>
      </c>
      <c r="S25" s="645">
        <f>F25</f>
        <v>100</v>
      </c>
      <c r="T25" s="644" t="s">
        <v>14</v>
      </c>
      <c r="U25" s="645">
        <f>H25</f>
        <v>100</v>
      </c>
      <c r="V25" s="644" t="s">
        <v>14</v>
      </c>
      <c r="W25" s="645">
        <f>J25</f>
        <v>100</v>
      </c>
      <c r="X25" s="646"/>
      <c r="Y25" s="3217"/>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17"/>
      <c r="Q26" s="525"/>
      <c r="R26" s="644"/>
      <c r="S26" s="645"/>
      <c r="T26" s="644"/>
      <c r="U26" s="645"/>
      <c r="V26" s="644"/>
      <c r="W26" s="645"/>
      <c r="X26" s="646"/>
      <c r="Y26" s="3217"/>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17"/>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17"/>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17"/>
      <c r="Q28" s="1150" t="str">
        <f t="shared" si="8"/>
        <v>毗邻道路的类型与等级</v>
      </c>
      <c r="R28" s="647" t="s">
        <v>14</v>
      </c>
      <c r="S28" s="648">
        <f t="shared" si="10"/>
        <v>100</v>
      </c>
      <c r="T28" s="647" t="s">
        <v>14</v>
      </c>
      <c r="U28" s="648">
        <f t="shared" si="11"/>
        <v>100</v>
      </c>
      <c r="V28" s="647" t="s">
        <v>14</v>
      </c>
      <c r="W28" s="648">
        <f t="shared" si="12"/>
        <v>100</v>
      </c>
      <c r="X28" s="1152"/>
      <c r="Y28" s="3217"/>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17"/>
      <c r="Q29" s="1150"/>
      <c r="R29" s="647"/>
      <c r="S29" s="648"/>
      <c r="T29" s="647"/>
      <c r="U29" s="648"/>
      <c r="V29" s="647"/>
      <c r="W29" s="648"/>
      <c r="X29" s="1152"/>
      <c r="Y29" s="3217"/>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17"/>
      <c r="Q30" s="1150" t="str">
        <f t="shared" si="8"/>
        <v>土地级别</v>
      </c>
      <c r="R30" s="647" t="s">
        <v>14</v>
      </c>
      <c r="S30" s="648">
        <f t="shared" si="10"/>
        <v>100</v>
      </c>
      <c r="T30" s="647" t="s">
        <v>14</v>
      </c>
      <c r="U30" s="648">
        <f t="shared" si="11"/>
        <v>100</v>
      </c>
      <c r="V30" s="647" t="s">
        <v>14</v>
      </c>
      <c r="W30" s="648">
        <f t="shared" si="12"/>
        <v>100</v>
      </c>
      <c r="X30" s="1152"/>
      <c r="Y30" s="3217"/>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17"/>
      <c r="Q31" s="1150">
        <f t="shared" si="8"/>
        <v>111</v>
      </c>
      <c r="R31" s="647" t="s">
        <v>14</v>
      </c>
      <c r="S31" s="648">
        <f t="shared" si="10"/>
        <v>100</v>
      </c>
      <c r="T31" s="647" t="s">
        <v>14</v>
      </c>
      <c r="U31" s="648">
        <f t="shared" si="11"/>
        <v>100</v>
      </c>
      <c r="V31" s="647" t="s">
        <v>14</v>
      </c>
      <c r="W31" s="648">
        <f t="shared" si="12"/>
        <v>100</v>
      </c>
      <c r="X31" s="1152"/>
      <c r="Y31" s="3217"/>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18" t="s">
        <v>1674</v>
      </c>
      <c r="Q32" s="1150">
        <f t="shared" si="8"/>
        <v>111</v>
      </c>
      <c r="R32" s="647" t="s">
        <v>14</v>
      </c>
      <c r="S32" s="648">
        <f t="shared" si="10"/>
        <v>100</v>
      </c>
      <c r="T32" s="647" t="s">
        <v>14</v>
      </c>
      <c r="U32" s="648">
        <f t="shared" si="11"/>
        <v>100</v>
      </c>
      <c r="V32" s="647" t="s">
        <v>14</v>
      </c>
      <c r="W32" s="648">
        <f t="shared" si="12"/>
        <v>100</v>
      </c>
      <c r="X32" s="1152"/>
      <c r="Y32" s="3219"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19"/>
      <c r="Q33" s="1150">
        <f t="shared" si="8"/>
        <v>111</v>
      </c>
      <c r="R33" s="649" t="s">
        <v>14</v>
      </c>
      <c r="S33" s="650">
        <f t="shared" si="10"/>
        <v>100</v>
      </c>
      <c r="T33" s="649" t="s">
        <v>14</v>
      </c>
      <c r="U33" s="650">
        <f t="shared" si="11"/>
        <v>100</v>
      </c>
      <c r="V33" s="649" t="s">
        <v>14</v>
      </c>
      <c r="W33" s="650">
        <f t="shared" si="12"/>
        <v>100</v>
      </c>
      <c r="X33" s="651"/>
      <c r="Y33" s="3219"/>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19"/>
      <c r="Q34" s="1150" t="str">
        <f>B34</f>
        <v>宗地面积</v>
      </c>
      <c r="R34" s="647" t="s">
        <v>14</v>
      </c>
      <c r="S34" s="648" t="e">
        <f t="shared" si="10"/>
        <v>#N/A</v>
      </c>
      <c r="T34" s="647" t="s">
        <v>14</v>
      </c>
      <c r="U34" s="648" t="e">
        <f t="shared" si="11"/>
        <v>#N/A</v>
      </c>
      <c r="V34" s="647" t="s">
        <v>14</v>
      </c>
      <c r="W34" s="648" t="e">
        <f t="shared" si="12"/>
        <v>#N/A</v>
      </c>
      <c r="X34" s="1152"/>
      <c r="Y34" s="3219"/>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19"/>
      <c r="Q35" s="1150" t="str">
        <f t="shared" ref="Q35:Q40" si="14">B35</f>
        <v>宗地形状</v>
      </c>
      <c r="R35" s="647" t="s">
        <v>14</v>
      </c>
      <c r="S35" s="648">
        <f t="shared" si="10"/>
        <v>100</v>
      </c>
      <c r="T35" s="647" t="s">
        <v>14</v>
      </c>
      <c r="U35" s="648">
        <f t="shared" si="11"/>
        <v>100</v>
      </c>
      <c r="V35" s="647" t="s">
        <v>14</v>
      </c>
      <c r="W35" s="648">
        <f t="shared" si="12"/>
        <v>100</v>
      </c>
      <c r="X35" s="1152"/>
      <c r="Y35" s="3219"/>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19"/>
      <c r="Q36" s="1150" t="str">
        <f t="shared" si="14"/>
        <v>宗地开发程度</v>
      </c>
      <c r="R36" s="644" t="s">
        <v>14</v>
      </c>
      <c r="S36" s="645">
        <f t="shared" si="10"/>
        <v>100</v>
      </c>
      <c r="T36" s="644" t="s">
        <v>14</v>
      </c>
      <c r="U36" s="645">
        <f t="shared" si="11"/>
        <v>100</v>
      </c>
      <c r="V36" s="644" t="s">
        <v>14</v>
      </c>
      <c r="W36" s="645">
        <f t="shared" si="12"/>
        <v>100</v>
      </c>
      <c r="X36" s="646"/>
      <c r="Y36" s="3219"/>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19" t="s">
        <v>1674</v>
      </c>
      <c r="Q37" s="1150" t="str">
        <f t="shared" si="14"/>
        <v>工程地质条件</v>
      </c>
      <c r="R37" s="647" t="s">
        <v>14</v>
      </c>
      <c r="S37" s="648">
        <f t="shared" si="10"/>
        <v>100</v>
      </c>
      <c r="T37" s="647" t="s">
        <v>14</v>
      </c>
      <c r="U37" s="648">
        <f t="shared" si="11"/>
        <v>100</v>
      </c>
      <c r="V37" s="647" t="s">
        <v>14</v>
      </c>
      <c r="W37" s="648">
        <f t="shared" si="12"/>
        <v>100</v>
      </c>
      <c r="X37" s="1152"/>
      <c r="Y37" s="3219"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19"/>
      <c r="Q38" s="1150">
        <f t="shared" si="14"/>
        <v>111</v>
      </c>
      <c r="R38" s="647" t="s">
        <v>14</v>
      </c>
      <c r="S38" s="648">
        <f t="shared" si="10"/>
        <v>100</v>
      </c>
      <c r="T38" s="647" t="s">
        <v>14</v>
      </c>
      <c r="U38" s="648">
        <f t="shared" si="11"/>
        <v>100</v>
      </c>
      <c r="V38" s="647" t="s">
        <v>14</v>
      </c>
      <c r="W38" s="648">
        <f t="shared" si="12"/>
        <v>100</v>
      </c>
      <c r="X38" s="1152"/>
      <c r="Y38" s="3219"/>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19"/>
      <c r="Q39" s="1150">
        <f t="shared" si="14"/>
        <v>111</v>
      </c>
      <c r="R39" s="647" t="s">
        <v>14</v>
      </c>
      <c r="S39" s="648">
        <f t="shared" si="10"/>
        <v>100</v>
      </c>
      <c r="T39" s="647" t="s">
        <v>14</v>
      </c>
      <c r="U39" s="648">
        <f t="shared" si="11"/>
        <v>100</v>
      </c>
      <c r="V39" s="647" t="s">
        <v>14</v>
      </c>
      <c r="W39" s="648">
        <f t="shared" si="12"/>
        <v>100</v>
      </c>
      <c r="X39" s="1152"/>
      <c r="Y39" s="3219"/>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19"/>
      <c r="Q40" s="1150">
        <f t="shared" si="14"/>
        <v>111</v>
      </c>
      <c r="R40" s="649" t="s">
        <v>14</v>
      </c>
      <c r="S40" s="650">
        <f t="shared" si="10"/>
        <v>100</v>
      </c>
      <c r="T40" s="649" t="s">
        <v>14</v>
      </c>
      <c r="U40" s="650">
        <f t="shared" si="11"/>
        <v>100</v>
      </c>
      <c r="V40" s="649" t="s">
        <v>14</v>
      </c>
      <c r="W40" s="650">
        <f t="shared" si="12"/>
        <v>100</v>
      </c>
      <c r="X40" s="651"/>
      <c r="Y40" s="3219"/>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11" t="str">
        <f>A41</f>
        <v>成交单价</v>
      </c>
      <c r="Q41" s="3211"/>
      <c r="R41" s="3212">
        <f>E41</f>
        <v>0</v>
      </c>
      <c r="S41" s="3212"/>
      <c r="T41" s="3212">
        <f>G41</f>
        <v>0</v>
      </c>
      <c r="U41" s="3212"/>
      <c r="V41" s="3212">
        <f>I41</f>
        <v>0</v>
      </c>
      <c r="W41" s="3212"/>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11" t="str">
        <f>A42</f>
        <v>比较价值（元/平方米）</v>
      </c>
      <c r="Q42" s="3211"/>
      <c r="R42" s="3252" t="e">
        <f>ROUND(PRODUCT(R41,AA7:AA40),0)</f>
        <v>#DIV/0!</v>
      </c>
      <c r="S42" s="3252"/>
      <c r="T42" s="3252" t="e">
        <f>ROUND(PRODUCT(T41,AB7:AB40),0)</f>
        <v>#DIV/0!</v>
      </c>
      <c r="U42" s="3252"/>
      <c r="V42" s="3252" t="e">
        <f>ROUND(PRODUCT(V41,AC7:AC40),0)</f>
        <v>#DIV/0!</v>
      </c>
      <c r="W42" s="3252"/>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13" t="str">
        <f>A43</f>
        <v>估价对象XX用房的比较价值（楼面单价，元/平方米）</v>
      </c>
      <c r="Q43" s="3214"/>
      <c r="R43" s="3253" t="e">
        <f>ROUND(IF(D42="简单平均",AVERAGE(R42:W42),R42*F42+T42*H42+V42*J42),0)</f>
        <v>#DIV/0!</v>
      </c>
      <c r="S43" s="3253"/>
      <c r="T43" s="3253"/>
      <c r="U43" s="3253"/>
      <c r="V43" s="3253"/>
      <c r="W43" s="3253"/>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4" t="s">
        <v>1812</v>
      </c>
      <c r="H50" s="3254"/>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5"/>
      <c r="H51" s="3211"/>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2026-3-1</v>
      </c>
      <c r="D63" s="636">
        <f>EDATE(C63,-3)</f>
        <v>45992</v>
      </c>
      <c r="E63" s="636">
        <f>EDATE(D63,-3)</f>
        <v>45901</v>
      </c>
      <c r="F63" s="636">
        <f t="shared" ref="F63:O63" si="18">EDATE(E63,-3)</f>
        <v>45809</v>
      </c>
      <c r="G63" s="636">
        <f t="shared" si="18"/>
        <v>45717</v>
      </c>
      <c r="H63" s="636">
        <f t="shared" si="18"/>
        <v>45627</v>
      </c>
      <c r="I63" s="636">
        <f t="shared" si="18"/>
        <v>45536</v>
      </c>
      <c r="J63" s="636">
        <f t="shared" si="18"/>
        <v>45444</v>
      </c>
      <c r="K63" s="636">
        <f t="shared" si="18"/>
        <v>45352</v>
      </c>
      <c r="L63" s="636">
        <f t="shared" si="18"/>
        <v>45261</v>
      </c>
      <c r="M63" s="636">
        <f t="shared" si="18"/>
        <v>45170</v>
      </c>
      <c r="N63" s="636">
        <f t="shared" si="18"/>
        <v>45078</v>
      </c>
      <c r="O63" s="636">
        <f t="shared" si="18"/>
        <v>44986</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8" priority="13" stopIfTrue="1">
      <formula>$F$46="超过30%"</formula>
    </cfRule>
  </conditionalFormatting>
  <conditionalFormatting sqref="E47">
    <cfRule type="expression" dxfId="47" priority="53" stopIfTrue="1">
      <formula>#REF!+$F$47="超过20%"</formula>
    </cfRule>
  </conditionalFormatting>
  <conditionalFormatting sqref="E48">
    <cfRule type="expression" dxfId="46" priority="10"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J46:J48">
    <cfRule type="containsText" dxfId="43" priority="14" stopIfTrue="1" operator="containsText" text="超过">
      <formula>NOT(ISERROR(SEARCH("超过",F46)))</formula>
    </cfRule>
  </conditionalFormatting>
  <conditionalFormatting sqref="G46">
    <cfRule type="expression" dxfId="42" priority="9" stopIfTrue="1">
      <formula>$H$46="超过30%"</formula>
    </cfRule>
  </conditionalFormatting>
  <conditionalFormatting sqref="G47">
    <cfRule type="expression" dxfId="41" priority="8" stopIfTrue="1">
      <formula>$H$47="超过20%"</formula>
    </cfRule>
  </conditionalFormatting>
  <conditionalFormatting sqref="G48">
    <cfRule type="expression" dxfId="40" priority="12"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view="pageBreakPreview" topLeftCell="A16" zoomScale="130" zoomScaleNormal="70" zoomScaleSheetLayoutView="130" workbookViewId="0">
      <selection activeCell="J51" sqref="J51"/>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4" t="s">
        <v>1702</v>
      </c>
      <c r="D4" s="3225"/>
      <c r="E4" s="3226" t="s">
        <v>1703</v>
      </c>
      <c r="F4" s="3227"/>
      <c r="G4" s="3224" t="s">
        <v>1704</v>
      </c>
      <c r="H4" s="3225"/>
      <c r="I4" s="3224" t="s">
        <v>1705</v>
      </c>
      <c r="J4" s="3225"/>
      <c r="K4" s="530" t="s">
        <v>1706</v>
      </c>
      <c r="L4" s="2309"/>
      <c r="M4" s="2310"/>
      <c r="N4" s="2310"/>
      <c r="O4" s="2310"/>
      <c r="P4" s="3228" t="s">
        <v>1707</v>
      </c>
      <c r="Q4" s="3229"/>
      <c r="R4" s="3234" t="s">
        <v>1703</v>
      </c>
      <c r="S4" s="3235"/>
      <c r="T4" s="3234" t="s">
        <v>1704</v>
      </c>
      <c r="U4" s="3235"/>
      <c r="V4" s="3212" t="s">
        <v>1705</v>
      </c>
      <c r="W4" s="3212"/>
      <c r="X4" s="1152"/>
      <c r="Y4" s="3234" t="s">
        <v>1707</v>
      </c>
      <c r="Z4" s="3235"/>
      <c r="AA4" s="3221" t="s">
        <v>1703</v>
      </c>
      <c r="AB4" s="3212" t="s">
        <v>1704</v>
      </c>
      <c r="AC4" s="3221" t="s">
        <v>1705</v>
      </c>
    </row>
    <row r="5" spans="1:29" ht="15">
      <c r="A5" s="345"/>
      <c r="B5" s="346"/>
      <c r="C5" s="3242" t="s">
        <v>1654</v>
      </c>
      <c r="D5" s="3243"/>
      <c r="E5" s="3249" t="e">
        <f>#REF!</f>
        <v>#REF!</v>
      </c>
      <c r="F5" s="3250"/>
      <c r="G5" s="3242" t="e">
        <f>#REF!</f>
        <v>#REF!</v>
      </c>
      <c r="H5" s="3243"/>
      <c r="I5" s="3242" t="e">
        <f>#REF!</f>
        <v>#REF!</v>
      </c>
      <c r="J5" s="3243"/>
      <c r="K5" s="530"/>
      <c r="L5" s="2309"/>
      <c r="M5" s="2310"/>
      <c r="N5" s="2310"/>
      <c r="O5" s="2310"/>
      <c r="P5" s="3230"/>
      <c r="Q5" s="3231"/>
      <c r="R5" s="3236"/>
      <c r="S5" s="3237"/>
      <c r="T5" s="3236"/>
      <c r="U5" s="3237"/>
      <c r="V5" s="3212"/>
      <c r="W5" s="3212"/>
      <c r="X5" s="1152"/>
      <c r="Y5" s="3236"/>
      <c r="Z5" s="3237"/>
      <c r="AA5" s="3222"/>
      <c r="AB5" s="3212"/>
      <c r="AC5" s="3222"/>
    </row>
    <row r="6" spans="1:29" ht="15.75" thickBot="1">
      <c r="A6" s="347"/>
      <c r="B6" s="348"/>
      <c r="C6" s="3240" t="s">
        <v>1658</v>
      </c>
      <c r="D6" s="3241"/>
      <c r="E6" s="3247" t="s">
        <v>1658</v>
      </c>
      <c r="F6" s="3248"/>
      <c r="G6" s="3240" t="s">
        <v>1658</v>
      </c>
      <c r="H6" s="3241"/>
      <c r="I6" s="3240" t="s">
        <v>1658</v>
      </c>
      <c r="J6" s="3241"/>
      <c r="K6" s="530" t="s">
        <v>1659</v>
      </c>
      <c r="L6" s="2309"/>
      <c r="M6" s="2310"/>
      <c r="N6" s="2310"/>
      <c r="O6" s="2310"/>
      <c r="P6" s="3232"/>
      <c r="Q6" s="3233"/>
      <c r="R6" s="3236"/>
      <c r="S6" s="3237"/>
      <c r="T6" s="3238"/>
      <c r="U6" s="3239"/>
      <c r="V6" s="3212"/>
      <c r="W6" s="3212"/>
      <c r="X6" s="1152"/>
      <c r="Y6" s="3238"/>
      <c r="Z6" s="3239"/>
      <c r="AA6" s="3223"/>
      <c r="AB6" s="3212"/>
      <c r="AC6" s="3223"/>
    </row>
    <row r="7" spans="1:29" s="101" customFormat="1" ht="15.75" thickBot="1">
      <c r="A7" s="349" t="s">
        <v>1660</v>
      </c>
      <c r="B7" s="350"/>
      <c r="C7" s="351">
        <f>'数据-取费表'!B2</f>
        <v>46091</v>
      </c>
      <c r="D7" s="352">
        <v>100</v>
      </c>
      <c r="E7" s="353">
        <v>46082</v>
      </c>
      <c r="F7" s="354">
        <f>SUMIF(58:58,YEAR(E7)&amp;"-"&amp;MONTH(E7),59:59)</f>
        <v>100</v>
      </c>
      <c r="G7" s="353">
        <v>46082</v>
      </c>
      <c r="H7" s="352">
        <f>SUMIF(58:58,YEAR(G7)&amp;"-"&amp;MONTH(G7),59:59)</f>
        <v>100</v>
      </c>
      <c r="I7" s="353">
        <v>46082</v>
      </c>
      <c r="J7" s="352">
        <f>SUMIF(58:58,YEAR(I7)&amp;"-"&amp;MONTH(I7),59:59)</f>
        <v>100</v>
      </c>
      <c r="K7" s="38"/>
      <c r="L7" s="2311"/>
      <c r="M7" s="2264"/>
      <c r="N7" s="2264"/>
      <c r="O7" s="2264"/>
      <c r="P7" s="3244" t="s">
        <v>1661</v>
      </c>
      <c r="Q7" s="3246"/>
      <c r="R7" s="644" t="s">
        <v>14</v>
      </c>
      <c r="S7" s="645">
        <f t="shared" ref="S7:S15" si="0">F7</f>
        <v>100</v>
      </c>
      <c r="T7" s="644" t="s">
        <v>14</v>
      </c>
      <c r="U7" s="645">
        <f t="shared" ref="U7:U15" si="1">H7</f>
        <v>100</v>
      </c>
      <c r="V7" s="644" t="s">
        <v>14</v>
      </c>
      <c r="W7" s="645">
        <f t="shared" ref="W7:W15" si="2">J7</f>
        <v>100</v>
      </c>
      <c r="X7" s="646"/>
      <c r="Y7" s="3244" t="s">
        <v>1661</v>
      </c>
      <c r="Z7" s="3245"/>
      <c r="AA7" s="50">
        <f>D7/F7</f>
        <v>1</v>
      </c>
      <c r="AB7" s="50">
        <f>D7/H7</f>
        <v>1</v>
      </c>
      <c r="AC7" s="50">
        <f>D7/J7</f>
        <v>1</v>
      </c>
    </row>
    <row r="8" spans="1:29" s="101" customFormat="1" ht="15.75" thickBot="1">
      <c r="A8" s="349" t="s">
        <v>1662</v>
      </c>
      <c r="B8" s="350"/>
      <c r="C8" s="355" t="s">
        <v>3324</v>
      </c>
      <c r="D8" s="352">
        <v>100</v>
      </c>
      <c r="E8" s="355" t="s">
        <v>3325</v>
      </c>
      <c r="F8" s="354">
        <f>SUMIF(61:61,E8,62:62)-SUMIF(61:61,C8,62:62)+100</f>
        <v>110</v>
      </c>
      <c r="G8" s="355" t="s">
        <v>3325</v>
      </c>
      <c r="H8" s="352">
        <f>SUMIF(61:61,G8,62:62)-SUMIF(61:61,C8,62:62)+100</f>
        <v>110</v>
      </c>
      <c r="I8" s="355" t="s">
        <v>3325</v>
      </c>
      <c r="J8" s="352">
        <f>SUMIF(61:61,I8,62:62)-SUMIF(61:61,C8,62:62)+100</f>
        <v>110</v>
      </c>
      <c r="K8" s="38"/>
      <c r="L8" s="2311"/>
      <c r="M8" s="2264"/>
      <c r="N8" s="2264"/>
      <c r="O8" s="2264"/>
      <c r="P8" s="3244" t="s">
        <v>1664</v>
      </c>
      <c r="Q8" s="3245"/>
      <c r="R8" s="644" t="s">
        <v>14</v>
      </c>
      <c r="S8" s="645">
        <f t="shared" si="0"/>
        <v>110</v>
      </c>
      <c r="T8" s="644" t="s">
        <v>14</v>
      </c>
      <c r="U8" s="645">
        <f t="shared" si="1"/>
        <v>110</v>
      </c>
      <c r="V8" s="644" t="s">
        <v>14</v>
      </c>
      <c r="W8" s="645">
        <f t="shared" si="2"/>
        <v>110</v>
      </c>
      <c r="X8" s="646"/>
      <c r="Y8" s="3244" t="s">
        <v>1664</v>
      </c>
      <c r="Z8" s="3245"/>
      <c r="AA8" s="50">
        <f t="shared" ref="AA8:AA46" si="3">D8/F8</f>
        <v>0.90909090909090906</v>
      </c>
      <c r="AB8" s="50">
        <f t="shared" ref="AB8:AB46" si="4">D8/H8</f>
        <v>0.90909090909090906</v>
      </c>
      <c r="AC8" s="50">
        <f t="shared" ref="AC8:AC46" si="5">D8/J8</f>
        <v>0.90909090909090906</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5" t="s">
        <v>1667</v>
      </c>
      <c r="Q9" s="525" t="str">
        <f t="shared" ref="Q9:Q15" si="6">B9</f>
        <v>用途</v>
      </c>
      <c r="R9" s="644" t="s">
        <v>14</v>
      </c>
      <c r="S9" s="645">
        <f t="shared" si="0"/>
        <v>100</v>
      </c>
      <c r="T9" s="644" t="s">
        <v>14</v>
      </c>
      <c r="U9" s="645">
        <f t="shared" si="1"/>
        <v>100</v>
      </c>
      <c r="V9" s="644" t="s">
        <v>14</v>
      </c>
      <c r="W9" s="645">
        <f t="shared" si="2"/>
        <v>100</v>
      </c>
      <c r="X9" s="646"/>
      <c r="Y9" s="3089"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5"/>
      <c r="Q10" s="525" t="str">
        <f t="shared" si="6"/>
        <v>土地使用年限（年）</v>
      </c>
      <c r="R10" s="644" t="s">
        <v>14</v>
      </c>
      <c r="S10" s="645">
        <f t="shared" si="0"/>
        <v>100</v>
      </c>
      <c r="T10" s="644" t="s">
        <v>14</v>
      </c>
      <c r="U10" s="645">
        <f t="shared" si="1"/>
        <v>100</v>
      </c>
      <c r="V10" s="644" t="s">
        <v>14</v>
      </c>
      <c r="W10" s="645">
        <f t="shared" si="2"/>
        <v>100</v>
      </c>
      <c r="X10" s="646"/>
      <c r="Y10" s="3089"/>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5"/>
      <c r="Q11" s="525" t="str">
        <f t="shared" si="6"/>
        <v>容积率</v>
      </c>
      <c r="R11" s="644" t="s">
        <v>14</v>
      </c>
      <c r="S11" s="645">
        <f t="shared" si="0"/>
        <v>100</v>
      </c>
      <c r="T11" s="644" t="s">
        <v>14</v>
      </c>
      <c r="U11" s="645">
        <f t="shared" si="1"/>
        <v>100</v>
      </c>
      <c r="V11" s="644" t="s">
        <v>14</v>
      </c>
      <c r="W11" s="645">
        <f t="shared" si="2"/>
        <v>100</v>
      </c>
      <c r="X11" s="646"/>
      <c r="Y11" s="3089"/>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5"/>
      <c r="Q12" s="525">
        <f t="shared" si="6"/>
        <v>111</v>
      </c>
      <c r="R12" s="644" t="s">
        <v>14</v>
      </c>
      <c r="S12" s="645">
        <f t="shared" si="0"/>
        <v>100</v>
      </c>
      <c r="T12" s="644" t="s">
        <v>14</v>
      </c>
      <c r="U12" s="645">
        <f t="shared" si="1"/>
        <v>100</v>
      </c>
      <c r="V12" s="644" t="s">
        <v>14</v>
      </c>
      <c r="W12" s="645">
        <f t="shared" si="2"/>
        <v>100</v>
      </c>
      <c r="X12" s="646"/>
      <c r="Y12" s="3089"/>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5"/>
      <c r="Q13" s="525">
        <f t="shared" si="6"/>
        <v>111</v>
      </c>
      <c r="R13" s="644" t="s">
        <v>14</v>
      </c>
      <c r="S13" s="645">
        <f t="shared" si="0"/>
        <v>100</v>
      </c>
      <c r="T13" s="644" t="s">
        <v>14</v>
      </c>
      <c r="U13" s="645">
        <f t="shared" si="1"/>
        <v>100</v>
      </c>
      <c r="V13" s="644" t="s">
        <v>14</v>
      </c>
      <c r="W13" s="645">
        <f t="shared" si="2"/>
        <v>100</v>
      </c>
      <c r="X13" s="646"/>
      <c r="Y13" s="3089"/>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5"/>
      <c r="Q14" s="525">
        <f t="shared" si="6"/>
        <v>111</v>
      </c>
      <c r="R14" s="644" t="s">
        <v>14</v>
      </c>
      <c r="S14" s="645">
        <f t="shared" si="0"/>
        <v>100</v>
      </c>
      <c r="T14" s="644" t="s">
        <v>14</v>
      </c>
      <c r="U14" s="645">
        <f t="shared" si="1"/>
        <v>100</v>
      </c>
      <c r="V14" s="644" t="s">
        <v>14</v>
      </c>
      <c r="W14" s="645">
        <f t="shared" si="2"/>
        <v>100</v>
      </c>
      <c r="X14" s="646"/>
      <c r="Y14" s="3089"/>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v>0</v>
      </c>
      <c r="L15" s="2315"/>
      <c r="M15" s="2310"/>
      <c r="N15" s="2310"/>
      <c r="O15" s="2310"/>
      <c r="P15" s="3260" t="s">
        <v>1672</v>
      </c>
      <c r="Q15" s="1150" t="str">
        <f t="shared" si="6"/>
        <v>商业繁华度</v>
      </c>
      <c r="R15" s="647" t="s">
        <v>14</v>
      </c>
      <c r="S15" s="648">
        <f t="shared" si="0"/>
        <v>100</v>
      </c>
      <c r="T15" s="647" t="s">
        <v>14</v>
      </c>
      <c r="U15" s="648">
        <f t="shared" si="1"/>
        <v>100</v>
      </c>
      <c r="V15" s="647" t="s">
        <v>14</v>
      </c>
      <c r="W15" s="648">
        <f t="shared" si="2"/>
        <v>100</v>
      </c>
      <c r="X15" s="1152"/>
      <c r="Y15" s="3216" t="s">
        <v>1672</v>
      </c>
      <c r="Z15" s="1151" t="str">
        <f t="shared" si="7"/>
        <v>商业繁华度</v>
      </c>
      <c r="AA15" s="1151">
        <f t="shared" si="3"/>
        <v>1</v>
      </c>
      <c r="AB15" s="1151">
        <f t="shared" si="4"/>
        <v>1</v>
      </c>
      <c r="AC15" s="1151">
        <f t="shared" si="5"/>
        <v>1</v>
      </c>
    </row>
    <row r="16" spans="1:29" ht="15">
      <c r="A16" s="363"/>
      <c r="B16" s="380"/>
      <c r="C16" s="381" t="s">
        <v>3327</v>
      </c>
      <c r="D16" s="382"/>
      <c r="E16" s="381" t="s">
        <v>3328</v>
      </c>
      <c r="F16" s="383"/>
      <c r="G16" s="381" t="s">
        <v>3328</v>
      </c>
      <c r="H16" s="384"/>
      <c r="I16" s="381" t="s">
        <v>3328</v>
      </c>
      <c r="J16" s="382"/>
      <c r="K16" s="534"/>
      <c r="L16" s="2315"/>
      <c r="M16" s="2310"/>
      <c r="N16" s="2310"/>
      <c r="O16" s="2310"/>
      <c r="P16" s="3261"/>
      <c r="Q16" s="1150"/>
      <c r="R16" s="647"/>
      <c r="S16" s="648"/>
      <c r="T16" s="647"/>
      <c r="U16" s="648"/>
      <c r="V16" s="647"/>
      <c r="W16" s="648"/>
      <c r="X16" s="1152"/>
      <c r="Y16" s="3217"/>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61"/>
      <c r="Q17" s="1150" t="str">
        <f>B17</f>
        <v>交通便捷度</v>
      </c>
      <c r="R17" s="647" t="s">
        <v>14</v>
      </c>
      <c r="S17" s="648">
        <f>F17</f>
        <v>100</v>
      </c>
      <c r="T17" s="647" t="s">
        <v>14</v>
      </c>
      <c r="U17" s="648">
        <f>H17</f>
        <v>100</v>
      </c>
      <c r="V17" s="647" t="s">
        <v>14</v>
      </c>
      <c r="W17" s="648">
        <f>J17</f>
        <v>100</v>
      </c>
      <c r="X17" s="1152"/>
      <c r="Y17" s="3217"/>
      <c r="Z17" s="1151" t="str">
        <f>Q17</f>
        <v>交通便捷度</v>
      </c>
      <c r="AA17" s="1151">
        <f t="shared" si="3"/>
        <v>1</v>
      </c>
      <c r="AB17" s="1151">
        <f t="shared" si="4"/>
        <v>1</v>
      </c>
      <c r="AC17" s="1151">
        <f t="shared" si="5"/>
        <v>1</v>
      </c>
    </row>
    <row r="18" spans="1:29" ht="15">
      <c r="A18" s="363"/>
      <c r="B18" s="390"/>
      <c r="C18" s="1631" t="s">
        <v>3328</v>
      </c>
      <c r="D18" s="384"/>
      <c r="E18" s="1632" t="s">
        <v>3328</v>
      </c>
      <c r="F18" s="387"/>
      <c r="G18" s="1632" t="s">
        <v>3328</v>
      </c>
      <c r="H18" s="382"/>
      <c r="I18" s="1633" t="s">
        <v>3328</v>
      </c>
      <c r="J18" s="382"/>
      <c r="K18" s="534"/>
      <c r="L18" s="2315"/>
      <c r="M18" s="2310"/>
      <c r="N18" s="2310"/>
      <c r="O18" s="2310"/>
      <c r="P18" s="3261"/>
      <c r="Q18" s="1150"/>
      <c r="R18" s="647"/>
      <c r="S18" s="648"/>
      <c r="T18" s="647"/>
      <c r="U18" s="648"/>
      <c r="V18" s="647"/>
      <c r="W18" s="648"/>
      <c r="X18" s="1152"/>
      <c r="Y18" s="3217"/>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1"/>
      <c r="Q19" s="1150" t="str">
        <f>B19</f>
        <v>公共配套设施</v>
      </c>
      <c r="R19" s="647" t="s">
        <v>14</v>
      </c>
      <c r="S19" s="648">
        <f>F19</f>
        <v>100</v>
      </c>
      <c r="T19" s="647" t="s">
        <v>14</v>
      </c>
      <c r="U19" s="648">
        <f>H19</f>
        <v>100</v>
      </c>
      <c r="V19" s="647" t="s">
        <v>14</v>
      </c>
      <c r="W19" s="648">
        <f>J19</f>
        <v>100</v>
      </c>
      <c r="X19" s="1152"/>
      <c r="Y19" s="3217"/>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1"/>
      <c r="Q20" s="1150"/>
      <c r="R20" s="647"/>
      <c r="S20" s="648"/>
      <c r="T20" s="647"/>
      <c r="U20" s="648"/>
      <c r="V20" s="647"/>
      <c r="W20" s="648"/>
      <c r="X20" s="1152"/>
      <c r="Y20" s="3217"/>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1"/>
      <c r="Q21" s="1150" t="str">
        <f>B21</f>
        <v>基础设施水平</v>
      </c>
      <c r="R21" s="647" t="s">
        <v>14</v>
      </c>
      <c r="S21" s="648">
        <f>F21</f>
        <v>100</v>
      </c>
      <c r="T21" s="647" t="s">
        <v>14</v>
      </c>
      <c r="U21" s="648">
        <f>H21</f>
        <v>100</v>
      </c>
      <c r="V21" s="647" t="s">
        <v>14</v>
      </c>
      <c r="W21" s="648">
        <f>J21</f>
        <v>100</v>
      </c>
      <c r="X21" s="1152"/>
      <c r="Y21" s="3217"/>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61"/>
      <c r="Q22" s="1150"/>
      <c r="R22" s="647"/>
      <c r="S22" s="648"/>
      <c r="T22" s="647"/>
      <c r="U22" s="648"/>
      <c r="V22" s="647"/>
      <c r="W22" s="648"/>
      <c r="X22" s="1152"/>
      <c r="Y22" s="3217"/>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1"/>
      <c r="Q23" s="1150" t="str">
        <f>B23</f>
        <v>自然及人文环境</v>
      </c>
      <c r="R23" s="647" t="s">
        <v>14</v>
      </c>
      <c r="S23" s="648">
        <f>F23</f>
        <v>100</v>
      </c>
      <c r="T23" s="647" t="s">
        <v>14</v>
      </c>
      <c r="U23" s="648">
        <f>H23</f>
        <v>100</v>
      </c>
      <c r="V23" s="647" t="s">
        <v>14</v>
      </c>
      <c r="W23" s="648">
        <f>J23</f>
        <v>100</v>
      </c>
      <c r="X23" s="1152"/>
      <c r="Y23" s="3217"/>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61"/>
      <c r="Q24" s="1150"/>
      <c r="R24" s="647"/>
      <c r="S24" s="648"/>
      <c r="T24" s="647"/>
      <c r="U24" s="648"/>
      <c r="V24" s="647"/>
      <c r="W24" s="648"/>
      <c r="X24" s="1152"/>
      <c r="Y24" s="3217"/>
      <c r="Z24" s="1151"/>
      <c r="AA24" s="1151">
        <v>1</v>
      </c>
      <c r="AB24" s="1151">
        <v>1</v>
      </c>
      <c r="AC24" s="1151">
        <v>1</v>
      </c>
    </row>
    <row r="25" spans="1:29" ht="15">
      <c r="A25" s="363"/>
      <c r="B25" s="361" t="s">
        <v>1712</v>
      </c>
      <c r="C25" s="535" t="s">
        <v>3340</v>
      </c>
      <c r="D25" s="370">
        <v>100</v>
      </c>
      <c r="E25" s="535" t="s">
        <v>3340</v>
      </c>
      <c r="F25" s="395">
        <f>SUMIF(86:86,E25,87:87)-SUMIF(86:86,C25,87:87)+100</f>
        <v>100</v>
      </c>
      <c r="G25" s="535" t="s">
        <v>3340</v>
      </c>
      <c r="H25" s="370">
        <f>SUMIF(86:86,G25,87:87)-SUMIF(86:86,C25,87:87)+100</f>
        <v>100</v>
      </c>
      <c r="I25" s="535" t="s">
        <v>3340</v>
      </c>
      <c r="J25" s="370">
        <f>SUMIF(86:86,I25,87:87)-SUMIF(86:86,C25,87:87)+100</f>
        <v>100</v>
      </c>
      <c r="K25" s="531">
        <v>1</v>
      </c>
      <c r="L25" s="2315"/>
      <c r="M25" s="2310"/>
      <c r="N25" s="2310"/>
      <c r="O25" s="2310"/>
      <c r="P25" s="3261"/>
      <c r="Q25" s="1150" t="str">
        <f t="shared" ref="Q25:Q46" si="11">B25</f>
        <v>临街状况</v>
      </c>
      <c r="R25" s="647" t="s">
        <v>14</v>
      </c>
      <c r="S25" s="648">
        <f>F25</f>
        <v>100</v>
      </c>
      <c r="T25" s="647" t="s">
        <v>14</v>
      </c>
      <c r="U25" s="648">
        <f>H25</f>
        <v>100</v>
      </c>
      <c r="V25" s="647" t="s">
        <v>14</v>
      </c>
      <c r="W25" s="648">
        <f>J25</f>
        <v>100</v>
      </c>
      <c r="X25" s="1152"/>
      <c r="Y25" s="3217"/>
      <c r="Z25" s="1151" t="str">
        <f>Q25</f>
        <v>临街状况</v>
      </c>
      <c r="AA25" s="1151">
        <f t="shared" si="3"/>
        <v>1</v>
      </c>
      <c r="AB25" s="1151">
        <f t="shared" si="4"/>
        <v>1</v>
      </c>
      <c r="AC25" s="1151">
        <f t="shared" si="5"/>
        <v>1</v>
      </c>
    </row>
    <row r="26" spans="1:29" ht="15">
      <c r="A26" s="363"/>
      <c r="B26" s="979" t="s">
        <v>1713</v>
      </c>
      <c r="C26" s="2990" t="s">
        <v>3332</v>
      </c>
      <c r="D26" s="370">
        <v>100</v>
      </c>
      <c r="E26" s="2990" t="s">
        <v>3332</v>
      </c>
      <c r="F26" s="395">
        <f>SUMIF(88:88,E26,89:89)-SUMIF(88:88,C26,89:89)+100</f>
        <v>100</v>
      </c>
      <c r="G26" s="2990" t="s">
        <v>3332</v>
      </c>
      <c r="H26" s="370">
        <f>SUMIF(88:88,G26,89:89)-SUMIF(88:88,C26,89:89)+100</f>
        <v>100</v>
      </c>
      <c r="I26" s="2990" t="s">
        <v>3332</v>
      </c>
      <c r="J26" s="370">
        <f>SUMIF(88:88,I26,89:89)-SUMIF(88:88,C26,89:89)+100</f>
        <v>100</v>
      </c>
      <c r="K26" s="532"/>
      <c r="L26" s="2315"/>
      <c r="M26" s="2310"/>
      <c r="N26" s="2310"/>
      <c r="O26" s="2310"/>
      <c r="P26" s="3261"/>
      <c r="Q26" s="1150" t="str">
        <f t="shared" si="11"/>
        <v>平面位置/可视性</v>
      </c>
      <c r="R26" s="647" t="s">
        <v>14</v>
      </c>
      <c r="S26" s="648">
        <f>F26</f>
        <v>100</v>
      </c>
      <c r="T26" s="647" t="s">
        <v>14</v>
      </c>
      <c r="U26" s="648">
        <f>H26</f>
        <v>100</v>
      </c>
      <c r="V26" s="647" t="s">
        <v>14</v>
      </c>
      <c r="W26" s="648">
        <f>J26</f>
        <v>100</v>
      </c>
      <c r="X26" s="1152"/>
      <c r="Y26" s="3217"/>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1"/>
      <c r="Q27" s="525" t="str">
        <f t="shared" si="11"/>
        <v>人流量</v>
      </c>
      <c r="R27" s="644" t="s">
        <v>14</v>
      </c>
      <c r="S27" s="645">
        <f>F27</f>
        <v>100</v>
      </c>
      <c r="T27" s="644" t="s">
        <v>14</v>
      </c>
      <c r="U27" s="645">
        <f>H27</f>
        <v>100</v>
      </c>
      <c r="V27" s="644" t="s">
        <v>14</v>
      </c>
      <c r="W27" s="645">
        <f>J27</f>
        <v>100</v>
      </c>
      <c r="X27" s="646"/>
      <c r="Y27" s="3217"/>
      <c r="Z27" s="50" t="str">
        <f>Q27</f>
        <v>人流量</v>
      </c>
      <c r="AA27" s="1151">
        <f>D27/F27</f>
        <v>1</v>
      </c>
      <c r="AB27" s="1151">
        <f>D27/H27</f>
        <v>1</v>
      </c>
      <c r="AC27" s="1151">
        <f>D27/J27</f>
        <v>1</v>
      </c>
    </row>
    <row r="28" spans="1:29" ht="15">
      <c r="A28" s="363"/>
      <c r="B28" s="361" t="s">
        <v>1715</v>
      </c>
      <c r="C28" s="535" t="s">
        <v>3318</v>
      </c>
      <c r="D28" s="370">
        <v>100</v>
      </c>
      <c r="E28" s="535" t="s">
        <v>3318</v>
      </c>
      <c r="F28" s="395">
        <f>SUMIF(92:92,E28,93:93)-SUMIF(92:92,C28,93:93)+100</f>
        <v>100</v>
      </c>
      <c r="G28" s="535" t="s">
        <v>3318</v>
      </c>
      <c r="H28" s="370">
        <f>SUMIF(92:92,G28,93:93)-SUMIF(92:92,C28,93:93)+100</f>
        <v>100</v>
      </c>
      <c r="I28" s="535" t="s">
        <v>3318</v>
      </c>
      <c r="J28" s="370">
        <f>SUMIF(92:92,I28,93:93)-SUMIF(92:92,C28,93:93)+100</f>
        <v>100</v>
      </c>
      <c r="K28" s="532"/>
      <c r="L28" s="2315"/>
      <c r="M28" s="2310"/>
      <c r="N28" s="2310"/>
      <c r="O28" s="2310"/>
      <c r="P28" s="3261"/>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17"/>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1"/>
      <c r="Q29" s="1150">
        <f t="shared" si="11"/>
        <v>111</v>
      </c>
      <c r="R29" s="647" t="s">
        <v>14</v>
      </c>
      <c r="S29" s="648">
        <f t="shared" si="12"/>
        <v>100</v>
      </c>
      <c r="T29" s="647" t="s">
        <v>14</v>
      </c>
      <c r="U29" s="648">
        <f t="shared" si="13"/>
        <v>100</v>
      </c>
      <c r="V29" s="647" t="s">
        <v>14</v>
      </c>
      <c r="W29" s="648">
        <f t="shared" si="14"/>
        <v>100</v>
      </c>
      <c r="X29" s="1152"/>
      <c r="Y29" s="3217"/>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1"/>
      <c r="Q30" s="1150">
        <f t="shared" si="11"/>
        <v>111</v>
      </c>
      <c r="R30" s="647" t="s">
        <v>14</v>
      </c>
      <c r="S30" s="648">
        <f t="shared" si="12"/>
        <v>100</v>
      </c>
      <c r="T30" s="647" t="s">
        <v>14</v>
      </c>
      <c r="U30" s="648">
        <f t="shared" si="13"/>
        <v>100</v>
      </c>
      <c r="V30" s="647" t="s">
        <v>14</v>
      </c>
      <c r="W30" s="648">
        <f t="shared" si="14"/>
        <v>100</v>
      </c>
      <c r="X30" s="1152"/>
      <c r="Y30" s="3217"/>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1"/>
      <c r="Q31" s="1150">
        <f t="shared" si="11"/>
        <v>111</v>
      </c>
      <c r="R31" s="647" t="s">
        <v>14</v>
      </c>
      <c r="S31" s="648">
        <f t="shared" si="12"/>
        <v>100</v>
      </c>
      <c r="T31" s="647" t="s">
        <v>14</v>
      </c>
      <c r="U31" s="648">
        <f t="shared" si="13"/>
        <v>100</v>
      </c>
      <c r="V31" s="647" t="s">
        <v>14</v>
      </c>
      <c r="W31" s="648">
        <f t="shared" si="14"/>
        <v>100</v>
      </c>
      <c r="X31" s="1152"/>
      <c r="Y31" s="3217"/>
      <c r="Z31" s="1151">
        <f t="shared" si="15"/>
        <v>111</v>
      </c>
      <c r="AA31" s="1151">
        <f t="shared" si="3"/>
        <v>1</v>
      </c>
      <c r="AB31" s="1151">
        <f t="shared" si="4"/>
        <v>1</v>
      </c>
      <c r="AC31" s="1151">
        <f t="shared" si="5"/>
        <v>1</v>
      </c>
    </row>
    <row r="32" spans="1:29" ht="15">
      <c r="A32" s="375" t="s">
        <v>1673</v>
      </c>
      <c r="B32" s="59" t="s">
        <v>1716</v>
      </c>
      <c r="C32" s="1636" t="s">
        <v>3345</v>
      </c>
      <c r="D32" s="400">
        <v>100</v>
      </c>
      <c r="E32" s="1636" t="s">
        <v>3345</v>
      </c>
      <c r="F32" s="395">
        <f>SUMIF(100:100,E32,101:101)-SUMIF(100:100,C32,101:101)+100</f>
        <v>100</v>
      </c>
      <c r="G32" s="1636" t="s">
        <v>3345</v>
      </c>
      <c r="H32" s="370">
        <f>SUMIF(100:100,G32,101:101)-SUMIF(100:100,C32,101:101)+100</f>
        <v>100</v>
      </c>
      <c r="I32" s="1636" t="s">
        <v>3345</v>
      </c>
      <c r="J32" s="400">
        <f>SUMIF(100:100,I32,101:101)-SUMIF(100:100,C32,101:101)+100</f>
        <v>100</v>
      </c>
      <c r="K32" s="531">
        <v>0</v>
      </c>
      <c r="L32" s="2315"/>
      <c r="M32" s="2310"/>
      <c r="N32" s="2310"/>
      <c r="O32" s="2310"/>
      <c r="P32" s="3262" t="s">
        <v>1674</v>
      </c>
      <c r="Q32" s="1150" t="str">
        <f t="shared" si="11"/>
        <v>商业类型</v>
      </c>
      <c r="R32" s="647" t="s">
        <v>14</v>
      </c>
      <c r="S32" s="648">
        <f t="shared" si="12"/>
        <v>100</v>
      </c>
      <c r="T32" s="647" t="s">
        <v>14</v>
      </c>
      <c r="U32" s="648">
        <f t="shared" si="13"/>
        <v>100</v>
      </c>
      <c r="V32" s="647" t="s">
        <v>14</v>
      </c>
      <c r="W32" s="648">
        <f t="shared" si="14"/>
        <v>100</v>
      </c>
      <c r="X32" s="1152"/>
      <c r="Y32" s="3219" t="s">
        <v>1674</v>
      </c>
      <c r="Z32" s="1151" t="str">
        <f t="shared" si="15"/>
        <v>商业类型</v>
      </c>
      <c r="AA32" s="1151">
        <f t="shared" si="3"/>
        <v>1</v>
      </c>
      <c r="AB32" s="1151">
        <f t="shared" si="4"/>
        <v>1</v>
      </c>
      <c r="AC32" s="1151">
        <f t="shared" si="5"/>
        <v>1</v>
      </c>
    </row>
    <row r="33" spans="1:29" s="403" customFormat="1" ht="15">
      <c r="A33" s="401"/>
      <c r="B33" s="361" t="s">
        <v>1675</v>
      </c>
      <c r="C33" s="402">
        <v>245</v>
      </c>
      <c r="D33" s="118">
        <v>100</v>
      </c>
      <c r="E33" s="365">
        <f>Sheet1!F38</f>
        <v>70</v>
      </c>
      <c r="F33" s="361">
        <f>LOOKUP(E33,103:103,104:104)-LOOKUP(C33,103:103,104:104)+100</f>
        <v>110</v>
      </c>
      <c r="G33" s="364">
        <f>Sheet1!F41</f>
        <v>64.56</v>
      </c>
      <c r="H33" s="118">
        <f>LOOKUP(G33,103:103,104:104)-LOOKUP(C33,103:103,104:104)+100</f>
        <v>110</v>
      </c>
      <c r="I33" s="364">
        <f>Sheet1!F44</f>
        <v>300</v>
      </c>
      <c r="J33" s="118">
        <f>LOOKUP(I33,103:103,104:104)-LOOKUP(C33,103:103,104:104)+100</f>
        <v>100</v>
      </c>
      <c r="K33" s="532"/>
      <c r="L33" s="2314"/>
      <c r="M33" s="2316"/>
      <c r="N33" s="2316"/>
      <c r="O33" s="2316"/>
      <c r="P33" s="3263"/>
      <c r="Q33" s="526" t="str">
        <f t="shared" si="11"/>
        <v>项目建筑规模</v>
      </c>
      <c r="R33" s="649" t="s">
        <v>14</v>
      </c>
      <c r="S33" s="650">
        <f t="shared" si="12"/>
        <v>110</v>
      </c>
      <c r="T33" s="649" t="s">
        <v>14</v>
      </c>
      <c r="U33" s="650">
        <f t="shared" si="13"/>
        <v>110</v>
      </c>
      <c r="V33" s="649" t="s">
        <v>14</v>
      </c>
      <c r="W33" s="650">
        <f t="shared" si="14"/>
        <v>100</v>
      </c>
      <c r="X33" s="651"/>
      <c r="Y33" s="3219"/>
      <c r="Z33" s="652" t="str">
        <f t="shared" si="15"/>
        <v>项目建筑规模</v>
      </c>
      <c r="AA33" s="1151">
        <f t="shared" si="3"/>
        <v>0.90909090909090906</v>
      </c>
      <c r="AB33" s="1151">
        <f t="shared" si="4"/>
        <v>0.90909090909090906</v>
      </c>
      <c r="AC33" s="1151">
        <f t="shared" si="5"/>
        <v>1</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1-(2025-2019)/60</f>
        <v>0.9</v>
      </c>
      <c r="N34" s="2310"/>
      <c r="O34" s="2310"/>
      <c r="P34" s="3263"/>
      <c r="Q34" s="1150" t="str">
        <f t="shared" si="11"/>
        <v>建筑结构</v>
      </c>
      <c r="R34" s="647" t="s">
        <v>14</v>
      </c>
      <c r="S34" s="648">
        <f t="shared" si="12"/>
        <v>100</v>
      </c>
      <c r="T34" s="647" t="s">
        <v>14</v>
      </c>
      <c r="U34" s="648">
        <f t="shared" si="13"/>
        <v>100</v>
      </c>
      <c r="V34" s="647" t="s">
        <v>14</v>
      </c>
      <c r="W34" s="648">
        <f t="shared" si="14"/>
        <v>100</v>
      </c>
      <c r="X34" s="1152"/>
      <c r="Y34" s="3219"/>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63"/>
      <c r="Q35" s="1150" t="str">
        <f t="shared" si="11"/>
        <v>公共部分装修</v>
      </c>
      <c r="R35" s="647" t="s">
        <v>14</v>
      </c>
      <c r="S35" s="648">
        <f t="shared" si="12"/>
        <v>100</v>
      </c>
      <c r="T35" s="647" t="s">
        <v>14</v>
      </c>
      <c r="U35" s="648">
        <f t="shared" si="13"/>
        <v>100</v>
      </c>
      <c r="V35" s="647" t="s">
        <v>14</v>
      </c>
      <c r="W35" s="648">
        <f t="shared" si="14"/>
        <v>100</v>
      </c>
      <c r="X35" s="1152"/>
      <c r="Y35" s="3219"/>
      <c r="Z35" s="1151" t="str">
        <f t="shared" si="15"/>
        <v>公共部分装修</v>
      </c>
      <c r="AA35" s="1151">
        <f t="shared" si="3"/>
        <v>1</v>
      </c>
      <c r="AB35" s="1151">
        <f t="shared" si="4"/>
        <v>1</v>
      </c>
      <c r="AC35" s="1151">
        <f t="shared" si="5"/>
        <v>1</v>
      </c>
    </row>
    <row r="36" spans="1:29" ht="15">
      <c r="A36" s="404"/>
      <c r="B36" s="361" t="s">
        <v>1718</v>
      </c>
      <c r="C36" s="406">
        <v>0.9</v>
      </c>
      <c r="D36" s="370">
        <v>100</v>
      </c>
      <c r="E36" s="406">
        <v>0.9</v>
      </c>
      <c r="F36" s="395">
        <f>LOOKUP(E36,110:110,111:111)-LOOKUP(C36,110:110,111:111)+100</f>
        <v>100</v>
      </c>
      <c r="G36" s="406">
        <v>0.75</v>
      </c>
      <c r="H36" s="395">
        <f>LOOKUP(G36,110:110,111:111)-LOOKUP(C36,110:110,111:111)+100</f>
        <v>100</v>
      </c>
      <c r="I36" s="406">
        <v>0.85</v>
      </c>
      <c r="J36" s="370">
        <f>LOOKUP(I36,110:110,111:111)-LOOKUP(C36,110:110,111:111)+100</f>
        <v>100</v>
      </c>
      <c r="K36" s="531">
        <v>0</v>
      </c>
      <c r="L36" s="2315"/>
      <c r="M36" s="2310">
        <f>1-(2025-2012)/60</f>
        <v>0.78333333333333333</v>
      </c>
      <c r="N36" s="2310"/>
      <c r="O36" s="2310"/>
      <c r="P36" s="3263"/>
      <c r="Q36" s="1150" t="str">
        <f t="shared" si="11"/>
        <v>成新度</v>
      </c>
      <c r="R36" s="647" t="s">
        <v>14</v>
      </c>
      <c r="S36" s="648">
        <f t="shared" si="12"/>
        <v>100</v>
      </c>
      <c r="T36" s="647" t="s">
        <v>14</v>
      </c>
      <c r="U36" s="648">
        <f t="shared" si="13"/>
        <v>100</v>
      </c>
      <c r="V36" s="647" t="s">
        <v>14</v>
      </c>
      <c r="W36" s="648">
        <f t="shared" si="14"/>
        <v>100</v>
      </c>
      <c r="X36" s="1152"/>
      <c r="Y36" s="3219"/>
      <c r="Z36" s="1151" t="str">
        <f t="shared" si="15"/>
        <v>成新度</v>
      </c>
      <c r="AA36" s="1151">
        <f t="shared" si="3"/>
        <v>1</v>
      </c>
      <c r="AB36" s="1151">
        <f t="shared" si="4"/>
        <v>1</v>
      </c>
      <c r="AC36" s="1151">
        <f t="shared" si="5"/>
        <v>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3"/>
      <c r="Q37" s="525" t="str">
        <f t="shared" si="11"/>
        <v>市政基础设施</v>
      </c>
      <c r="R37" s="644" t="s">
        <v>14</v>
      </c>
      <c r="S37" s="645">
        <f t="shared" si="12"/>
        <v>100</v>
      </c>
      <c r="T37" s="644" t="s">
        <v>14</v>
      </c>
      <c r="U37" s="645">
        <f t="shared" si="13"/>
        <v>100</v>
      </c>
      <c r="V37" s="644" t="s">
        <v>14</v>
      </c>
      <c r="W37" s="645">
        <f t="shared" si="14"/>
        <v>100</v>
      </c>
      <c r="X37" s="646"/>
      <c r="Y37" s="3219"/>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3" t="s">
        <v>1674</v>
      </c>
      <c r="Q38" s="1150" t="str">
        <f t="shared" si="11"/>
        <v>业态</v>
      </c>
      <c r="R38" s="647" t="s">
        <v>14</v>
      </c>
      <c r="S38" s="648">
        <f t="shared" si="12"/>
        <v>100</v>
      </c>
      <c r="T38" s="647" t="s">
        <v>14</v>
      </c>
      <c r="U38" s="648">
        <f t="shared" si="13"/>
        <v>100</v>
      </c>
      <c r="V38" s="647" t="s">
        <v>14</v>
      </c>
      <c r="W38" s="648">
        <f t="shared" si="14"/>
        <v>100</v>
      </c>
      <c r="X38" s="1152"/>
      <c r="Y38" s="3219" t="s">
        <v>1674</v>
      </c>
      <c r="Z38" s="1151" t="str">
        <f t="shared" si="15"/>
        <v>业态</v>
      </c>
      <c r="AA38" s="1151">
        <f t="shared" si="3"/>
        <v>1</v>
      </c>
      <c r="AB38" s="1151">
        <f t="shared" si="4"/>
        <v>1</v>
      </c>
      <c r="AC38" s="1151">
        <f t="shared" si="5"/>
        <v>1</v>
      </c>
    </row>
    <row r="39" spans="1:29" ht="15">
      <c r="A39" s="404"/>
      <c r="B39" s="361" t="s">
        <v>1721</v>
      </c>
      <c r="C39" s="1635" t="s">
        <v>3342</v>
      </c>
      <c r="D39" s="370">
        <v>100</v>
      </c>
      <c r="E39" s="1635" t="s">
        <v>3342</v>
      </c>
      <c r="F39" s="395">
        <f>SUMIF(116:116,E39,117:117)-SUMIF(116:116,C39,117:117)+100</f>
        <v>100</v>
      </c>
      <c r="G39" s="1635" t="s">
        <v>3342</v>
      </c>
      <c r="H39" s="370">
        <f>SUMIF(116:116,G39,117:117)-SUMIF(116:116,C39,117:117)+100</f>
        <v>100</v>
      </c>
      <c r="I39" s="1635" t="s">
        <v>3342</v>
      </c>
      <c r="J39" s="370">
        <f>SUMIF(116:116,I39,117:117)-SUMIF(116:116,C39,117:117)+100</f>
        <v>100</v>
      </c>
      <c r="K39" s="531">
        <v>5</v>
      </c>
      <c r="L39" s="2315"/>
      <c r="M39" s="2310"/>
      <c r="N39" s="2999"/>
      <c r="O39" s="2310"/>
      <c r="P39" s="3263"/>
      <c r="Q39" s="1150" t="str">
        <f t="shared" si="11"/>
        <v>层高</v>
      </c>
      <c r="R39" s="647" t="s">
        <v>14</v>
      </c>
      <c r="S39" s="648">
        <f t="shared" si="12"/>
        <v>100</v>
      </c>
      <c r="T39" s="647" t="s">
        <v>14</v>
      </c>
      <c r="U39" s="648">
        <f t="shared" si="13"/>
        <v>100</v>
      </c>
      <c r="V39" s="647" t="s">
        <v>14</v>
      </c>
      <c r="W39" s="648">
        <f t="shared" si="14"/>
        <v>100</v>
      </c>
      <c r="X39" s="1152"/>
      <c r="Y39" s="3219"/>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3"/>
      <c r="Q40" s="1150" t="str">
        <f t="shared" si="11"/>
        <v>单套建筑面积</v>
      </c>
      <c r="R40" s="647" t="s">
        <v>14</v>
      </c>
      <c r="S40" s="648">
        <f t="shared" si="12"/>
        <v>100</v>
      </c>
      <c r="T40" s="647" t="s">
        <v>14</v>
      </c>
      <c r="U40" s="648">
        <f t="shared" si="13"/>
        <v>100</v>
      </c>
      <c r="V40" s="647" t="s">
        <v>14</v>
      </c>
      <c r="W40" s="648">
        <f t="shared" si="14"/>
        <v>100</v>
      </c>
      <c r="X40" s="1152"/>
      <c r="Y40" s="3219"/>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3"/>
      <c r="Q41" s="526" t="str">
        <f t="shared" si="11"/>
        <v>进深比</v>
      </c>
      <c r="R41" s="649" t="s">
        <v>14</v>
      </c>
      <c r="S41" s="650">
        <f t="shared" si="12"/>
        <v>100</v>
      </c>
      <c r="T41" s="649" t="s">
        <v>14</v>
      </c>
      <c r="U41" s="650">
        <f t="shared" si="13"/>
        <v>100</v>
      </c>
      <c r="V41" s="649" t="s">
        <v>14</v>
      </c>
      <c r="W41" s="650">
        <f t="shared" si="14"/>
        <v>100</v>
      </c>
      <c r="X41" s="651"/>
      <c r="Y41" s="3219"/>
      <c r="Z41" s="652" t="str">
        <f t="shared" si="15"/>
        <v>进深比</v>
      </c>
      <c r="AA41" s="1151">
        <f t="shared" si="3"/>
        <v>1</v>
      </c>
      <c r="AB41" s="1151">
        <f t="shared" si="4"/>
        <v>1</v>
      </c>
      <c r="AC41" s="1151">
        <f t="shared" si="5"/>
        <v>1</v>
      </c>
    </row>
    <row r="42" spans="1:29" ht="15">
      <c r="A42" s="404"/>
      <c r="B42" s="361" t="s">
        <v>1724</v>
      </c>
      <c r="C42" s="1635" t="s">
        <v>3347</v>
      </c>
      <c r="D42" s="370">
        <v>100</v>
      </c>
      <c r="E42" s="1635" t="s">
        <v>3336</v>
      </c>
      <c r="F42" s="395">
        <f>SUMIF(122:122,E42,123:123)-SUMIF(122:122,C42,123:123)+100</f>
        <v>105</v>
      </c>
      <c r="G42" s="1635" t="s">
        <v>3336</v>
      </c>
      <c r="H42" s="370">
        <f>SUMIF(122:122,G42,123:123)-SUMIF(122:122,C42,123:123)+100</f>
        <v>105</v>
      </c>
      <c r="I42" s="1635" t="s">
        <v>3336</v>
      </c>
      <c r="J42" s="370">
        <f>SUMIF(122:122,I42,123:123)-SUMIF(122:122,C42,123:123)+100</f>
        <v>105</v>
      </c>
      <c r="K42" s="531">
        <v>5</v>
      </c>
      <c r="L42" s="2315"/>
      <c r="M42" s="2997"/>
      <c r="N42" s="2994"/>
      <c r="O42" s="2310"/>
      <c r="P42" s="3263"/>
      <c r="Q42" s="1150" t="str">
        <f t="shared" si="11"/>
        <v>内部装修</v>
      </c>
      <c r="R42" s="647" t="s">
        <v>14</v>
      </c>
      <c r="S42" s="648">
        <f t="shared" si="12"/>
        <v>105</v>
      </c>
      <c r="T42" s="647" t="s">
        <v>14</v>
      </c>
      <c r="U42" s="648">
        <f t="shared" si="13"/>
        <v>105</v>
      </c>
      <c r="V42" s="647" t="s">
        <v>14</v>
      </c>
      <c r="W42" s="648">
        <f t="shared" si="14"/>
        <v>105</v>
      </c>
      <c r="X42" s="1152"/>
      <c r="Y42" s="3219"/>
      <c r="Z42" s="1151" t="str">
        <f t="shared" si="15"/>
        <v>内部装修</v>
      </c>
      <c r="AA42" s="1151">
        <f t="shared" si="3"/>
        <v>0.95238095238095233</v>
      </c>
      <c r="AB42" s="1151">
        <f t="shared" si="4"/>
        <v>0.95238095238095233</v>
      </c>
      <c r="AC42" s="1151">
        <f t="shared" si="5"/>
        <v>0.95238095238095233</v>
      </c>
    </row>
    <row r="43" spans="1:29" ht="15">
      <c r="A43" s="404"/>
      <c r="B43" s="361" t="s">
        <v>1677</v>
      </c>
      <c r="C43" s="1635" t="s">
        <v>3327</v>
      </c>
      <c r="D43" s="370">
        <v>100</v>
      </c>
      <c r="E43" s="1635" t="s">
        <v>3327</v>
      </c>
      <c r="F43" s="395">
        <f>SUMIF(124:124,E43,125:125)-SUMIF(124:124,C43,125:125)+100</f>
        <v>100</v>
      </c>
      <c r="G43" s="1635" t="s">
        <v>3327</v>
      </c>
      <c r="H43" s="370">
        <f>SUMIF(124:124,G43,125:125)-SUMIF(124:124,C43,125:125)+100</f>
        <v>100</v>
      </c>
      <c r="I43" s="1635" t="s">
        <v>3327</v>
      </c>
      <c r="J43" s="370">
        <f>SUMIF(124:124,I43,125:125)-SUMIF(124:124,C43,125:125)+100</f>
        <v>100</v>
      </c>
      <c r="K43" s="531"/>
      <c r="L43" s="2995"/>
      <c r="M43" s="2998">
        <v>11.33</v>
      </c>
      <c r="N43" s="2310"/>
      <c r="O43" s="2310"/>
      <c r="P43" s="3263"/>
      <c r="Q43" s="1150" t="str">
        <f t="shared" si="11"/>
        <v>内部装修维护情况</v>
      </c>
      <c r="R43" s="647" t="s">
        <v>14</v>
      </c>
      <c r="S43" s="648">
        <f t="shared" si="12"/>
        <v>100</v>
      </c>
      <c r="T43" s="647" t="s">
        <v>14</v>
      </c>
      <c r="U43" s="648">
        <f t="shared" si="13"/>
        <v>100</v>
      </c>
      <c r="V43" s="647" t="s">
        <v>14</v>
      </c>
      <c r="W43" s="648">
        <f t="shared" si="14"/>
        <v>100</v>
      </c>
      <c r="X43" s="1152"/>
      <c r="Y43" s="3219"/>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c r="M44" s="2998">
        <v>4.12</v>
      </c>
      <c r="N44" s="2264">
        <f>M44/C48</f>
        <v>0.42561983471074383</v>
      </c>
      <c r="O44" s="2264"/>
      <c r="P44" s="3263"/>
      <c r="Q44" s="525">
        <f t="shared" si="11"/>
        <v>111</v>
      </c>
      <c r="R44" s="644" t="s">
        <v>14</v>
      </c>
      <c r="S44" s="645">
        <f t="shared" si="12"/>
        <v>100</v>
      </c>
      <c r="T44" s="644" t="s">
        <v>14</v>
      </c>
      <c r="U44" s="645">
        <f t="shared" si="13"/>
        <v>100</v>
      </c>
      <c r="V44" s="644" t="s">
        <v>14</v>
      </c>
      <c r="W44" s="645">
        <f t="shared" si="14"/>
        <v>100</v>
      </c>
      <c r="X44" s="646"/>
      <c r="Y44" s="3219"/>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f>ROUND(C48*N45,2)</f>
        <v>3.87</v>
      </c>
      <c r="N45" s="344">
        <v>0.4</v>
      </c>
      <c r="O45" s="2310"/>
      <c r="P45" s="3263"/>
      <c r="Q45" s="1150">
        <f t="shared" si="11"/>
        <v>111</v>
      </c>
      <c r="R45" s="647" t="s">
        <v>14</v>
      </c>
      <c r="S45" s="648">
        <f t="shared" si="12"/>
        <v>100</v>
      </c>
      <c r="T45" s="647" t="s">
        <v>14</v>
      </c>
      <c r="U45" s="648">
        <f t="shared" si="13"/>
        <v>100</v>
      </c>
      <c r="V45" s="647" t="s">
        <v>14</v>
      </c>
      <c r="W45" s="648">
        <f t="shared" si="14"/>
        <v>100</v>
      </c>
      <c r="X45" s="1152"/>
      <c r="Y45" s="3219"/>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4"/>
      <c r="Q46" s="1150">
        <f t="shared" si="11"/>
        <v>111</v>
      </c>
      <c r="R46" s="647" t="s">
        <v>14</v>
      </c>
      <c r="S46" s="648">
        <f t="shared" si="12"/>
        <v>100</v>
      </c>
      <c r="T46" s="647" t="s">
        <v>14</v>
      </c>
      <c r="U46" s="648">
        <f t="shared" si="13"/>
        <v>100</v>
      </c>
      <c r="V46" s="647" t="s">
        <v>14</v>
      </c>
      <c r="W46" s="648">
        <f t="shared" si="14"/>
        <v>100</v>
      </c>
      <c r="X46" s="1152"/>
      <c r="Y46" s="3220"/>
      <c r="Z46" s="1151">
        <f t="shared" si="15"/>
        <v>111</v>
      </c>
      <c r="AA46" s="1151">
        <f t="shared" si="3"/>
        <v>1</v>
      </c>
      <c r="AB46" s="1151">
        <f t="shared" si="4"/>
        <v>1</v>
      </c>
      <c r="AC46" s="1151">
        <f t="shared" si="5"/>
        <v>1</v>
      </c>
    </row>
    <row r="47" spans="1:29" ht="15">
      <c r="A47" s="411" t="s">
        <v>1678</v>
      </c>
      <c r="B47" s="412"/>
      <c r="C47" s="994" t="s">
        <v>0</v>
      </c>
      <c r="D47" s="413"/>
      <c r="E47" s="414">
        <f>Sheet1!G38</f>
        <v>10.96</v>
      </c>
      <c r="F47" s="415"/>
      <c r="G47" s="416">
        <f>Sheet1!G41</f>
        <v>12.74</v>
      </c>
      <c r="H47" s="417"/>
      <c r="I47" s="414">
        <f>Sheet1!G44</f>
        <v>12</v>
      </c>
      <c r="J47" s="417"/>
      <c r="K47" s="654"/>
      <c r="L47" s="2317"/>
      <c r="M47" s="2310"/>
      <c r="N47" s="2310"/>
      <c r="O47" s="2310"/>
      <c r="P47" s="3211" t="str">
        <f>A47</f>
        <v>成交单价（元/平方米）</v>
      </c>
      <c r="Q47" s="3211"/>
      <c r="R47" s="3212">
        <f>E47</f>
        <v>10.96</v>
      </c>
      <c r="S47" s="3212"/>
      <c r="T47" s="3212">
        <f>G47</f>
        <v>12.74</v>
      </c>
      <c r="U47" s="3212"/>
      <c r="V47" s="3212">
        <f>I47</f>
        <v>12</v>
      </c>
      <c r="W47" s="3212"/>
      <c r="X47" s="380"/>
      <c r="Y47" s="653"/>
      <c r="Z47" s="380"/>
      <c r="AA47" s="380"/>
      <c r="AB47" s="380"/>
      <c r="AC47" s="380"/>
    </row>
    <row r="48" spans="1:29" ht="15.75" thickBot="1">
      <c r="A48" s="418" t="s">
        <v>1725</v>
      </c>
      <c r="B48" s="419"/>
      <c r="C48" s="995">
        <f>R49</f>
        <v>9.68</v>
      </c>
      <c r="D48" s="1966" t="s">
        <v>2040</v>
      </c>
      <c r="E48" s="996">
        <f>R48</f>
        <v>8.6300000000000008</v>
      </c>
      <c r="F48" s="1967"/>
      <c r="G48" s="995">
        <f>T48</f>
        <v>10.029999999999999</v>
      </c>
      <c r="H48" s="1967"/>
      <c r="I48" s="996">
        <f>V48</f>
        <v>10.39</v>
      </c>
      <c r="J48" s="1967"/>
      <c r="K48" s="1968">
        <f>F48+H48+J48</f>
        <v>0</v>
      </c>
      <c r="L48" s="2317"/>
      <c r="M48" s="2310"/>
      <c r="N48" s="2310"/>
      <c r="O48" s="2310"/>
      <c r="P48" s="3211" t="str">
        <f>A48</f>
        <v>比较价值（元/平方米）</v>
      </c>
      <c r="Q48" s="3211"/>
      <c r="R48" s="3212">
        <f>IF(F1="售价",ROUND(PRODUCT(R47,AA7:AA46),0),ROUND(PRODUCT(R47,AA7:AA46),2))</f>
        <v>8.6300000000000008</v>
      </c>
      <c r="S48" s="3212"/>
      <c r="T48" s="3212">
        <f>IF(F1="售价",ROUND(PRODUCT(T47,AB7:AB46),0),ROUND(PRODUCT(T47,AB7:AB46),2))</f>
        <v>10.029999999999999</v>
      </c>
      <c r="U48" s="3212"/>
      <c r="V48" s="3212">
        <f>IF(F1="售价",ROUND(PRODUCT(V47,AC7:AC46),0),ROUND(PRODUCT(V47,AC7:AC46),2))</f>
        <v>10.39</v>
      </c>
      <c r="W48" s="3212"/>
      <c r="X48" s="380"/>
      <c r="Y48" s="380"/>
      <c r="Z48" s="380"/>
      <c r="AA48" s="380"/>
      <c r="AB48" s="380"/>
      <c r="AC48" s="380"/>
    </row>
    <row r="49" spans="1:29" ht="15.75" thickBot="1">
      <c r="A49" s="422" t="s">
        <v>1726</v>
      </c>
      <c r="B49" s="423"/>
      <c r="C49" s="348">
        <f>R49</f>
        <v>9.68</v>
      </c>
      <c r="D49" s="348"/>
      <c r="E49" s="348"/>
      <c r="F49" s="348"/>
      <c r="G49" s="348"/>
      <c r="H49" s="348"/>
      <c r="I49" s="348"/>
      <c r="J49" s="348"/>
      <c r="K49" s="655"/>
      <c r="L49" s="2317"/>
      <c r="M49" s="2310"/>
      <c r="N49" s="2310"/>
      <c r="O49" s="2310"/>
      <c r="P49" s="3213" t="str">
        <f>A49</f>
        <v>估价对象XX用房的比较价值（楼面单价，元/平方米）</v>
      </c>
      <c r="Q49" s="3214"/>
      <c r="R49" s="3215">
        <f>IF(F1="售价",ROUND(IF(D48="简单平均",AVERAGE(R48:V48),R48*F48+T48*H48+V48*J48),0),ROUND(IF(D48="简单平均",AVERAGE(R48:V48),R48*F48+T48*H48+V48*J48),2))</f>
        <v>9.68</v>
      </c>
      <c r="S49" s="3215"/>
      <c r="T49" s="3215"/>
      <c r="U49" s="3215"/>
      <c r="V49" s="3215"/>
      <c r="W49" s="3215"/>
      <c r="X49" s="380"/>
      <c r="Y49" s="380"/>
      <c r="Z49" s="380"/>
      <c r="AA49" s="380"/>
      <c r="AB49" s="380"/>
      <c r="AC49" s="380"/>
    </row>
    <row r="50" spans="1:29">
      <c r="A50" s="2310"/>
      <c r="B50" s="2310"/>
      <c r="C50" s="2310">
        <v>2019</v>
      </c>
      <c r="D50" s="2310"/>
      <c r="E50" s="2310"/>
      <c r="F50" s="2310"/>
      <c r="G50" s="2321"/>
      <c r="H50" s="2310"/>
      <c r="I50" s="2310"/>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0.26998841251448424</v>
      </c>
      <c r="F52" s="430" t="str">
        <f>IF(OR(E52&gt;=0.3,E52&lt;=-0.3),"超过30%","")</f>
        <v/>
      </c>
      <c r="G52" s="429">
        <f>IF(G47&lt;G48,G48/G47-1,G47/G48-1)</f>
        <v>0.27018943170488541</v>
      </c>
      <c r="H52" s="430" t="str">
        <f>IF(OR(G52&gt;=0.3,G52&lt;=-0.3),"超过30%","")</f>
        <v/>
      </c>
      <c r="I52" s="429">
        <f>IF(I47&lt;I48,I48/I47-1,I47/I48-1)</f>
        <v>0.15495668912415783</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0.1622247972190034</v>
      </c>
      <c r="F53" s="430" t="str">
        <f>IF(OR(E53&gt;=0.2,E53&lt;=-0.2),"超过20%","")</f>
        <v/>
      </c>
      <c r="G53" s="429">
        <f>IF(G48&lt;I48,I48/G48-1,G48/I48-1)</f>
        <v>3.5892323030907392E-2</v>
      </c>
      <c r="H53" s="430" t="str">
        <f>IF(OR(G53&gt;=0.2,G53&lt;=-0.2),"超过20%","")</f>
        <v/>
      </c>
      <c r="I53" s="429">
        <f>IF(I48&lt;E48,E48/I48-1,I48/E48-1)</f>
        <v>0.20393974507531865</v>
      </c>
      <c r="J53" s="430" t="str">
        <f>IF(OR(I53&gt;=0.2,I53&lt;=-0.2),"超过20%","")</f>
        <v>超过20%</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0.16240875912408748</v>
      </c>
      <c r="F54" s="430" t="str">
        <f>IF(OR(E54&gt;=0.3,E54&lt;=-0.3),"超过30%","")</f>
        <v/>
      </c>
      <c r="G54" s="429">
        <f>IF(G47&lt;I47,I47/G47-1,G47/I47-1)</f>
        <v>6.1666666666666758E-2</v>
      </c>
      <c r="H54" s="430" t="str">
        <f>IF(OR(G54&gt;=0.3,G54&lt;=-0.3),"超过30%","")</f>
        <v/>
      </c>
      <c r="I54" s="429">
        <f>IF(I47&lt;E47,E47/I47-1,I47/E47-1)</f>
        <v>9.4890510948905105E-2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2026-3</v>
      </c>
      <c r="D58" s="1015">
        <f>EDATE(C58,-1)</f>
        <v>46054</v>
      </c>
      <c r="E58" s="1015">
        <f t="shared" ref="E58:N58" si="16">EDATE(D58,-1)</f>
        <v>46023</v>
      </c>
      <c r="F58" s="1015">
        <f t="shared" si="16"/>
        <v>45992</v>
      </c>
      <c r="G58" s="1015">
        <f t="shared" si="16"/>
        <v>45962</v>
      </c>
      <c r="H58" s="1015">
        <f t="shared" si="16"/>
        <v>45931</v>
      </c>
      <c r="I58" s="1015">
        <f t="shared" si="16"/>
        <v>45901</v>
      </c>
      <c r="J58" s="1015">
        <f t="shared" si="16"/>
        <v>45870</v>
      </c>
      <c r="K58" s="1015">
        <f t="shared" si="16"/>
        <v>45839</v>
      </c>
      <c r="L58" s="1015">
        <f t="shared" si="16"/>
        <v>45809</v>
      </c>
      <c r="M58" s="1015">
        <f t="shared" si="16"/>
        <v>45778</v>
      </c>
      <c r="N58" s="1015">
        <f t="shared" si="16"/>
        <v>45748</v>
      </c>
      <c r="O58" s="1015">
        <f>EDATE(N58,-1)</f>
        <v>45717</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3326</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110</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3329</v>
      </c>
      <c r="D86" s="2989" t="s">
        <v>3330</v>
      </c>
      <c r="E86" s="2989" t="s">
        <v>3331</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3332</v>
      </c>
      <c r="D88" s="2989" t="s">
        <v>3333</v>
      </c>
      <c r="E88" s="2989" t="s">
        <v>3339</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3334</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3344</v>
      </c>
      <c r="D100" s="2991" t="s">
        <v>3346</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0(含)-100</v>
      </c>
      <c r="D102" s="504" t="str">
        <f t="shared" ref="D102:L102" si="23">D103&amp;"(含)"&amp;"-"&amp;E103</f>
        <v>100(含)-200</v>
      </c>
      <c r="E102" s="504" t="str">
        <f t="shared" si="23"/>
        <v>200(含)-350</v>
      </c>
      <c r="F102" s="504" t="str">
        <f t="shared" si="23"/>
        <v>350(含)-500</v>
      </c>
      <c r="G102" s="504" t="str">
        <f t="shared" si="23"/>
        <v>500(含)-1000</v>
      </c>
      <c r="H102" s="504" t="str">
        <f t="shared" si="23"/>
        <v>1000(含)-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100</v>
      </c>
      <c r="E103" s="6">
        <v>200</v>
      </c>
      <c r="F103" s="6">
        <v>350</v>
      </c>
      <c r="G103" s="6">
        <v>500</v>
      </c>
      <c r="H103" s="6">
        <v>1000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C104-5</f>
        <v>95</v>
      </c>
      <c r="E104" s="462">
        <f t="shared" ref="E104:H104" si="24">D104-5</f>
        <v>90</v>
      </c>
      <c r="F104" s="462">
        <f t="shared" si="24"/>
        <v>85</v>
      </c>
      <c r="G104" s="462">
        <f t="shared" si="24"/>
        <v>80</v>
      </c>
      <c r="H104" s="462">
        <f t="shared" si="24"/>
        <v>75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100</v>
      </c>
      <c r="E111" s="470">
        <f t="shared" ref="E111:M111" si="27">D111+$K36</f>
        <v>100</v>
      </c>
      <c r="F111" s="470">
        <f t="shared" si="27"/>
        <v>100</v>
      </c>
      <c r="G111" s="470">
        <f t="shared" si="27"/>
        <v>100</v>
      </c>
      <c r="H111" s="470">
        <f t="shared" si="27"/>
        <v>100</v>
      </c>
      <c r="I111" s="470">
        <f t="shared" si="27"/>
        <v>100</v>
      </c>
      <c r="J111" s="470">
        <f t="shared" si="27"/>
        <v>100</v>
      </c>
      <c r="K111" s="470">
        <f t="shared" si="27"/>
        <v>100</v>
      </c>
      <c r="L111" s="470">
        <f t="shared" si="27"/>
        <v>100</v>
      </c>
      <c r="M111" s="470">
        <f t="shared" si="27"/>
        <v>100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3341</v>
      </c>
      <c r="D116" s="2989" t="s">
        <v>3343</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3335</v>
      </c>
      <c r="D122" s="2989" t="s">
        <v>3337</v>
      </c>
      <c r="E122" s="2989" t="s">
        <v>3338</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95</v>
      </c>
      <c r="E123" s="470">
        <f t="shared" si="31"/>
        <v>90</v>
      </c>
      <c r="F123" s="470">
        <f t="shared" si="31"/>
        <v>85</v>
      </c>
      <c r="G123" s="470">
        <f t="shared" si="31"/>
        <v>80</v>
      </c>
      <c r="H123" s="470">
        <f t="shared" si="31"/>
        <v>75</v>
      </c>
      <c r="I123" s="470">
        <f t="shared" si="31"/>
        <v>70</v>
      </c>
      <c r="J123" s="470">
        <f t="shared" si="31"/>
        <v>65</v>
      </c>
      <c r="K123" s="470">
        <f t="shared" si="31"/>
        <v>60</v>
      </c>
      <c r="L123" s="470">
        <f t="shared" si="31"/>
        <v>55</v>
      </c>
      <c r="M123" s="471">
        <f t="shared" si="31"/>
        <v>50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34" priority="16" stopIfTrue="1">
      <formula>$F$52="超过30%"</formula>
    </cfRule>
  </conditionalFormatting>
  <conditionalFormatting sqref="E53">
    <cfRule type="expression" dxfId="33" priority="15" stopIfTrue="1">
      <formula>$F$53="超过20%"</formula>
    </cfRule>
  </conditionalFormatting>
  <conditionalFormatting sqref="E54">
    <cfRule type="expression" dxfId="32" priority="14" stopIfTrue="1">
      <formula>$F$54="超过30%"</formula>
    </cfRule>
  </conditionalFormatting>
  <conditionalFormatting sqref="F7:F46 H7:H46 J7:J46">
    <cfRule type="cellIs" dxfId="31" priority="1" operator="notEqual">
      <formula>100</formula>
    </cfRule>
  </conditionalFormatting>
  <conditionalFormatting sqref="F48">
    <cfRule type="expression" dxfId="30" priority="4">
      <formula>$D$48="简单平均"</formula>
    </cfRule>
  </conditionalFormatting>
  <conditionalFormatting sqref="F52:F54 H52:H54">
    <cfRule type="containsText" dxfId="29" priority="17" stopIfTrue="1" operator="containsText" text="超过">
      <formula>NOT(ISERROR(SEARCH("超过",F52)))</formula>
    </cfRule>
  </conditionalFormatting>
  <conditionalFormatting sqref="G52">
    <cfRule type="expression" dxfId="28" priority="12" stopIfTrue="1">
      <formula>$H$52="超过30%"</formula>
    </cfRule>
  </conditionalFormatting>
  <conditionalFormatting sqref="G53">
    <cfRule type="expression" dxfId="27" priority="11" stopIfTrue="1">
      <formula>$H$53="超过20%"</formula>
    </cfRule>
  </conditionalFormatting>
  <conditionalFormatting sqref="G54">
    <cfRule type="expression" dxfId="26" priority="13" stopIfTrue="1">
      <formula>$H$54="超过30%"</formula>
    </cfRule>
  </conditionalFormatting>
  <conditionalFormatting sqref="H48">
    <cfRule type="expression" dxfId="25" priority="3">
      <formula>$D$48="简单平均"</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J48">
    <cfRule type="expression" dxfId="21" priority="2">
      <formula>$D$48="简单平均"</formula>
    </cfRule>
  </conditionalFormatting>
  <conditionalFormatting sqref="J52:J54">
    <cfRule type="containsText" dxfId="2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BA43-2650-45D9-A5DE-33115F32EC19}">
  <dimension ref="E38:L47"/>
  <sheetViews>
    <sheetView topLeftCell="A22" workbookViewId="0">
      <selection activeCell="G39" sqref="G39"/>
    </sheetView>
  </sheetViews>
  <sheetFormatPr defaultRowHeight="13.5"/>
  <cols>
    <col min="12" max="12" width="12.75" bestFit="1" customWidth="1"/>
  </cols>
  <sheetData>
    <row r="38" spans="5:12">
      <c r="E38" s="1292" t="s">
        <v>3348</v>
      </c>
      <c r="F38">
        <v>70</v>
      </c>
      <c r="G38">
        <v>10.96</v>
      </c>
      <c r="H38" s="1292" t="s">
        <v>3349</v>
      </c>
      <c r="J38" s="1292" t="s">
        <v>3355</v>
      </c>
    </row>
    <row r="39" spans="5:12">
      <c r="F39">
        <v>120</v>
      </c>
      <c r="G39">
        <v>8</v>
      </c>
      <c r="H39" s="1292" t="s">
        <v>3350</v>
      </c>
      <c r="L39">
        <v>13161939954</v>
      </c>
    </row>
    <row r="40" spans="5:12">
      <c r="F40">
        <v>220</v>
      </c>
      <c r="G40">
        <v>4.0999999999999996</v>
      </c>
      <c r="H40" s="1292" t="s">
        <v>3351</v>
      </c>
    </row>
    <row r="41" spans="5:12">
      <c r="E41" s="1292" t="s">
        <v>3352</v>
      </c>
      <c r="F41">
        <v>64.56</v>
      </c>
      <c r="G41">
        <v>12.74</v>
      </c>
      <c r="H41" s="1292" t="s">
        <v>3353</v>
      </c>
    </row>
    <row r="42" spans="5:12">
      <c r="E42" s="1292" t="s">
        <v>3357</v>
      </c>
      <c r="F42">
        <v>90</v>
      </c>
      <c r="G42">
        <v>7.33</v>
      </c>
      <c r="L42">
        <v>13301367727</v>
      </c>
    </row>
    <row r="43" spans="5:12">
      <c r="E43" s="1292" t="s">
        <v>3352</v>
      </c>
      <c r="F43">
        <v>170</v>
      </c>
      <c r="G43">
        <v>7</v>
      </c>
    </row>
    <row r="44" spans="5:12">
      <c r="E44" s="1292" t="s">
        <v>3354</v>
      </c>
      <c r="F44">
        <v>300</v>
      </c>
      <c r="G44">
        <v>12</v>
      </c>
      <c r="H44" s="1292" t="s">
        <v>3356</v>
      </c>
    </row>
    <row r="45" spans="5:12">
      <c r="E45" s="1292" t="s">
        <v>3358</v>
      </c>
      <c r="F45">
        <v>60</v>
      </c>
      <c r="G45">
        <v>8.33</v>
      </c>
    </row>
    <row r="46" spans="5:12">
      <c r="E46" s="1292" t="s">
        <v>3360</v>
      </c>
      <c r="F46">
        <v>65</v>
      </c>
      <c r="G46">
        <v>7.69</v>
      </c>
    </row>
    <row r="47" spans="5:12">
      <c r="E47" s="1292" t="s">
        <v>3359</v>
      </c>
      <c r="F47">
        <v>26.24</v>
      </c>
      <c r="G47">
        <v>10.8</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70AD-FDA1-4C11-8C9D-F888596B9DCB}">
  <sheetPr>
    <tabColor rgb="FF92D050"/>
    <pageSetUpPr fitToPage="1"/>
  </sheetPr>
  <dimension ref="A1:AC148"/>
  <sheetViews>
    <sheetView tabSelected="1" view="pageBreakPreview" topLeftCell="A16" zoomScale="115" zoomScaleNormal="60" zoomScaleSheetLayoutView="115" workbookViewId="0">
      <selection activeCell="M43" sqref="M43"/>
    </sheetView>
  </sheetViews>
  <sheetFormatPr defaultColWidth="9" defaultRowHeight="14.25"/>
  <cols>
    <col min="1" max="1" width="10.5" style="3359" customWidth="1"/>
    <col min="2" max="3" width="15.75" style="3359" customWidth="1"/>
    <col min="4" max="4" width="12.25" style="3359" customWidth="1"/>
    <col min="5" max="5" width="17.125" style="3359" customWidth="1"/>
    <col min="6" max="6" width="12.25" style="3359" customWidth="1"/>
    <col min="7" max="7" width="16.5" style="3359" customWidth="1"/>
    <col min="8" max="8" width="12.25" style="3359" customWidth="1"/>
    <col min="9" max="9" width="15.625" style="3359" customWidth="1"/>
    <col min="10" max="10" width="12.25" style="3359" customWidth="1"/>
    <col min="11" max="11" width="12.25" style="3666" customWidth="1"/>
    <col min="12" max="12" width="12.25" style="3667" customWidth="1"/>
    <col min="13" max="15" width="12.25" style="3359" customWidth="1"/>
    <col min="16" max="16" width="4.75" style="3535" customWidth="1"/>
    <col min="17" max="17" width="19.5" style="3359" customWidth="1"/>
    <col min="18" max="22" width="6.125" style="3359" customWidth="1"/>
    <col min="23" max="23" width="5.75" style="3359" customWidth="1"/>
    <col min="24" max="24" width="4.25" style="3359" customWidth="1"/>
    <col min="25" max="25" width="3.5" style="3359" customWidth="1"/>
    <col min="26" max="26" width="19.75" style="3359" customWidth="1"/>
    <col min="27" max="28" width="9.375" style="3359" customWidth="1"/>
    <col min="29" max="16384" width="9" style="3359"/>
  </cols>
  <sheetData>
    <row r="1" spans="1:29" s="3329" customFormat="1" ht="28.5" customHeight="1" thickBot="1">
      <c r="A1" s="3316" t="s">
        <v>1652</v>
      </c>
      <c r="B1" s="3317" t="s">
        <v>3368</v>
      </c>
      <c r="C1" s="3318" t="s">
        <v>3369</v>
      </c>
      <c r="D1" s="3319"/>
      <c r="E1" s="3320"/>
      <c r="F1" s="3321"/>
      <c r="G1" s="3322" t="s">
        <v>3370</v>
      </c>
      <c r="H1" s="3323"/>
      <c r="I1" s="3323"/>
      <c r="J1" s="3323"/>
      <c r="K1" s="3324"/>
      <c r="L1" s="3325"/>
      <c r="M1" s="3318"/>
      <c r="N1" s="3318"/>
      <c r="O1" s="3318"/>
      <c r="P1" s="3326"/>
      <c r="Q1" s="3327"/>
      <c r="R1" s="3327"/>
      <c r="S1" s="3327"/>
      <c r="T1" s="3327"/>
      <c r="U1" s="3327"/>
      <c r="V1" s="3327"/>
      <c r="W1" s="3327"/>
      <c r="X1" s="3327"/>
      <c r="Y1" s="3327"/>
      <c r="Z1" s="3327"/>
      <c r="AA1" s="3327"/>
      <c r="AB1" s="3327"/>
      <c r="AC1" s="3328"/>
    </row>
    <row r="2" spans="1:29" s="3339" customFormat="1" ht="28.5" customHeight="1" thickTop="1">
      <c r="A2" s="1048" t="s">
        <v>1859</v>
      </c>
      <c r="B2" s="3330" t="b">
        <f>IF(E1="项目模式",IF(C2="——",ROUND(C49*D3/10000,0),ROUND(C49*D3/10000,0)-D2),IF(E1="单套模式",IF(C2="——",ROUND(C49*D3/10000,4),ROUND(C49*D3/10000,4)-D2)))</f>
        <v>0</v>
      </c>
      <c r="C2" s="1623"/>
      <c r="D2" s="3331" t="e">
        <f ca="1">IF(E1="项目模式",SUMIF(INDIRECT("'"&amp;F2&amp;"'"&amp;"!A:A"),"承租人权益价值",INDIRECT("'"&amp;F2&amp;"'"&amp;"!c:c")),SUMIF(INDIRECT("'"&amp;F2&amp;"'"&amp;"!A:A"),"承租人权益价值（单套）",INDIRECT("'"&amp;F2&amp;"'"&amp;"!c:c")))</f>
        <v>#REF!</v>
      </c>
      <c r="E2" s="1624" t="s">
        <v>1860</v>
      </c>
      <c r="F2" s="1625"/>
      <c r="G2" s="3332"/>
      <c r="H2" s="3332"/>
      <c r="I2" s="3332"/>
      <c r="J2" s="3332"/>
      <c r="K2" s="3333"/>
      <c r="L2" s="3334"/>
      <c r="M2" s="3335"/>
      <c r="N2" s="3335"/>
      <c r="O2" s="3335"/>
      <c r="P2" s="3336"/>
      <c r="Q2" s="3337"/>
      <c r="R2" s="3337"/>
      <c r="S2" s="3337"/>
      <c r="T2" s="3337"/>
      <c r="U2" s="3337"/>
      <c r="V2" s="3337"/>
      <c r="W2" s="3337"/>
      <c r="X2" s="3337"/>
      <c r="Y2" s="3337"/>
      <c r="Z2" s="3337"/>
      <c r="AA2" s="3337"/>
      <c r="AB2" s="3337"/>
      <c r="AC2" s="3338"/>
    </row>
    <row r="3" spans="1:29" s="3339" customFormat="1" ht="28.5" customHeight="1" thickBot="1">
      <c r="A3" s="194" t="s">
        <v>1865</v>
      </c>
      <c r="B3" s="3340" t="e">
        <f>IF(C2="——",C49,ROUND(B2*10000/D3,0))</f>
        <v>#DIV/0!</v>
      </c>
      <c r="C3" s="3341" t="s">
        <v>3371</v>
      </c>
      <c r="D3" s="3340">
        <f>IF(D1="",'[2]数据-汇总表'!E3,SUMIF('[2]数据-汇总表'!$C19:$C33,D1,'[2]数据-汇总表'!$E19:$E33))</f>
        <v>0</v>
      </c>
      <c r="E3" s="3332"/>
      <c r="F3" s="3342"/>
      <c r="G3" s="3332"/>
      <c r="H3" s="3332"/>
      <c r="I3" s="3332"/>
      <c r="J3" s="3332"/>
      <c r="K3" s="3333"/>
      <c r="L3" s="3334"/>
      <c r="M3" s="3335"/>
      <c r="N3" s="3335"/>
      <c r="O3" s="3335"/>
      <c r="P3" s="3336"/>
      <c r="Q3" s="3337"/>
      <c r="R3" s="3337"/>
      <c r="S3" s="3337"/>
      <c r="T3" s="3337"/>
      <c r="U3" s="3337"/>
      <c r="V3" s="3337"/>
      <c r="W3" s="3337"/>
      <c r="X3" s="3337"/>
      <c r="Y3" s="3337"/>
      <c r="Z3" s="3337"/>
      <c r="AA3" s="3337"/>
      <c r="AB3" s="3337"/>
      <c r="AC3" s="3338"/>
    </row>
    <row r="4" spans="1:29" ht="15">
      <c r="A4" s="3343" t="s">
        <v>1701</v>
      </c>
      <c r="B4" s="3344"/>
      <c r="C4" s="3345" t="s">
        <v>1702</v>
      </c>
      <c r="D4" s="3346"/>
      <c r="E4" s="3347" t="s">
        <v>1703</v>
      </c>
      <c r="F4" s="3348"/>
      <c r="G4" s="3345" t="s">
        <v>1704</v>
      </c>
      <c r="H4" s="3346"/>
      <c r="I4" s="3345" t="s">
        <v>1705</v>
      </c>
      <c r="J4" s="3346"/>
      <c r="K4" s="3349" t="s">
        <v>1706</v>
      </c>
      <c r="L4" s="3350"/>
      <c r="M4" s="3351"/>
      <c r="N4" s="3351"/>
      <c r="O4" s="3351"/>
      <c r="P4" s="3352" t="s">
        <v>1707</v>
      </c>
      <c r="Q4" s="3353"/>
      <c r="R4" s="3354" t="s">
        <v>1703</v>
      </c>
      <c r="S4" s="3355"/>
      <c r="T4" s="3354" t="s">
        <v>1704</v>
      </c>
      <c r="U4" s="3355"/>
      <c r="V4" s="3356" t="s">
        <v>1705</v>
      </c>
      <c r="W4" s="3356"/>
      <c r="X4" s="3357"/>
      <c r="Y4" s="3354" t="s">
        <v>1707</v>
      </c>
      <c r="Z4" s="3355"/>
      <c r="AA4" s="3358" t="s">
        <v>1703</v>
      </c>
      <c r="AB4" s="3358" t="s">
        <v>1704</v>
      </c>
      <c r="AC4" s="3358" t="s">
        <v>1705</v>
      </c>
    </row>
    <row r="5" spans="1:29" ht="15">
      <c r="A5" s="3360"/>
      <c r="B5" s="3361"/>
      <c r="C5" s="3362" t="s">
        <v>1654</v>
      </c>
      <c r="D5" s="3363"/>
      <c r="E5" s="3364" t="s">
        <v>1655</v>
      </c>
      <c r="F5" s="3365"/>
      <c r="G5" s="3362" t="s">
        <v>1656</v>
      </c>
      <c r="H5" s="3363"/>
      <c r="I5" s="3362" t="s">
        <v>1657</v>
      </c>
      <c r="J5" s="3363"/>
      <c r="K5" s="3366"/>
      <c r="L5" s="3350"/>
      <c r="M5" s="3351"/>
      <c r="N5" s="3351"/>
      <c r="O5" s="3351"/>
      <c r="P5" s="3367"/>
      <c r="Q5" s="3368"/>
      <c r="R5" s="3369"/>
      <c r="S5" s="3370"/>
      <c r="T5" s="3369"/>
      <c r="U5" s="3370"/>
      <c r="V5" s="3356"/>
      <c r="W5" s="3356"/>
      <c r="X5" s="3357"/>
      <c r="Y5" s="3369"/>
      <c r="Z5" s="3370"/>
      <c r="AA5" s="3371"/>
      <c r="AB5" s="3371"/>
      <c r="AC5" s="3371"/>
    </row>
    <row r="6" spans="1:29" ht="15.75" thickBot="1">
      <c r="A6" s="3372"/>
      <c r="B6" s="3373"/>
      <c r="C6" s="3374" t="s">
        <v>1658</v>
      </c>
      <c r="D6" s="3375"/>
      <c r="E6" s="3376" t="s">
        <v>1658</v>
      </c>
      <c r="F6" s="3377"/>
      <c r="G6" s="3374" t="s">
        <v>1658</v>
      </c>
      <c r="H6" s="3375"/>
      <c r="I6" s="3374" t="s">
        <v>1658</v>
      </c>
      <c r="J6" s="3375"/>
      <c r="K6" s="3366" t="s">
        <v>1659</v>
      </c>
      <c r="L6" s="3350"/>
      <c r="M6" s="3351"/>
      <c r="N6" s="3351"/>
      <c r="O6" s="3351"/>
      <c r="P6" s="3378"/>
      <c r="Q6" s="3379"/>
      <c r="R6" s="3369"/>
      <c r="S6" s="3370"/>
      <c r="T6" s="3380"/>
      <c r="U6" s="3381"/>
      <c r="V6" s="3356"/>
      <c r="W6" s="3356"/>
      <c r="X6" s="3357"/>
      <c r="Y6" s="3380"/>
      <c r="Z6" s="3381"/>
      <c r="AA6" s="3382"/>
      <c r="AB6" s="3382"/>
      <c r="AC6" s="3382"/>
    </row>
    <row r="7" spans="1:29" s="3399" customFormat="1" ht="15.75" thickBot="1">
      <c r="A7" s="3383" t="s">
        <v>1660</v>
      </c>
      <c r="B7" s="3384"/>
      <c r="C7" s="3385">
        <f>'[2]数据-取费表'!B2</f>
        <v>46083</v>
      </c>
      <c r="D7" s="3386">
        <v>100</v>
      </c>
      <c r="E7" s="3387">
        <v>46082</v>
      </c>
      <c r="F7" s="3388">
        <f>SUMIF(58:58,YEAR(E7)&amp;"-"&amp;MONTH(E7),59:59)</f>
        <v>100</v>
      </c>
      <c r="G7" s="3387">
        <v>46082</v>
      </c>
      <c r="H7" s="3386">
        <f>SUMIF(58:58,YEAR(G7)&amp;"-"&amp;MONTH(G7),59:59)</f>
        <v>100</v>
      </c>
      <c r="I7" s="3387">
        <v>46082</v>
      </c>
      <c r="J7" s="3386">
        <f>SUMIF(58:58,YEAR(I7)&amp;"-"&amp;MONTH(I7),59:59)</f>
        <v>100</v>
      </c>
      <c r="K7" s="3389"/>
      <c r="L7" s="3390"/>
      <c r="M7" s="3391"/>
      <c r="N7" s="3391"/>
      <c r="O7" s="3391"/>
      <c r="P7" s="3392" t="s">
        <v>1661</v>
      </c>
      <c r="Q7" s="3393"/>
      <c r="R7" s="3394" t="s">
        <v>14</v>
      </c>
      <c r="S7" s="3395">
        <f t="shared" ref="S7:S15" si="0">F7</f>
        <v>100</v>
      </c>
      <c r="T7" s="3394" t="s">
        <v>14</v>
      </c>
      <c r="U7" s="3395">
        <f t="shared" ref="U7:U15" si="1">H7</f>
        <v>100</v>
      </c>
      <c r="V7" s="3394" t="s">
        <v>14</v>
      </c>
      <c r="W7" s="3395">
        <f t="shared" ref="W7:W15" si="2">J7</f>
        <v>100</v>
      </c>
      <c r="X7" s="3396"/>
      <c r="Y7" s="3392" t="s">
        <v>1661</v>
      </c>
      <c r="Z7" s="3397"/>
      <c r="AA7" s="3398">
        <f>D7/F7</f>
        <v>1</v>
      </c>
      <c r="AB7" s="3398">
        <f>D7/H7</f>
        <v>1</v>
      </c>
      <c r="AC7" s="3398">
        <f>D7/J7</f>
        <v>1</v>
      </c>
    </row>
    <row r="8" spans="1:29" s="3399" customFormat="1" ht="15.75" thickBot="1">
      <c r="A8" s="3383" t="s">
        <v>1662</v>
      </c>
      <c r="B8" s="3384"/>
      <c r="C8" s="3400" t="s">
        <v>3324</v>
      </c>
      <c r="D8" s="3386">
        <v>100</v>
      </c>
      <c r="E8" s="3401" t="s">
        <v>3324</v>
      </c>
      <c r="F8" s="3388">
        <f>SUMIF(61:61,E8,62:62)-SUMIF(61:61,C8,62:62)+100</f>
        <v>100</v>
      </c>
      <c r="G8" s="3401" t="s">
        <v>3324</v>
      </c>
      <c r="H8" s="3386">
        <f>SUMIF(61:61,G8,62:62)-SUMIF(61:61,C8,62:62)+100</f>
        <v>100</v>
      </c>
      <c r="I8" s="3401" t="s">
        <v>3324</v>
      </c>
      <c r="J8" s="3386">
        <f>SUMIF(61:61,I8,62:62)-SUMIF(61:61,C8,62:62)+100</f>
        <v>100</v>
      </c>
      <c r="K8" s="3389"/>
      <c r="L8" s="3390"/>
      <c r="M8" s="3391"/>
      <c r="N8" s="3391"/>
      <c r="O8" s="3391"/>
      <c r="P8" s="3392" t="s">
        <v>1664</v>
      </c>
      <c r="Q8" s="3397"/>
      <c r="R8" s="3394" t="s">
        <v>14</v>
      </c>
      <c r="S8" s="3395">
        <f t="shared" si="0"/>
        <v>100</v>
      </c>
      <c r="T8" s="3394" t="s">
        <v>14</v>
      </c>
      <c r="U8" s="3395">
        <f t="shared" si="1"/>
        <v>100</v>
      </c>
      <c r="V8" s="3394" t="s">
        <v>14</v>
      </c>
      <c r="W8" s="3395">
        <f t="shared" si="2"/>
        <v>100</v>
      </c>
      <c r="X8" s="3396"/>
      <c r="Y8" s="3392" t="s">
        <v>1664</v>
      </c>
      <c r="Z8" s="3397"/>
      <c r="AA8" s="3398">
        <f t="shared" ref="AA8:AA19" si="3">D8/F8</f>
        <v>1</v>
      </c>
      <c r="AB8" s="3398">
        <f t="shared" ref="AB8:AB19" si="4">D8/H8</f>
        <v>1</v>
      </c>
      <c r="AC8" s="3398">
        <f t="shared" ref="AC8:AC19" si="5">D8/J8</f>
        <v>1</v>
      </c>
    </row>
    <row r="9" spans="1:29" s="3399" customFormat="1">
      <c r="A9" s="3402" t="s">
        <v>1665</v>
      </c>
      <c r="B9" s="3403" t="s">
        <v>1666</v>
      </c>
      <c r="C9" s="3404"/>
      <c r="D9" s="3405">
        <v>100</v>
      </c>
      <c r="E9" s="3406"/>
      <c r="F9" s="3403">
        <f>SUMIF(63:63,E9,64:64)-SUMIF(63:63,C9,64:64)+100</f>
        <v>100</v>
      </c>
      <c r="G9" s="3407"/>
      <c r="H9" s="3405">
        <f>SUMIF(63:63,G9,64:64)-SUMIF(63:63,C9,64:64)+100</f>
        <v>100</v>
      </c>
      <c r="I9" s="3407"/>
      <c r="J9" s="3405">
        <f>SUMIF(63:63,I9,64:64)-SUMIF(63:63,C9,64:64)+100</f>
        <v>100</v>
      </c>
      <c r="K9" s="3389"/>
      <c r="L9" s="3390"/>
      <c r="M9" s="3391"/>
      <c r="N9" s="3391"/>
      <c r="O9" s="3391"/>
      <c r="P9" s="3408" t="s">
        <v>1667</v>
      </c>
      <c r="Q9" s="3409" t="str">
        <f t="shared" ref="Q9:Q15" si="6">B9</f>
        <v>用途</v>
      </c>
      <c r="R9" s="3394" t="s">
        <v>14</v>
      </c>
      <c r="S9" s="3395">
        <f t="shared" si="0"/>
        <v>100</v>
      </c>
      <c r="T9" s="3394" t="s">
        <v>14</v>
      </c>
      <c r="U9" s="3395">
        <f t="shared" si="1"/>
        <v>100</v>
      </c>
      <c r="V9" s="3394" t="s">
        <v>14</v>
      </c>
      <c r="W9" s="3395">
        <f t="shared" si="2"/>
        <v>100</v>
      </c>
      <c r="X9" s="3396"/>
      <c r="Y9" s="3410" t="s">
        <v>1668</v>
      </c>
      <c r="Z9" s="3398" t="str">
        <f t="shared" ref="Z9:Z15" si="7">Q9</f>
        <v>用途</v>
      </c>
      <c r="AA9" s="3398">
        <f t="shared" si="3"/>
        <v>1</v>
      </c>
      <c r="AB9" s="3398">
        <f t="shared" si="4"/>
        <v>1</v>
      </c>
      <c r="AC9" s="3398">
        <f t="shared" si="5"/>
        <v>1</v>
      </c>
    </row>
    <row r="10" spans="1:29" s="3418" customFormat="1" ht="27">
      <c r="A10" s="3411"/>
      <c r="B10" s="3412" t="s">
        <v>1669</v>
      </c>
      <c r="C10" s="3413"/>
      <c r="D10" s="3414">
        <v>100</v>
      </c>
      <c r="E10" s="3415"/>
      <c r="F10" s="3412">
        <f>SUMIF(65:65,E10,66:66)-SUMIF(65:65,C10,66:66)+100</f>
        <v>100</v>
      </c>
      <c r="G10" s="3413"/>
      <c r="H10" s="3414">
        <f>SUMIF(65:65,G10,66:66)-SUMIF(65:65,C10,66:66)+100</f>
        <v>100</v>
      </c>
      <c r="I10" s="3413"/>
      <c r="J10" s="3414">
        <f>SUMIF(65:65,I10,66:66)-SUMIF(65:65,C10,66:66)+100</f>
        <v>100</v>
      </c>
      <c r="K10" s="3389"/>
      <c r="L10" s="3416"/>
      <c r="M10" s="3417"/>
      <c r="N10" s="3417"/>
      <c r="O10" s="3417"/>
      <c r="P10" s="3408"/>
      <c r="Q10" s="3409" t="str">
        <f t="shared" si="6"/>
        <v>土地使用年限（年）</v>
      </c>
      <c r="R10" s="3394" t="s">
        <v>14</v>
      </c>
      <c r="S10" s="3395">
        <f t="shared" si="0"/>
        <v>100</v>
      </c>
      <c r="T10" s="3394" t="s">
        <v>14</v>
      </c>
      <c r="U10" s="3395">
        <f t="shared" si="1"/>
        <v>100</v>
      </c>
      <c r="V10" s="3394" t="s">
        <v>14</v>
      </c>
      <c r="W10" s="3395">
        <f t="shared" si="2"/>
        <v>100</v>
      </c>
      <c r="X10" s="3396"/>
      <c r="Y10" s="3410"/>
      <c r="Z10" s="3398" t="str">
        <f t="shared" si="7"/>
        <v>土地使用年限（年）</v>
      </c>
      <c r="AA10" s="3398">
        <f t="shared" si="3"/>
        <v>1</v>
      </c>
      <c r="AB10" s="3398">
        <f t="shared" si="4"/>
        <v>1</v>
      </c>
      <c r="AC10" s="3398">
        <f t="shared" si="5"/>
        <v>1</v>
      </c>
    </row>
    <row r="11" spans="1:29" ht="15">
      <c r="A11" s="3419"/>
      <c r="B11" s="3412" t="s">
        <v>1670</v>
      </c>
      <c r="C11" s="3420"/>
      <c r="D11" s="3414">
        <v>100</v>
      </c>
      <c r="E11" s="3421"/>
      <c r="F11" s="3412">
        <f>LOOKUP(E11,68:68,69:69)-LOOKUP(C11,68:68,69:69)+100</f>
        <v>100</v>
      </c>
      <c r="G11" s="3420"/>
      <c r="H11" s="3414">
        <f>LOOKUP(G11,68:68,69:69)-LOOKUP(C11,68:68,69:69)+100</f>
        <v>100</v>
      </c>
      <c r="I11" s="3420"/>
      <c r="J11" s="3414">
        <f>LOOKUP(I11,68:68,69:69)-LOOKUP(C11,68:68,69:69)+100</f>
        <v>100</v>
      </c>
      <c r="K11" s="3422"/>
      <c r="L11" s="3423"/>
      <c r="M11" s="3351"/>
      <c r="N11" s="3351"/>
      <c r="O11" s="3351"/>
      <c r="P11" s="3408"/>
      <c r="Q11" s="3409" t="str">
        <f t="shared" si="6"/>
        <v>容积率</v>
      </c>
      <c r="R11" s="3394" t="s">
        <v>14</v>
      </c>
      <c r="S11" s="3395">
        <f t="shared" si="0"/>
        <v>100</v>
      </c>
      <c r="T11" s="3394" t="s">
        <v>14</v>
      </c>
      <c r="U11" s="3395">
        <f t="shared" si="1"/>
        <v>100</v>
      </c>
      <c r="V11" s="3394" t="s">
        <v>14</v>
      </c>
      <c r="W11" s="3395">
        <f t="shared" si="2"/>
        <v>100</v>
      </c>
      <c r="X11" s="3396"/>
      <c r="Y11" s="3410"/>
      <c r="Z11" s="3398" t="str">
        <f t="shared" si="7"/>
        <v>容积率</v>
      </c>
      <c r="AA11" s="3398">
        <f t="shared" si="3"/>
        <v>1</v>
      </c>
      <c r="AB11" s="3398">
        <f t="shared" si="4"/>
        <v>1</v>
      </c>
      <c r="AC11" s="3398">
        <f t="shared" si="5"/>
        <v>1</v>
      </c>
    </row>
    <row r="12" spans="1:29" s="3399" customFormat="1" ht="15">
      <c r="A12" s="3424"/>
      <c r="B12" s="3425">
        <v>111</v>
      </c>
      <c r="C12" s="3426"/>
      <c r="D12" s="3427">
        <v>100</v>
      </c>
      <c r="E12" s="3426"/>
      <c r="F12" s="3412">
        <f>SUMIF(70:70,E12,71:71)-SUMIF(70:70,C12,71:71)+100</f>
        <v>100</v>
      </c>
      <c r="G12" s="3426"/>
      <c r="H12" s="3414">
        <f>SUMIF(70:70,G12,71:71)-SUMIF(70:70,C12,71:71)+100</f>
        <v>100</v>
      </c>
      <c r="I12" s="3426"/>
      <c r="J12" s="3414">
        <f>SUMIF(70:70,I12,71:71)-SUMIF(70:70,C12,71:71)+100</f>
        <v>100</v>
      </c>
      <c r="K12" s="3428"/>
      <c r="L12" s="3390"/>
      <c r="M12" s="3391"/>
      <c r="N12" s="3391"/>
      <c r="O12" s="3391"/>
      <c r="P12" s="3408"/>
      <c r="Q12" s="3409">
        <f t="shared" si="6"/>
        <v>111</v>
      </c>
      <c r="R12" s="3394" t="s">
        <v>14</v>
      </c>
      <c r="S12" s="3395">
        <f t="shared" si="0"/>
        <v>100</v>
      </c>
      <c r="T12" s="3394" t="s">
        <v>14</v>
      </c>
      <c r="U12" s="3395">
        <f t="shared" si="1"/>
        <v>100</v>
      </c>
      <c r="V12" s="3394" t="s">
        <v>14</v>
      </c>
      <c r="W12" s="3395">
        <f t="shared" si="2"/>
        <v>100</v>
      </c>
      <c r="X12" s="3396"/>
      <c r="Y12" s="3410"/>
      <c r="Z12" s="3398">
        <f t="shared" si="7"/>
        <v>111</v>
      </c>
      <c r="AA12" s="3398">
        <f>D12/F12</f>
        <v>1</v>
      </c>
      <c r="AB12" s="3398">
        <f>D12/H12</f>
        <v>1</v>
      </c>
      <c r="AC12" s="3398">
        <f>D12/J12</f>
        <v>1</v>
      </c>
    </row>
    <row r="13" spans="1:29" ht="15">
      <c r="A13" s="3419"/>
      <c r="B13" s="3425">
        <v>111</v>
      </c>
      <c r="C13" s="3429"/>
      <c r="D13" s="3430">
        <v>100</v>
      </c>
      <c r="E13" s="3429"/>
      <c r="F13" s="3412">
        <f>SUMIF(72:72,E13,73:73)-SUMIF(72:72,C13,73:73)+100</f>
        <v>100</v>
      </c>
      <c r="G13" s="3429"/>
      <c r="H13" s="3430">
        <f>SUMIF(72:72,G13,73:73)-SUMIF(72:72,C13,73:73)+100</f>
        <v>100</v>
      </c>
      <c r="I13" s="3429"/>
      <c r="J13" s="3430">
        <f>SUMIF(72:72,I13,73:73)-SUMIF(72:72,C13,73:73)+100</f>
        <v>100</v>
      </c>
      <c r="K13" s="3428"/>
      <c r="L13" s="3431"/>
      <c r="M13" s="3351"/>
      <c r="N13" s="3351"/>
      <c r="O13" s="3351"/>
      <c r="P13" s="3408"/>
      <c r="Q13" s="3409">
        <f t="shared" si="6"/>
        <v>111</v>
      </c>
      <c r="R13" s="3394" t="s">
        <v>14</v>
      </c>
      <c r="S13" s="3395">
        <f t="shared" si="0"/>
        <v>100</v>
      </c>
      <c r="T13" s="3394" t="s">
        <v>14</v>
      </c>
      <c r="U13" s="3395">
        <f t="shared" si="1"/>
        <v>100</v>
      </c>
      <c r="V13" s="3394" t="s">
        <v>14</v>
      </c>
      <c r="W13" s="3395">
        <f t="shared" si="2"/>
        <v>100</v>
      </c>
      <c r="X13" s="3396"/>
      <c r="Y13" s="3410"/>
      <c r="Z13" s="3398">
        <f t="shared" si="7"/>
        <v>111</v>
      </c>
      <c r="AA13" s="3398">
        <f t="shared" si="3"/>
        <v>1</v>
      </c>
      <c r="AB13" s="3398">
        <f t="shared" si="4"/>
        <v>1</v>
      </c>
      <c r="AC13" s="3398">
        <f t="shared" si="5"/>
        <v>1</v>
      </c>
    </row>
    <row r="14" spans="1:29" ht="15.75" thickBot="1">
      <c r="A14" s="3432"/>
      <c r="B14" s="3433">
        <v>111</v>
      </c>
      <c r="C14" s="3434"/>
      <c r="D14" s="3435">
        <v>100</v>
      </c>
      <c r="E14" s="3434"/>
      <c r="F14" s="3436">
        <f>SUMIF(74:74,E14,75:75)-SUMIF(74:74,C14,75:75)+100</f>
        <v>100</v>
      </c>
      <c r="G14" s="3434"/>
      <c r="H14" s="3435">
        <f>SUMIF(74:74,G14,75:75)-SUMIF(74:74,C14,75:75)+100</f>
        <v>100</v>
      </c>
      <c r="I14" s="3434"/>
      <c r="J14" s="3435">
        <f>SUMIF(74:74,I14,75:75)-SUMIF(74:74,C14,75:75)+100</f>
        <v>100</v>
      </c>
      <c r="K14" s="3428"/>
      <c r="L14" s="3431"/>
      <c r="M14" s="3351"/>
      <c r="N14" s="3351"/>
      <c r="O14" s="3351"/>
      <c r="P14" s="3408"/>
      <c r="Q14" s="3409">
        <f t="shared" si="6"/>
        <v>111</v>
      </c>
      <c r="R14" s="3394" t="s">
        <v>14</v>
      </c>
      <c r="S14" s="3395">
        <f t="shared" si="0"/>
        <v>100</v>
      </c>
      <c r="T14" s="3394" t="s">
        <v>14</v>
      </c>
      <c r="U14" s="3395">
        <f t="shared" si="1"/>
        <v>100</v>
      </c>
      <c r="V14" s="3394" t="s">
        <v>14</v>
      </c>
      <c r="W14" s="3395">
        <f t="shared" si="2"/>
        <v>100</v>
      </c>
      <c r="X14" s="3396"/>
      <c r="Y14" s="3410"/>
      <c r="Z14" s="3398">
        <f t="shared" si="7"/>
        <v>111</v>
      </c>
      <c r="AA14" s="3398">
        <f t="shared" si="3"/>
        <v>1</v>
      </c>
      <c r="AB14" s="3398">
        <f t="shared" si="4"/>
        <v>1</v>
      </c>
      <c r="AC14" s="3398">
        <f t="shared" si="5"/>
        <v>1</v>
      </c>
    </row>
    <row r="15" spans="1:29" ht="85.5">
      <c r="A15" s="3437" t="s">
        <v>1671</v>
      </c>
      <c r="B15" s="3438" t="s">
        <v>1251</v>
      </c>
      <c r="C15" s="3439" t="str">
        <f>[2]估价对象房地状况!C3</f>
        <v>估价对象周边居住用地比例、居住小区规模和社区发展完善程度，综合评价居住社区成熟度一般</v>
      </c>
      <c r="D15" s="3440">
        <v>100</v>
      </c>
      <c r="E15" s="3441"/>
      <c r="F15" s="3440">
        <f>SUMIF(76:76,E16,77:77)-SUMIF(76:76,C16,77:77)+100</f>
        <v>110</v>
      </c>
      <c r="G15" s="3442"/>
      <c r="H15" s="3440">
        <f>SUMIF(76:76,G16,77:77)-SUMIF(76:76,C16,77:77)+100</f>
        <v>110</v>
      </c>
      <c r="I15" s="3442"/>
      <c r="J15" s="3440">
        <f>SUMIF(76:76,I16,77:77)-SUMIF(76:76,C16,77:77)+100</f>
        <v>110</v>
      </c>
      <c r="K15" s="3443">
        <v>5</v>
      </c>
      <c r="L15" s="3431"/>
      <c r="M15" s="3351"/>
      <c r="N15" s="3351"/>
      <c r="O15" s="3351"/>
      <c r="P15" s="3444" t="s">
        <v>1672</v>
      </c>
      <c r="Q15" s="3445" t="str">
        <f t="shared" si="6"/>
        <v>居住社区成熟度</v>
      </c>
      <c r="R15" s="3446" t="s">
        <v>14</v>
      </c>
      <c r="S15" s="3447">
        <f t="shared" si="0"/>
        <v>110</v>
      </c>
      <c r="T15" s="3446" t="s">
        <v>14</v>
      </c>
      <c r="U15" s="3447">
        <f t="shared" si="1"/>
        <v>110</v>
      </c>
      <c r="V15" s="3446" t="s">
        <v>14</v>
      </c>
      <c r="W15" s="3447">
        <f t="shared" si="2"/>
        <v>110</v>
      </c>
      <c r="X15" s="3357"/>
      <c r="Y15" s="3448" t="s">
        <v>1672</v>
      </c>
      <c r="Z15" s="3449" t="str">
        <f t="shared" si="7"/>
        <v>居住社区成熟度</v>
      </c>
      <c r="AA15" s="3449">
        <f t="shared" si="3"/>
        <v>0.90909090909090906</v>
      </c>
      <c r="AB15" s="3449">
        <f t="shared" si="4"/>
        <v>0.90909090909090906</v>
      </c>
      <c r="AC15" s="3449">
        <f t="shared" si="5"/>
        <v>0.90909090909090906</v>
      </c>
    </row>
    <row r="16" spans="1:29" ht="15">
      <c r="A16" s="3419"/>
      <c r="B16" s="3450"/>
      <c r="C16" s="3709" t="s">
        <v>3414</v>
      </c>
      <c r="D16" s="3452"/>
      <c r="E16" s="3710" t="s">
        <v>3413</v>
      </c>
      <c r="F16" s="3452"/>
      <c r="G16" s="3710" t="s">
        <v>3413</v>
      </c>
      <c r="H16" s="3455"/>
      <c r="I16" s="3710" t="s">
        <v>3413</v>
      </c>
      <c r="J16" s="3452"/>
      <c r="K16" s="3456"/>
      <c r="L16" s="3431"/>
      <c r="M16" s="3351"/>
      <c r="N16" s="3351"/>
      <c r="O16" s="3351"/>
      <c r="P16" s="3457"/>
      <c r="Q16" s="3445"/>
      <c r="R16" s="3446"/>
      <c r="S16" s="3447"/>
      <c r="T16" s="3446"/>
      <c r="U16" s="3447"/>
      <c r="V16" s="3446"/>
      <c r="W16" s="3447"/>
      <c r="X16" s="3357"/>
      <c r="Y16" s="3458"/>
      <c r="Z16" s="3449"/>
      <c r="AA16" s="3449">
        <v>1</v>
      </c>
      <c r="AB16" s="3449">
        <v>1</v>
      </c>
      <c r="AC16" s="3449">
        <v>1</v>
      </c>
    </row>
    <row r="17" spans="1:29" ht="71.25">
      <c r="A17" s="3419"/>
      <c r="B17" s="3459" t="s">
        <v>1252</v>
      </c>
      <c r="C17" s="3460" t="str">
        <f>[2]估价对象房地状况!C6</f>
        <v>估价对象周边道路状况、公共交通通达情况、停车便捷程度，综合评价交通便捷度较好</v>
      </c>
      <c r="D17" s="3455">
        <v>100</v>
      </c>
      <c r="E17" s="3461"/>
      <c r="F17" s="3455">
        <f>SUMIF(78:78,E18,79:79)-SUMIF(78:78,C18,79:79)+100</f>
        <v>103</v>
      </c>
      <c r="G17" s="3462"/>
      <c r="H17" s="3463">
        <f>SUMIF(78:78,G18,79:79)-SUMIF(78:78,C18,79:79)+100</f>
        <v>103</v>
      </c>
      <c r="I17" s="3462"/>
      <c r="J17" s="3463">
        <f>SUMIF(78:78,I18,79:79)-SUMIF(78:78,C18,79:79)+100</f>
        <v>103</v>
      </c>
      <c r="K17" s="3443">
        <v>3</v>
      </c>
      <c r="L17" s="3431"/>
      <c r="M17" s="3351"/>
      <c r="N17" s="3351"/>
      <c r="O17" s="3351"/>
      <c r="P17" s="3457"/>
      <c r="Q17" s="3445" t="str">
        <f>B17</f>
        <v>交通便捷度</v>
      </c>
      <c r="R17" s="3446" t="s">
        <v>14</v>
      </c>
      <c r="S17" s="3447">
        <f>F17</f>
        <v>103</v>
      </c>
      <c r="T17" s="3446" t="s">
        <v>14</v>
      </c>
      <c r="U17" s="3447">
        <f>H17</f>
        <v>103</v>
      </c>
      <c r="V17" s="3446" t="s">
        <v>14</v>
      </c>
      <c r="W17" s="3447">
        <f>J17</f>
        <v>103</v>
      </c>
      <c r="X17" s="3357"/>
      <c r="Y17" s="3458"/>
      <c r="Z17" s="3449" t="str">
        <f>Q17</f>
        <v>交通便捷度</v>
      </c>
      <c r="AA17" s="3449">
        <f t="shared" si="3"/>
        <v>0.970873786407767</v>
      </c>
      <c r="AB17" s="3449">
        <f t="shared" si="4"/>
        <v>0.970873786407767</v>
      </c>
      <c r="AC17" s="3449">
        <f t="shared" si="5"/>
        <v>0.970873786407767</v>
      </c>
    </row>
    <row r="18" spans="1:29" ht="15">
      <c r="A18" s="3419"/>
      <c r="B18" s="3464"/>
      <c r="C18" s="3711" t="s">
        <v>3415</v>
      </c>
      <c r="D18" s="3455"/>
      <c r="E18" s="3710" t="s">
        <v>3413</v>
      </c>
      <c r="F18" s="3455"/>
      <c r="G18" s="3710" t="s">
        <v>3413</v>
      </c>
      <c r="H18" s="3452"/>
      <c r="I18" s="3710" t="s">
        <v>3413</v>
      </c>
      <c r="J18" s="3452"/>
      <c r="K18" s="3456"/>
      <c r="L18" s="3431"/>
      <c r="M18" s="3351"/>
      <c r="N18" s="3351"/>
      <c r="O18" s="3351"/>
      <c r="P18" s="3457"/>
      <c r="Q18" s="3445"/>
      <c r="R18" s="3446"/>
      <c r="S18" s="3447"/>
      <c r="T18" s="3446"/>
      <c r="U18" s="3447"/>
      <c r="V18" s="3446"/>
      <c r="W18" s="3447"/>
      <c r="X18" s="3357"/>
      <c r="Y18" s="3458"/>
      <c r="Z18" s="3449"/>
      <c r="AA18" s="3449">
        <v>1</v>
      </c>
      <c r="AB18" s="3449">
        <v>1</v>
      </c>
      <c r="AC18" s="3449">
        <v>1</v>
      </c>
    </row>
    <row r="19" spans="1:29" ht="42.75">
      <c r="A19" s="3419"/>
      <c r="B19" s="3459" t="s">
        <v>1688</v>
      </c>
      <c r="C19" s="3460" t="str">
        <f>[2]估价对象房地状况!C7</f>
        <v>估价对象所在区域公共配套设施齐备情况</v>
      </c>
      <c r="D19" s="3463">
        <v>100</v>
      </c>
      <c r="E19" s="3466"/>
      <c r="F19" s="3463">
        <f>SUMIF(80:80,E20,81:81)-SUMIF(80:80,C20,81:81)+100</f>
        <v>103</v>
      </c>
      <c r="G19" s="3467"/>
      <c r="H19" s="3455">
        <f>SUMIF(80:80,G20,81:81)-SUMIF(80:80,C20,81:81)+100</f>
        <v>103</v>
      </c>
      <c r="I19" s="3467"/>
      <c r="J19" s="3455">
        <f>SUMIF(80:80,I20,81:81)-SUMIF(80:80,C20,81:81)+100</f>
        <v>103</v>
      </c>
      <c r="K19" s="3443">
        <v>3</v>
      </c>
      <c r="L19" s="3431"/>
      <c r="M19" s="3351"/>
      <c r="N19" s="3351"/>
      <c r="O19" s="3351"/>
      <c r="P19" s="3457"/>
      <c r="Q19" s="3445" t="str">
        <f>B19</f>
        <v>公共配套设施</v>
      </c>
      <c r="R19" s="3446" t="s">
        <v>14</v>
      </c>
      <c r="S19" s="3447">
        <f>F19</f>
        <v>103</v>
      </c>
      <c r="T19" s="3446" t="s">
        <v>14</v>
      </c>
      <c r="U19" s="3447">
        <f>H19</f>
        <v>103</v>
      </c>
      <c r="V19" s="3446" t="s">
        <v>14</v>
      </c>
      <c r="W19" s="3447">
        <f>J19</f>
        <v>103</v>
      </c>
      <c r="X19" s="3357"/>
      <c r="Y19" s="3458"/>
      <c r="Z19" s="3449" t="str">
        <f>Q19</f>
        <v>公共配套设施</v>
      </c>
      <c r="AA19" s="3449">
        <f t="shared" si="3"/>
        <v>0.970873786407767</v>
      </c>
      <c r="AB19" s="3449">
        <f t="shared" si="4"/>
        <v>0.970873786407767</v>
      </c>
      <c r="AC19" s="3449">
        <f t="shared" si="5"/>
        <v>0.970873786407767</v>
      </c>
    </row>
    <row r="20" spans="1:29" ht="15">
      <c r="A20" s="3419"/>
      <c r="B20" s="3464"/>
      <c r="C20" s="3709" t="s">
        <v>3415</v>
      </c>
      <c r="D20" s="3452"/>
      <c r="E20" s="3710" t="s">
        <v>3413</v>
      </c>
      <c r="F20" s="3452"/>
      <c r="G20" s="3710" t="s">
        <v>3413</v>
      </c>
      <c r="H20" s="3452"/>
      <c r="I20" s="3710" t="s">
        <v>3413</v>
      </c>
      <c r="J20" s="3452"/>
      <c r="K20" s="3456"/>
      <c r="L20" s="3431"/>
      <c r="M20" s="3351"/>
      <c r="N20" s="3351"/>
      <c r="O20" s="3351"/>
      <c r="P20" s="3457"/>
      <c r="Q20" s="3445"/>
      <c r="R20" s="3446"/>
      <c r="S20" s="3447"/>
      <c r="T20" s="3446"/>
      <c r="U20" s="3447"/>
      <c r="V20" s="3446"/>
      <c r="W20" s="3447"/>
      <c r="X20" s="3357"/>
      <c r="Y20" s="3458"/>
      <c r="Z20" s="3449"/>
      <c r="AA20" s="3449">
        <v>1</v>
      </c>
      <c r="AB20" s="3449">
        <v>1</v>
      </c>
      <c r="AC20" s="3449">
        <v>1</v>
      </c>
    </row>
    <row r="21" spans="1:29" ht="28.5">
      <c r="A21" s="3419"/>
      <c r="B21" s="3468" t="s">
        <v>3372</v>
      </c>
      <c r="C21" s="3460" t="str">
        <f>[2]估价对象房地状况!C8</f>
        <v>估价对象所在区域基础设施水平</v>
      </c>
      <c r="D21" s="3455">
        <v>100</v>
      </c>
      <c r="E21" s="3466"/>
      <c r="F21" s="3463">
        <f>SUMIF(82:82,E22,83:83)-SUMIF(82:82,C22,83:83)+100</f>
        <v>100</v>
      </c>
      <c r="G21" s="3467"/>
      <c r="H21" s="3455">
        <f>SUMIF(82:82,G22,83:83)-SUMIF(82:82,C22,83:83)+100</f>
        <v>100</v>
      </c>
      <c r="I21" s="3467"/>
      <c r="J21" s="3455">
        <f>SUMIF(82:82,I22,83:83)-SUMIF(82:82,C22,83:83)+100</f>
        <v>100</v>
      </c>
      <c r="K21" s="3443"/>
      <c r="L21" s="3431"/>
      <c r="M21" s="3351"/>
      <c r="N21" s="3351"/>
      <c r="O21" s="3351"/>
      <c r="P21" s="3457"/>
      <c r="Q21" s="3445" t="str">
        <f>B21</f>
        <v>基础设施水平</v>
      </c>
      <c r="R21" s="3446" t="s">
        <v>14</v>
      </c>
      <c r="S21" s="3447">
        <f>F21</f>
        <v>100</v>
      </c>
      <c r="T21" s="3446" t="s">
        <v>14</v>
      </c>
      <c r="U21" s="3447">
        <f>H21</f>
        <v>100</v>
      </c>
      <c r="V21" s="3446" t="s">
        <v>14</v>
      </c>
      <c r="W21" s="3447">
        <f>J21</f>
        <v>100</v>
      </c>
      <c r="X21" s="3357"/>
      <c r="Y21" s="3458"/>
      <c r="Z21" s="3449" t="str">
        <f>Q21</f>
        <v>基础设施水平</v>
      </c>
      <c r="AA21" s="3449">
        <f t="shared" ref="AA21" si="8">D21/F21</f>
        <v>1</v>
      </c>
      <c r="AB21" s="3449">
        <f t="shared" ref="AB21" si="9">D21/H21</f>
        <v>1</v>
      </c>
      <c r="AC21" s="3449">
        <f t="shared" ref="AC21" si="10">D21/J21</f>
        <v>1</v>
      </c>
    </row>
    <row r="22" spans="1:29" ht="15">
      <c r="A22" s="3419"/>
      <c r="B22" s="3468"/>
      <c r="C22" s="3465"/>
      <c r="D22" s="3452"/>
      <c r="E22" s="3451"/>
      <c r="F22" s="3452"/>
      <c r="G22" s="3469"/>
      <c r="H22" s="3452"/>
      <c r="I22" s="3451"/>
      <c r="J22" s="3452"/>
      <c r="K22" s="3470"/>
      <c r="L22" s="3431"/>
      <c r="M22" s="3351"/>
      <c r="N22" s="3351"/>
      <c r="O22" s="3351"/>
      <c r="P22" s="3457"/>
      <c r="Q22" s="3445"/>
      <c r="R22" s="3446"/>
      <c r="S22" s="3447"/>
      <c r="T22" s="3446"/>
      <c r="U22" s="3447"/>
      <c r="V22" s="3446"/>
      <c r="W22" s="3447"/>
      <c r="X22" s="3357"/>
      <c r="Y22" s="3458"/>
      <c r="Z22" s="3449"/>
      <c r="AA22" s="3449">
        <v>1</v>
      </c>
      <c r="AB22" s="3449">
        <v>1</v>
      </c>
      <c r="AC22" s="3449">
        <v>1</v>
      </c>
    </row>
    <row r="23" spans="1:29" ht="42.75">
      <c r="A23" s="3419"/>
      <c r="B23" s="3459" t="s">
        <v>1253</v>
      </c>
      <c r="C23" s="3460" t="str">
        <f>[2]估价对象房地状况!C9</f>
        <v>区域自然环境：；人文环境；综合评价环境状况一般</v>
      </c>
      <c r="D23" s="3455">
        <v>100</v>
      </c>
      <c r="E23" s="3461"/>
      <c r="F23" s="3455">
        <f>SUMIF(84:84,E24,85:85)-SUMIF(84:84,C24,85:85)+100</f>
        <v>100</v>
      </c>
      <c r="G23" s="3462"/>
      <c r="H23" s="3455">
        <f>SUMIF(84:84,G24,85:85)-SUMIF(84:84,C24,85:85)+100</f>
        <v>100</v>
      </c>
      <c r="I23" s="3462"/>
      <c r="J23" s="3455">
        <f>SUMIF(84:84,I24,85:85)-SUMIF(84:84,C24,85:85)+100</f>
        <v>100</v>
      </c>
      <c r="K23" s="3443"/>
      <c r="L23" s="3431"/>
      <c r="M23" s="3351"/>
      <c r="N23" s="3351"/>
      <c r="O23" s="3351"/>
      <c r="P23" s="3457"/>
      <c r="Q23" s="3445" t="str">
        <f>B23</f>
        <v>自然及人文环境</v>
      </c>
      <c r="R23" s="3446" t="s">
        <v>14</v>
      </c>
      <c r="S23" s="3447">
        <f>F23</f>
        <v>100</v>
      </c>
      <c r="T23" s="3446" t="s">
        <v>14</v>
      </c>
      <c r="U23" s="3447">
        <f>H23</f>
        <v>100</v>
      </c>
      <c r="V23" s="3446" t="s">
        <v>14</v>
      </c>
      <c r="W23" s="3447">
        <f>J23</f>
        <v>100</v>
      </c>
      <c r="X23" s="3357"/>
      <c r="Y23" s="3458"/>
      <c r="Z23" s="3449" t="str">
        <f>Q23</f>
        <v>自然及人文环境</v>
      </c>
      <c r="AA23" s="3449">
        <f>D23/F23</f>
        <v>1</v>
      </c>
      <c r="AB23" s="3449">
        <f>D23/H23</f>
        <v>1</v>
      </c>
      <c r="AC23" s="3449">
        <f>D23/J23</f>
        <v>1</v>
      </c>
    </row>
    <row r="24" spans="1:29" ht="15">
      <c r="A24" s="3419"/>
      <c r="B24" s="3464"/>
      <c r="C24" s="3451"/>
      <c r="D24" s="3452"/>
      <c r="E24" s="3453"/>
      <c r="F24" s="3452"/>
      <c r="G24" s="3454"/>
      <c r="H24" s="3452"/>
      <c r="I24" s="3454"/>
      <c r="J24" s="3452"/>
      <c r="K24" s="3456"/>
      <c r="L24" s="3431"/>
      <c r="M24" s="3351"/>
      <c r="N24" s="3351"/>
      <c r="O24" s="3351"/>
      <c r="P24" s="3457"/>
      <c r="Q24" s="3445"/>
      <c r="R24" s="3446"/>
      <c r="S24" s="3447"/>
      <c r="T24" s="3446"/>
      <c r="U24" s="3447"/>
      <c r="V24" s="3446"/>
      <c r="W24" s="3447"/>
      <c r="X24" s="3357"/>
      <c r="Y24" s="3458"/>
      <c r="Z24" s="3449"/>
      <c r="AA24" s="3449">
        <v>1</v>
      </c>
      <c r="AB24" s="3449">
        <v>1</v>
      </c>
      <c r="AC24" s="3449">
        <v>1</v>
      </c>
    </row>
    <row r="25" spans="1:29" ht="15">
      <c r="A25" s="3419"/>
      <c r="B25" s="3412" t="s">
        <v>3373</v>
      </c>
      <c r="C25" s="3471"/>
      <c r="D25" s="3430">
        <v>100</v>
      </c>
      <c r="E25" s="3472"/>
      <c r="F25" s="3430">
        <f>SUMIF(86:86,E25,87:87)-SUMIF(86:86,C25,87:87)+100</f>
        <v>100</v>
      </c>
      <c r="G25" s="3473"/>
      <c r="H25" s="3430">
        <f>SUMIF(86:86,G25,87:87)-SUMIF(86:86,C25,87:87)+100</f>
        <v>100</v>
      </c>
      <c r="I25" s="3473"/>
      <c r="J25" s="3430">
        <f>SUMIF(86:86,I25,87:87)-SUMIF(86:86,C25,87:87)+100</f>
        <v>100</v>
      </c>
      <c r="K25" s="3422"/>
      <c r="L25" s="3431"/>
      <c r="M25" s="3351"/>
      <c r="N25" s="3351"/>
      <c r="O25" s="3351"/>
      <c r="P25" s="3457"/>
      <c r="Q25" s="3445" t="str">
        <f t="shared" ref="Q25:Q46" si="11">B25</f>
        <v>楼层-1</v>
      </c>
      <c r="R25" s="3446" t="s">
        <v>14</v>
      </c>
      <c r="S25" s="3447">
        <f t="shared" ref="S25:S46" si="12">F25</f>
        <v>100</v>
      </c>
      <c r="T25" s="3446" t="s">
        <v>14</v>
      </c>
      <c r="U25" s="3447">
        <f t="shared" ref="U25:U46" si="13">H25</f>
        <v>100</v>
      </c>
      <c r="V25" s="3446" t="s">
        <v>14</v>
      </c>
      <c r="W25" s="3447">
        <f t="shared" ref="W25:W46" si="14">J25</f>
        <v>100</v>
      </c>
      <c r="X25" s="3357"/>
      <c r="Y25" s="3458"/>
      <c r="Z25" s="3449" t="str">
        <f>Q25</f>
        <v>楼层-1</v>
      </c>
      <c r="AA25" s="3449">
        <f t="shared" ref="AA25:AA46" si="15">D25/F25</f>
        <v>1</v>
      </c>
      <c r="AB25" s="3449">
        <f t="shared" ref="AB25:AB46" si="16">D25/H25</f>
        <v>1</v>
      </c>
      <c r="AC25" s="3449">
        <f t="shared" ref="AC25:AC46" si="17">D25/J25</f>
        <v>1</v>
      </c>
    </row>
    <row r="26" spans="1:29" ht="15">
      <c r="A26" s="3419"/>
      <c r="B26" s="3412" t="s">
        <v>3374</v>
      </c>
      <c r="C26" s="3471"/>
      <c r="D26" s="3430">
        <v>100</v>
      </c>
      <c r="E26" s="3472"/>
      <c r="F26" s="3430">
        <f>SUMIF(88:88,E26,89:89)-SUMIF(88:88,C26,89:89)+100</f>
        <v>100</v>
      </c>
      <c r="G26" s="3473"/>
      <c r="H26" s="3430">
        <f>SUMIF(88:88,G26,89:89)-SUMIF(88:88,C26,89:89)+100</f>
        <v>100</v>
      </c>
      <c r="I26" s="3473"/>
      <c r="J26" s="3430">
        <f>SUMIF(88:88,I26,89:89)-SUMIF(88:88,C26,89:89)+100</f>
        <v>100</v>
      </c>
      <c r="K26" s="3422"/>
      <c r="L26" s="3431"/>
      <c r="M26" s="3351"/>
      <c r="N26" s="3351"/>
      <c r="O26" s="3351"/>
      <c r="P26" s="3457"/>
      <c r="Q26" s="3445" t="str">
        <f t="shared" si="11"/>
        <v>朝向</v>
      </c>
      <c r="R26" s="3446" t="s">
        <v>14</v>
      </c>
      <c r="S26" s="3447">
        <f t="shared" si="12"/>
        <v>100</v>
      </c>
      <c r="T26" s="3446" t="s">
        <v>14</v>
      </c>
      <c r="U26" s="3447">
        <f t="shared" si="13"/>
        <v>100</v>
      </c>
      <c r="V26" s="3446" t="s">
        <v>14</v>
      </c>
      <c r="W26" s="3447">
        <f t="shared" si="14"/>
        <v>100</v>
      </c>
      <c r="X26" s="3357"/>
      <c r="Y26" s="3458"/>
      <c r="Z26" s="3449" t="str">
        <f>Q26</f>
        <v>朝向</v>
      </c>
      <c r="AA26" s="3449">
        <f t="shared" si="15"/>
        <v>1</v>
      </c>
      <c r="AB26" s="3449">
        <f t="shared" si="16"/>
        <v>1</v>
      </c>
      <c r="AC26" s="3449">
        <f t="shared" si="17"/>
        <v>1</v>
      </c>
    </row>
    <row r="27" spans="1:29" s="3399" customFormat="1" ht="15">
      <c r="A27" s="3424"/>
      <c r="B27" s="3474">
        <v>111</v>
      </c>
      <c r="C27" s="3426"/>
      <c r="D27" s="3475">
        <v>100</v>
      </c>
      <c r="E27" s="3476"/>
      <c r="F27" s="3475">
        <f>SUMIF(90:90,E27,91:91)-SUMIF(90:90,C27,91:91)+100</f>
        <v>100</v>
      </c>
      <c r="G27" s="3477"/>
      <c r="H27" s="3475">
        <f>SUMIF(90:90,G27,91:91)-SUMIF(90:90,C27,91:91)+100</f>
        <v>100</v>
      </c>
      <c r="I27" s="3477"/>
      <c r="J27" s="3475">
        <f>SUMIF(90:90,I27,91:91)-SUMIF(90:90,C27,91:91)+100</f>
        <v>100</v>
      </c>
      <c r="K27" s="3428"/>
      <c r="L27" s="3390"/>
      <c r="M27" s="3391"/>
      <c r="N27" s="3391"/>
      <c r="O27" s="3391"/>
      <c r="P27" s="3457"/>
      <c r="Q27" s="3409">
        <f t="shared" si="11"/>
        <v>111</v>
      </c>
      <c r="R27" s="3394" t="s">
        <v>14</v>
      </c>
      <c r="S27" s="3395">
        <f t="shared" si="12"/>
        <v>100</v>
      </c>
      <c r="T27" s="3394" t="s">
        <v>14</v>
      </c>
      <c r="U27" s="3395">
        <f t="shared" si="13"/>
        <v>100</v>
      </c>
      <c r="V27" s="3394" t="s">
        <v>14</v>
      </c>
      <c r="W27" s="3395">
        <f t="shared" si="14"/>
        <v>100</v>
      </c>
      <c r="X27" s="3396"/>
      <c r="Y27" s="3458"/>
      <c r="Z27" s="3398">
        <f>Q27</f>
        <v>111</v>
      </c>
      <c r="AA27" s="3449">
        <f t="shared" si="15"/>
        <v>1</v>
      </c>
      <c r="AB27" s="3449">
        <f t="shared" si="16"/>
        <v>1</v>
      </c>
      <c r="AC27" s="3449">
        <f t="shared" si="17"/>
        <v>1</v>
      </c>
    </row>
    <row r="28" spans="1:29" ht="15">
      <c r="A28" s="3419"/>
      <c r="B28" s="3474">
        <v>111</v>
      </c>
      <c r="C28" s="3429"/>
      <c r="D28" s="3430">
        <v>100</v>
      </c>
      <c r="E28" s="3429"/>
      <c r="F28" s="3430">
        <f>SUMIF(92:92,E28,93:93)-SUMIF(92:92,C28,93:93)+100</f>
        <v>100</v>
      </c>
      <c r="G28" s="3478"/>
      <c r="H28" s="3430">
        <f>SUMIF(92:92,G28,93:93)-SUMIF(92:92,C28,93:93)+100</f>
        <v>100</v>
      </c>
      <c r="I28" s="3429"/>
      <c r="J28" s="3430">
        <f>SUMIF(92:92,I28,93:93)-SUMIF(92:92,C28,93:93)+100</f>
        <v>100</v>
      </c>
      <c r="K28" s="3428"/>
      <c r="L28" s="3431"/>
      <c r="M28" s="3351"/>
      <c r="N28" s="3351"/>
      <c r="O28" s="3351"/>
      <c r="P28" s="3457"/>
      <c r="Q28" s="3445">
        <f t="shared" si="11"/>
        <v>111</v>
      </c>
      <c r="R28" s="3446" t="s">
        <v>14</v>
      </c>
      <c r="S28" s="3447">
        <f t="shared" si="12"/>
        <v>100</v>
      </c>
      <c r="T28" s="3446" t="s">
        <v>14</v>
      </c>
      <c r="U28" s="3447">
        <f t="shared" si="13"/>
        <v>100</v>
      </c>
      <c r="V28" s="3446" t="s">
        <v>14</v>
      </c>
      <c r="W28" s="3447">
        <f t="shared" si="14"/>
        <v>100</v>
      </c>
      <c r="X28" s="3357"/>
      <c r="Y28" s="3458"/>
      <c r="Z28" s="3449">
        <f t="shared" ref="Z28:Z46" si="18">Q28</f>
        <v>111</v>
      </c>
      <c r="AA28" s="3449">
        <f t="shared" si="15"/>
        <v>1</v>
      </c>
      <c r="AB28" s="3449">
        <f t="shared" si="16"/>
        <v>1</v>
      </c>
      <c r="AC28" s="3449">
        <f t="shared" si="17"/>
        <v>1</v>
      </c>
    </row>
    <row r="29" spans="1:29" ht="15">
      <c r="A29" s="3419"/>
      <c r="B29" s="3474">
        <v>111</v>
      </c>
      <c r="C29" s="3429"/>
      <c r="D29" s="3430">
        <v>100</v>
      </c>
      <c r="E29" s="3429"/>
      <c r="F29" s="3430">
        <f>SUMIF(94:94,E29,95:95)-SUMIF(94:94,C29,95:95)+100</f>
        <v>100</v>
      </c>
      <c r="G29" s="3478"/>
      <c r="H29" s="3430">
        <f>SUMIF(94:94,G29,95:95)-SUMIF(94:94,C29,95:95)+100</f>
        <v>100</v>
      </c>
      <c r="I29" s="3429"/>
      <c r="J29" s="3430">
        <f>SUMIF(94:94,I29,95:95)-SUMIF(94:94,C29,95:95)+100</f>
        <v>100</v>
      </c>
      <c r="K29" s="3428"/>
      <c r="L29" s="3431"/>
      <c r="M29" s="3351"/>
      <c r="N29" s="3351"/>
      <c r="O29" s="3351"/>
      <c r="P29" s="3457"/>
      <c r="Q29" s="3445">
        <f t="shared" si="11"/>
        <v>111</v>
      </c>
      <c r="R29" s="3446" t="s">
        <v>14</v>
      </c>
      <c r="S29" s="3447">
        <f t="shared" si="12"/>
        <v>100</v>
      </c>
      <c r="T29" s="3446" t="s">
        <v>14</v>
      </c>
      <c r="U29" s="3447">
        <f t="shared" si="13"/>
        <v>100</v>
      </c>
      <c r="V29" s="3446" t="s">
        <v>14</v>
      </c>
      <c r="W29" s="3447">
        <f t="shared" si="14"/>
        <v>100</v>
      </c>
      <c r="X29" s="3357"/>
      <c r="Y29" s="3458"/>
      <c r="Z29" s="3449">
        <f t="shared" si="18"/>
        <v>111</v>
      </c>
      <c r="AA29" s="3449">
        <f t="shared" si="15"/>
        <v>1</v>
      </c>
      <c r="AB29" s="3449">
        <f t="shared" si="16"/>
        <v>1</v>
      </c>
      <c r="AC29" s="3449">
        <f t="shared" si="17"/>
        <v>1</v>
      </c>
    </row>
    <row r="30" spans="1:29" ht="15">
      <c r="A30" s="3419"/>
      <c r="B30" s="3474">
        <v>111</v>
      </c>
      <c r="C30" s="3429"/>
      <c r="D30" s="3430">
        <v>100</v>
      </c>
      <c r="E30" s="3429"/>
      <c r="F30" s="3430">
        <f>SUMIF(96:96,E30,97:97)-SUMIF(96:96,C30,97:97)+100</f>
        <v>100</v>
      </c>
      <c r="G30" s="3478"/>
      <c r="H30" s="3430">
        <f>SUMIF(96:96,G30,97:97)-SUMIF(96:96,C30,97:97)+100</f>
        <v>100</v>
      </c>
      <c r="I30" s="3429"/>
      <c r="J30" s="3430">
        <f>SUMIF(96:96,I30,97:97)-SUMIF(96:96,C30,97:97)+100</f>
        <v>100</v>
      </c>
      <c r="K30" s="3428"/>
      <c r="L30" s="3431"/>
      <c r="M30" s="3351"/>
      <c r="N30" s="3351"/>
      <c r="O30" s="3351"/>
      <c r="P30" s="3457"/>
      <c r="Q30" s="3445">
        <f t="shared" si="11"/>
        <v>111</v>
      </c>
      <c r="R30" s="3446" t="s">
        <v>14</v>
      </c>
      <c r="S30" s="3447">
        <f t="shared" si="12"/>
        <v>100</v>
      </c>
      <c r="T30" s="3446" t="s">
        <v>14</v>
      </c>
      <c r="U30" s="3447">
        <f t="shared" si="13"/>
        <v>100</v>
      </c>
      <c r="V30" s="3446" t="s">
        <v>14</v>
      </c>
      <c r="W30" s="3447">
        <f t="shared" si="14"/>
        <v>100</v>
      </c>
      <c r="X30" s="3357"/>
      <c r="Y30" s="3458"/>
      <c r="Z30" s="3449">
        <f t="shared" si="18"/>
        <v>111</v>
      </c>
      <c r="AA30" s="3449">
        <f t="shared" si="15"/>
        <v>1</v>
      </c>
      <c r="AB30" s="3449">
        <f t="shared" si="16"/>
        <v>1</v>
      </c>
      <c r="AC30" s="3449">
        <f t="shared" si="17"/>
        <v>1</v>
      </c>
    </row>
    <row r="31" spans="1:29" ht="15.75" thickBot="1">
      <c r="A31" s="3432"/>
      <c r="B31" s="3474">
        <v>111</v>
      </c>
      <c r="C31" s="3434"/>
      <c r="D31" s="3435">
        <v>100</v>
      </c>
      <c r="E31" s="3434"/>
      <c r="F31" s="3435">
        <f>SUMIF(98:98,E31,99:99)-SUMIF(98:98,C31,99:99)+100</f>
        <v>100</v>
      </c>
      <c r="G31" s="3479"/>
      <c r="H31" s="3435">
        <f>SUMIF(98:98,G31,99:99)-SUMIF(98:98,C31,99:99)+100</f>
        <v>100</v>
      </c>
      <c r="I31" s="3434"/>
      <c r="J31" s="3435">
        <f>SUMIF(98:98,I31,99:99)-SUMIF(98:98,C31,99:99)+100</f>
        <v>100</v>
      </c>
      <c r="K31" s="3428"/>
      <c r="L31" s="3431"/>
      <c r="M31" s="3351"/>
      <c r="N31" s="3351"/>
      <c r="O31" s="3351"/>
      <c r="P31" s="3457"/>
      <c r="Q31" s="3445">
        <f t="shared" si="11"/>
        <v>111</v>
      </c>
      <c r="R31" s="3446" t="s">
        <v>14</v>
      </c>
      <c r="S31" s="3447">
        <f t="shared" si="12"/>
        <v>100</v>
      </c>
      <c r="T31" s="3446" t="s">
        <v>14</v>
      </c>
      <c r="U31" s="3447">
        <f t="shared" si="13"/>
        <v>100</v>
      </c>
      <c r="V31" s="3446" t="s">
        <v>14</v>
      </c>
      <c r="W31" s="3447">
        <f t="shared" si="14"/>
        <v>100</v>
      </c>
      <c r="X31" s="3357"/>
      <c r="Y31" s="3458"/>
      <c r="Z31" s="3449">
        <f t="shared" si="18"/>
        <v>111</v>
      </c>
      <c r="AA31" s="3449">
        <f t="shared" si="15"/>
        <v>1</v>
      </c>
      <c r="AB31" s="3449">
        <f t="shared" si="16"/>
        <v>1</v>
      </c>
      <c r="AC31" s="3449">
        <f t="shared" si="17"/>
        <v>1</v>
      </c>
    </row>
    <row r="32" spans="1:29" ht="15">
      <c r="A32" s="3437" t="s">
        <v>1673</v>
      </c>
      <c r="B32" s="3403" t="s">
        <v>3375</v>
      </c>
      <c r="C32" s="3480"/>
      <c r="D32" s="3481">
        <v>100</v>
      </c>
      <c r="E32" s="3482"/>
      <c r="F32" s="3483">
        <f>SUMIF(100:100,E32,101:101)-SUMIF(100:100,C32,101:101)+100</f>
        <v>100</v>
      </c>
      <c r="G32" s="3480"/>
      <c r="H32" s="3481">
        <f>SUMIF(100:100,G32,101:101)-SUMIF(100:100,C32,101:101)+100</f>
        <v>100</v>
      </c>
      <c r="I32" s="3482"/>
      <c r="J32" s="3430">
        <f>SUMIF(100:100,I32,101:101)-SUMIF(100:100,C32,101:101)+100</f>
        <v>100</v>
      </c>
      <c r="K32" s="3422"/>
      <c r="L32" s="3431"/>
      <c r="M32" s="3351"/>
      <c r="N32" s="3351"/>
      <c r="O32" s="3351"/>
      <c r="P32" s="3484" t="s">
        <v>1674</v>
      </c>
      <c r="Q32" s="3445" t="str">
        <f t="shared" si="11"/>
        <v>建筑类型</v>
      </c>
      <c r="R32" s="3446" t="s">
        <v>14</v>
      </c>
      <c r="S32" s="3447">
        <f t="shared" si="12"/>
        <v>100</v>
      </c>
      <c r="T32" s="3446" t="s">
        <v>14</v>
      </c>
      <c r="U32" s="3447">
        <f t="shared" si="13"/>
        <v>100</v>
      </c>
      <c r="V32" s="3446" t="s">
        <v>14</v>
      </c>
      <c r="W32" s="3447">
        <f t="shared" si="14"/>
        <v>100</v>
      </c>
      <c r="X32" s="3357"/>
      <c r="Y32" s="3485" t="s">
        <v>1674</v>
      </c>
      <c r="Z32" s="3449" t="str">
        <f t="shared" si="18"/>
        <v>建筑类型</v>
      </c>
      <c r="AA32" s="3449">
        <f t="shared" si="15"/>
        <v>1</v>
      </c>
      <c r="AB32" s="3449">
        <f t="shared" si="16"/>
        <v>1</v>
      </c>
      <c r="AC32" s="3449">
        <f t="shared" si="17"/>
        <v>1</v>
      </c>
    </row>
    <row r="33" spans="1:29" s="3495" customFormat="1" ht="15">
      <c r="A33" s="3486"/>
      <c r="B33" s="3412" t="s">
        <v>1675</v>
      </c>
      <c r="C33" s="3487"/>
      <c r="D33" s="3414">
        <v>100</v>
      </c>
      <c r="E33" s="3421"/>
      <c r="F33" s="3412">
        <f>LOOKUP(E33,103:103,104:104)-LOOKUP(C33,103:103,104:104)+100</f>
        <v>100</v>
      </c>
      <c r="G33" s="3420"/>
      <c r="H33" s="3414">
        <f>LOOKUP(G33,103:103,104:104)-LOOKUP(C33,103:103,104:104)+100</f>
        <v>100</v>
      </c>
      <c r="I33" s="3421"/>
      <c r="J33" s="3414">
        <f>LOOKUP(I33,103:103,104:104)-LOOKUP(C33,103:103,104:104)+100</f>
        <v>100</v>
      </c>
      <c r="K33" s="3428"/>
      <c r="L33" s="3423"/>
      <c r="M33" s="3488"/>
      <c r="N33" s="3488"/>
      <c r="O33" s="3488"/>
      <c r="P33" s="3489"/>
      <c r="Q33" s="3490" t="str">
        <f t="shared" si="11"/>
        <v>项目建筑规模</v>
      </c>
      <c r="R33" s="3491" t="s">
        <v>14</v>
      </c>
      <c r="S33" s="3492">
        <f t="shared" si="12"/>
        <v>100</v>
      </c>
      <c r="T33" s="3491" t="s">
        <v>14</v>
      </c>
      <c r="U33" s="3492">
        <f t="shared" si="13"/>
        <v>100</v>
      </c>
      <c r="V33" s="3491" t="s">
        <v>14</v>
      </c>
      <c r="W33" s="3492">
        <f t="shared" si="14"/>
        <v>100</v>
      </c>
      <c r="X33" s="3493"/>
      <c r="Y33" s="3485"/>
      <c r="Z33" s="3494" t="str">
        <f t="shared" si="18"/>
        <v>项目建筑规模</v>
      </c>
      <c r="AA33" s="3449">
        <f t="shared" si="15"/>
        <v>1</v>
      </c>
      <c r="AB33" s="3449">
        <f t="shared" si="16"/>
        <v>1</v>
      </c>
      <c r="AC33" s="3449">
        <f t="shared" si="17"/>
        <v>1</v>
      </c>
    </row>
    <row r="34" spans="1:29" ht="15">
      <c r="A34" s="3496"/>
      <c r="B34" s="3412" t="s">
        <v>1676</v>
      </c>
      <c r="C34" s="3471"/>
      <c r="D34" s="3430">
        <v>100</v>
      </c>
      <c r="E34" s="3497"/>
      <c r="F34" s="3483">
        <f>SUMIF(105:105,E34,106:106)-SUMIF(105:105,C34,106:106)+100</f>
        <v>100</v>
      </c>
      <c r="G34" s="3471"/>
      <c r="H34" s="3430">
        <f>SUMIF(105:105,G34,106:106)-SUMIF(105:105,C34,106:106)+100</f>
        <v>100</v>
      </c>
      <c r="I34" s="3497"/>
      <c r="J34" s="3430">
        <f>SUMIF(105:105,I34,106:106)-SUMIF(105:105,C34,106:106)+100</f>
        <v>100</v>
      </c>
      <c r="K34" s="3422"/>
      <c r="L34" s="3431"/>
      <c r="M34" s="3351"/>
      <c r="N34" s="3351"/>
      <c r="O34" s="3351"/>
      <c r="P34" s="3489"/>
      <c r="Q34" s="3445" t="str">
        <f t="shared" si="11"/>
        <v>建筑结构</v>
      </c>
      <c r="R34" s="3446" t="s">
        <v>14</v>
      </c>
      <c r="S34" s="3447">
        <f t="shared" si="12"/>
        <v>100</v>
      </c>
      <c r="T34" s="3446" t="s">
        <v>14</v>
      </c>
      <c r="U34" s="3447">
        <f t="shared" si="13"/>
        <v>100</v>
      </c>
      <c r="V34" s="3446" t="s">
        <v>14</v>
      </c>
      <c r="W34" s="3447">
        <f t="shared" si="14"/>
        <v>100</v>
      </c>
      <c r="X34" s="3357"/>
      <c r="Y34" s="3485"/>
      <c r="Z34" s="3449" t="str">
        <f t="shared" si="18"/>
        <v>建筑结构</v>
      </c>
      <c r="AA34" s="3449">
        <f t="shared" si="15"/>
        <v>1</v>
      </c>
      <c r="AB34" s="3449">
        <f t="shared" si="16"/>
        <v>1</v>
      </c>
      <c r="AC34" s="3449">
        <f t="shared" si="17"/>
        <v>1</v>
      </c>
    </row>
    <row r="35" spans="1:29" ht="15">
      <c r="A35" s="3496"/>
      <c r="B35" s="3412" t="s">
        <v>3376</v>
      </c>
      <c r="C35" s="3472"/>
      <c r="D35" s="3430">
        <v>100</v>
      </c>
      <c r="E35" s="3473"/>
      <c r="F35" s="3483">
        <f>SUMIF(107:107,E35,108:108)-SUMIF(107:107,C35,108:108)+100</f>
        <v>100</v>
      </c>
      <c r="G35" s="3472"/>
      <c r="H35" s="3430">
        <f>SUMIF(107:107,G35,108:108)-SUMIF(107:107,C35,108:108)+100</f>
        <v>100</v>
      </c>
      <c r="I35" s="3473"/>
      <c r="J35" s="3430">
        <f>SUMIF(107:107,I35,108:108)-SUMIF(107:107,C35,108:108)+100</f>
        <v>100</v>
      </c>
      <c r="K35" s="3422"/>
      <c r="L35" s="3431"/>
      <c r="M35" s="3351"/>
      <c r="N35" s="3351"/>
      <c r="O35" s="3351"/>
      <c r="P35" s="3489"/>
      <c r="Q35" s="3445" t="str">
        <f t="shared" si="11"/>
        <v>建筑品质</v>
      </c>
      <c r="R35" s="3446" t="s">
        <v>14</v>
      </c>
      <c r="S35" s="3447">
        <f t="shared" si="12"/>
        <v>100</v>
      </c>
      <c r="T35" s="3446" t="s">
        <v>14</v>
      </c>
      <c r="U35" s="3447">
        <f t="shared" si="13"/>
        <v>100</v>
      </c>
      <c r="V35" s="3446" t="s">
        <v>14</v>
      </c>
      <c r="W35" s="3447">
        <f t="shared" si="14"/>
        <v>100</v>
      </c>
      <c r="X35" s="3357"/>
      <c r="Y35" s="3485"/>
      <c r="Z35" s="3449" t="str">
        <f t="shared" si="18"/>
        <v>建筑品质</v>
      </c>
      <c r="AA35" s="3449">
        <f t="shared" si="15"/>
        <v>1</v>
      </c>
      <c r="AB35" s="3449">
        <f t="shared" si="16"/>
        <v>1</v>
      </c>
      <c r="AC35" s="3449">
        <f t="shared" si="17"/>
        <v>1</v>
      </c>
    </row>
    <row r="36" spans="1:29" ht="15">
      <c r="A36" s="3496"/>
      <c r="B36" s="3412" t="s">
        <v>3377</v>
      </c>
      <c r="C36" s="3472"/>
      <c r="D36" s="3430">
        <v>100</v>
      </c>
      <c r="E36" s="3473"/>
      <c r="F36" s="3483">
        <f>SUMIF(109:109,E36,110:110)-SUMIF(109:109,C36,110:110)+100</f>
        <v>100</v>
      </c>
      <c r="G36" s="3472"/>
      <c r="H36" s="3430">
        <f>SUMIF(109:109,G36,110:110)-SUMIF(109:109,C36,110:110)+100</f>
        <v>100</v>
      </c>
      <c r="I36" s="3473"/>
      <c r="J36" s="3430">
        <f>SUMIF(109:109,I36,110:110)-SUMIF(109:109,C36,110:110)+100</f>
        <v>100</v>
      </c>
      <c r="K36" s="3422"/>
      <c r="L36" s="3431"/>
      <c r="M36" s="3351"/>
      <c r="N36" s="3351"/>
      <c r="O36" s="3351"/>
      <c r="P36" s="3489"/>
      <c r="Q36" s="3445" t="str">
        <f t="shared" si="11"/>
        <v>公共部分装修</v>
      </c>
      <c r="R36" s="3446" t="s">
        <v>14</v>
      </c>
      <c r="S36" s="3447">
        <f t="shared" si="12"/>
        <v>100</v>
      </c>
      <c r="T36" s="3446" t="s">
        <v>14</v>
      </c>
      <c r="U36" s="3447">
        <f t="shared" si="13"/>
        <v>100</v>
      </c>
      <c r="V36" s="3446" t="s">
        <v>14</v>
      </c>
      <c r="W36" s="3447">
        <f t="shared" si="14"/>
        <v>100</v>
      </c>
      <c r="X36" s="3357"/>
      <c r="Y36" s="3485"/>
      <c r="Z36" s="3449" t="str">
        <f t="shared" si="18"/>
        <v>公共部分装修</v>
      </c>
      <c r="AA36" s="3449">
        <f t="shared" si="15"/>
        <v>1</v>
      </c>
      <c r="AB36" s="3449">
        <f t="shared" si="16"/>
        <v>1</v>
      </c>
      <c r="AC36" s="3449">
        <f t="shared" si="17"/>
        <v>1</v>
      </c>
    </row>
    <row r="37" spans="1:29" s="3399" customFormat="1" ht="15">
      <c r="A37" s="3498"/>
      <c r="B37" s="3412" t="s">
        <v>3378</v>
      </c>
      <c r="C37" s="3499">
        <v>1</v>
      </c>
      <c r="D37" s="3414">
        <v>100</v>
      </c>
      <c r="E37" s="3499">
        <v>1</v>
      </c>
      <c r="F37" s="3412">
        <f>LOOKUP(E37,112:112,113:113)-LOOKUP(C37,112:112,113:113)+100</f>
        <v>100</v>
      </c>
      <c r="G37" s="3500">
        <v>1</v>
      </c>
      <c r="H37" s="3414">
        <f>LOOKUP(G37,112:112,113:113)-LOOKUP(C37,112:112,113:113)+100</f>
        <v>100</v>
      </c>
      <c r="I37" s="3501">
        <v>1</v>
      </c>
      <c r="J37" s="3414">
        <f>LOOKUP(I37,112:112,113:113)-LOOKUP(C37,112:112,113:113)+100</f>
        <v>100</v>
      </c>
      <c r="K37" s="3422"/>
      <c r="L37" s="3390"/>
      <c r="M37" s="3391"/>
      <c r="N37" s="3391"/>
      <c r="O37" s="3391"/>
      <c r="P37" s="3489"/>
      <c r="Q37" s="3409" t="str">
        <f t="shared" si="11"/>
        <v>成新度</v>
      </c>
      <c r="R37" s="3394" t="s">
        <v>14</v>
      </c>
      <c r="S37" s="3395">
        <f t="shared" si="12"/>
        <v>100</v>
      </c>
      <c r="T37" s="3394" t="s">
        <v>14</v>
      </c>
      <c r="U37" s="3395">
        <f t="shared" si="13"/>
        <v>100</v>
      </c>
      <c r="V37" s="3394" t="s">
        <v>14</v>
      </c>
      <c r="W37" s="3395">
        <f t="shared" si="14"/>
        <v>100</v>
      </c>
      <c r="X37" s="3396"/>
      <c r="Y37" s="3485"/>
      <c r="Z37" s="3398" t="str">
        <f t="shared" si="18"/>
        <v>成新度</v>
      </c>
      <c r="AA37" s="3398">
        <f t="shared" si="15"/>
        <v>1</v>
      </c>
      <c r="AB37" s="3398">
        <f t="shared" si="16"/>
        <v>1</v>
      </c>
      <c r="AC37" s="3398">
        <f t="shared" si="17"/>
        <v>1</v>
      </c>
    </row>
    <row r="38" spans="1:29" ht="15">
      <c r="A38" s="3496"/>
      <c r="B38" s="3412" t="s">
        <v>3379</v>
      </c>
      <c r="C38" s="3472"/>
      <c r="D38" s="3430">
        <v>100</v>
      </c>
      <c r="E38" s="3473"/>
      <c r="F38" s="3483">
        <f>SUMIF(114:114,E38,115:115)-SUMIF(114:114,C38,115:115)+100</f>
        <v>100</v>
      </c>
      <c r="G38" s="3472"/>
      <c r="H38" s="3430">
        <f>SUMIF(114:114,G38,115:115)-SUMIF(114:114,C38,115:115)+100</f>
        <v>100</v>
      </c>
      <c r="I38" s="3473"/>
      <c r="J38" s="3430">
        <f>SUMIF(114:114,I38,115:115)-SUMIF(114:114,C38,115:115)+100</f>
        <v>100</v>
      </c>
      <c r="K38" s="3422"/>
      <c r="L38" s="3431"/>
      <c r="M38" s="3351"/>
      <c r="N38" s="3351"/>
      <c r="O38" s="3351"/>
      <c r="P38" s="3489" t="s">
        <v>1674</v>
      </c>
      <c r="Q38" s="3445" t="str">
        <f t="shared" si="11"/>
        <v>物业管理</v>
      </c>
      <c r="R38" s="3446" t="s">
        <v>14</v>
      </c>
      <c r="S38" s="3447">
        <f t="shared" si="12"/>
        <v>100</v>
      </c>
      <c r="T38" s="3446" t="s">
        <v>14</v>
      </c>
      <c r="U38" s="3447">
        <f t="shared" si="13"/>
        <v>100</v>
      </c>
      <c r="V38" s="3446" t="s">
        <v>14</v>
      </c>
      <c r="W38" s="3447">
        <f t="shared" si="14"/>
        <v>100</v>
      </c>
      <c r="X38" s="3357"/>
      <c r="Y38" s="3485" t="s">
        <v>1674</v>
      </c>
      <c r="Z38" s="3449" t="str">
        <f t="shared" si="18"/>
        <v>物业管理</v>
      </c>
      <c r="AA38" s="3449">
        <f t="shared" si="15"/>
        <v>1</v>
      </c>
      <c r="AB38" s="3449">
        <f t="shared" si="16"/>
        <v>1</v>
      </c>
      <c r="AC38" s="3449">
        <f t="shared" si="17"/>
        <v>1</v>
      </c>
    </row>
    <row r="39" spans="1:29" ht="15">
      <c r="A39" s="3496"/>
      <c r="B39" s="3412" t="s">
        <v>1695</v>
      </c>
      <c r="C39" s="3472"/>
      <c r="D39" s="3430">
        <v>100</v>
      </c>
      <c r="E39" s="3473"/>
      <c r="F39" s="3483">
        <f>SUMIF(116:116,E39,117:117)-SUMIF(116:116,C39,117:117)+100</f>
        <v>100</v>
      </c>
      <c r="G39" s="3472"/>
      <c r="H39" s="3430">
        <f>SUMIF(116:116,G39,117:117)-SUMIF(116:116,C39,117:117)+100</f>
        <v>100</v>
      </c>
      <c r="I39" s="3473"/>
      <c r="J39" s="3430">
        <f>SUMIF(116:116,I39,117:117)-SUMIF(116:116,C39,117:117)+100</f>
        <v>100</v>
      </c>
      <c r="K39" s="3422"/>
      <c r="L39" s="3431"/>
      <c r="M39" s="3351"/>
      <c r="N39" s="3351"/>
      <c r="O39" s="3351"/>
      <c r="P39" s="3489"/>
      <c r="Q39" s="3445" t="str">
        <f t="shared" si="11"/>
        <v>市政基础设施</v>
      </c>
      <c r="R39" s="3446" t="s">
        <v>14</v>
      </c>
      <c r="S39" s="3447">
        <f t="shared" si="12"/>
        <v>100</v>
      </c>
      <c r="T39" s="3446" t="s">
        <v>14</v>
      </c>
      <c r="U39" s="3447">
        <f t="shared" si="13"/>
        <v>100</v>
      </c>
      <c r="V39" s="3446" t="s">
        <v>14</v>
      </c>
      <c r="W39" s="3447">
        <f t="shared" si="14"/>
        <v>100</v>
      </c>
      <c r="X39" s="3357"/>
      <c r="Y39" s="3485"/>
      <c r="Z39" s="3449" t="str">
        <f t="shared" si="18"/>
        <v>市政基础设施</v>
      </c>
      <c r="AA39" s="3449">
        <f t="shared" si="15"/>
        <v>1</v>
      </c>
      <c r="AB39" s="3449">
        <f t="shared" si="16"/>
        <v>1</v>
      </c>
      <c r="AC39" s="3449">
        <f t="shared" si="17"/>
        <v>1</v>
      </c>
    </row>
    <row r="40" spans="1:29" ht="15">
      <c r="A40" s="3496"/>
      <c r="B40" s="3412" t="s">
        <v>3380</v>
      </c>
      <c r="C40" s="3472"/>
      <c r="D40" s="3430">
        <v>100</v>
      </c>
      <c r="E40" s="3473"/>
      <c r="F40" s="3483">
        <f>SUMIF(118:118,E40,119:119)-SUMIF(118:118,C40,119:119)+100</f>
        <v>100</v>
      </c>
      <c r="G40" s="3472"/>
      <c r="H40" s="3430">
        <f>SUMIF(118:118,G40,119:119)-SUMIF(118:118,C40,119:119)+100</f>
        <v>100</v>
      </c>
      <c r="I40" s="3473"/>
      <c r="J40" s="3430">
        <f>SUMIF(118:118,I40,119:119)-SUMIF(118:118,C40,119:119)+100</f>
        <v>100</v>
      </c>
      <c r="K40" s="3422"/>
      <c r="L40" s="3431"/>
      <c r="M40" s="3351"/>
      <c r="N40" s="3351"/>
      <c r="O40" s="3351"/>
      <c r="P40" s="3489"/>
      <c r="Q40" s="3445" t="str">
        <f t="shared" si="11"/>
        <v>房型</v>
      </c>
      <c r="R40" s="3446" t="s">
        <v>14</v>
      </c>
      <c r="S40" s="3447">
        <f t="shared" si="12"/>
        <v>100</v>
      </c>
      <c r="T40" s="3446" t="s">
        <v>14</v>
      </c>
      <c r="U40" s="3447">
        <f t="shared" si="13"/>
        <v>100</v>
      </c>
      <c r="V40" s="3446" t="s">
        <v>14</v>
      </c>
      <c r="W40" s="3447">
        <f t="shared" si="14"/>
        <v>100</v>
      </c>
      <c r="X40" s="3357"/>
      <c r="Y40" s="3485"/>
      <c r="Z40" s="3449" t="str">
        <f t="shared" si="18"/>
        <v>房型</v>
      </c>
      <c r="AA40" s="3449">
        <f t="shared" si="15"/>
        <v>1</v>
      </c>
      <c r="AB40" s="3449">
        <f t="shared" si="16"/>
        <v>1</v>
      </c>
      <c r="AC40" s="3449">
        <f t="shared" si="17"/>
        <v>1</v>
      </c>
    </row>
    <row r="41" spans="1:29" s="3495" customFormat="1" ht="28.5">
      <c r="A41" s="3486"/>
      <c r="B41" s="3412" t="s">
        <v>3381</v>
      </c>
      <c r="C41" s="3487"/>
      <c r="D41" s="3414">
        <v>100</v>
      </c>
      <c r="E41" s="3421"/>
      <c r="F41" s="3412">
        <f>SUMIF(120:120,E41,121:121)-SUMIF(120:120,C41,121:121)+100</f>
        <v>100</v>
      </c>
      <c r="G41" s="3420"/>
      <c r="H41" s="3414">
        <f>SUMIF(120:120,G41,121:121)-SUMIF(120:120,C41,121:121)+100</f>
        <v>100</v>
      </c>
      <c r="I41" s="3502"/>
      <c r="J41" s="3430">
        <f>SUMIF(120:120,I41,121:121)-SUMIF(120:120,C41,121:121)+100</f>
        <v>100</v>
      </c>
      <c r="K41" s="3428"/>
      <c r="L41" s="3423"/>
      <c r="M41" s="3488"/>
      <c r="N41" s="3488"/>
      <c r="O41" s="3488"/>
      <c r="P41" s="3489"/>
      <c r="Q41" s="3490" t="str">
        <f t="shared" si="11"/>
        <v>单套/主力户型建筑面积</v>
      </c>
      <c r="R41" s="3491" t="s">
        <v>14</v>
      </c>
      <c r="S41" s="3492">
        <f t="shared" si="12"/>
        <v>100</v>
      </c>
      <c r="T41" s="3491" t="s">
        <v>14</v>
      </c>
      <c r="U41" s="3492">
        <f t="shared" si="13"/>
        <v>100</v>
      </c>
      <c r="V41" s="3491" t="s">
        <v>14</v>
      </c>
      <c r="W41" s="3492">
        <f t="shared" si="14"/>
        <v>100</v>
      </c>
      <c r="X41" s="3493"/>
      <c r="Y41" s="3485"/>
      <c r="Z41" s="3494" t="str">
        <f t="shared" si="18"/>
        <v>单套/主力户型建筑面积</v>
      </c>
      <c r="AA41" s="3449">
        <f t="shared" si="15"/>
        <v>1</v>
      </c>
      <c r="AB41" s="3449">
        <f t="shared" si="16"/>
        <v>1</v>
      </c>
      <c r="AC41" s="3449">
        <f t="shared" si="17"/>
        <v>1</v>
      </c>
    </row>
    <row r="42" spans="1:29" ht="15">
      <c r="A42" s="3496"/>
      <c r="B42" s="3412" t="s">
        <v>3382</v>
      </c>
      <c r="C42" s="3472"/>
      <c r="D42" s="3430">
        <v>100</v>
      </c>
      <c r="E42" s="3473"/>
      <c r="F42" s="3483">
        <f>SUMIF(122:122,E42,123:123)-SUMIF(122:122,C42,123:123)+100</f>
        <v>100</v>
      </c>
      <c r="G42" s="3472"/>
      <c r="H42" s="3430">
        <f>SUMIF(122:122,G42,123:123)-SUMIF(122:122,C42,123:123)+100</f>
        <v>100</v>
      </c>
      <c r="I42" s="3473"/>
      <c r="J42" s="3430">
        <f>SUMIF(122:122,I42,123:123)-SUMIF(122:122,C42,123:123)+100</f>
        <v>100</v>
      </c>
      <c r="K42" s="3422"/>
      <c r="L42" s="3431"/>
      <c r="M42" s="3351"/>
      <c r="N42" s="3351"/>
      <c r="O42" s="3351"/>
      <c r="P42" s="3489"/>
      <c r="Q42" s="3445" t="str">
        <f t="shared" si="11"/>
        <v>内部装修</v>
      </c>
      <c r="R42" s="3446" t="s">
        <v>14</v>
      </c>
      <c r="S42" s="3447">
        <f t="shared" si="12"/>
        <v>100</v>
      </c>
      <c r="T42" s="3446" t="s">
        <v>14</v>
      </c>
      <c r="U42" s="3447">
        <f t="shared" si="13"/>
        <v>100</v>
      </c>
      <c r="V42" s="3446" t="s">
        <v>14</v>
      </c>
      <c r="W42" s="3447">
        <f t="shared" si="14"/>
        <v>100</v>
      </c>
      <c r="X42" s="3357"/>
      <c r="Y42" s="3485"/>
      <c r="Z42" s="3449" t="str">
        <f t="shared" si="18"/>
        <v>内部装修</v>
      </c>
      <c r="AA42" s="3449">
        <f t="shared" si="15"/>
        <v>1</v>
      </c>
      <c r="AB42" s="3449">
        <f t="shared" si="16"/>
        <v>1</v>
      </c>
      <c r="AC42" s="3449">
        <f t="shared" si="17"/>
        <v>1</v>
      </c>
    </row>
    <row r="43" spans="1:29" ht="15">
      <c r="A43" s="3496"/>
      <c r="B43" s="3412" t="s">
        <v>1677</v>
      </c>
      <c r="C43" s="3472"/>
      <c r="D43" s="3430">
        <v>100</v>
      </c>
      <c r="E43" s="3473"/>
      <c r="F43" s="3483">
        <f>SUMIF(124:124,E43,125:125)-SUMIF(124:124,C43,125:125)+100</f>
        <v>100</v>
      </c>
      <c r="G43" s="3472"/>
      <c r="H43" s="3430">
        <f>SUMIF(124:124,G43,125:125)-SUMIF(124:124,C43,125:125)+100</f>
        <v>100</v>
      </c>
      <c r="I43" s="3473"/>
      <c r="J43" s="3430">
        <f>SUMIF(124:124,I43,125:125)-SUMIF(124:124,C43,125:125)+100</f>
        <v>100</v>
      </c>
      <c r="K43" s="3422"/>
      <c r="L43" s="3431"/>
      <c r="M43" s="3351">
        <f>C48*30</f>
        <v>12.9</v>
      </c>
      <c r="N43" s="3351"/>
      <c r="O43" s="3351"/>
      <c r="P43" s="3489"/>
      <c r="Q43" s="3445" t="str">
        <f t="shared" si="11"/>
        <v>内部装修维护情况</v>
      </c>
      <c r="R43" s="3446" t="s">
        <v>14</v>
      </c>
      <c r="S43" s="3447">
        <f t="shared" si="12"/>
        <v>100</v>
      </c>
      <c r="T43" s="3446" t="s">
        <v>14</v>
      </c>
      <c r="U43" s="3447">
        <f t="shared" si="13"/>
        <v>100</v>
      </c>
      <c r="V43" s="3446" t="s">
        <v>14</v>
      </c>
      <c r="W43" s="3447">
        <f t="shared" si="14"/>
        <v>100</v>
      </c>
      <c r="X43" s="3357"/>
      <c r="Y43" s="3485"/>
      <c r="Z43" s="3449" t="str">
        <f t="shared" si="18"/>
        <v>内部装修维护情况</v>
      </c>
      <c r="AA43" s="3449">
        <f t="shared" si="15"/>
        <v>1</v>
      </c>
      <c r="AB43" s="3449">
        <f t="shared" si="16"/>
        <v>1</v>
      </c>
      <c r="AC43" s="3449">
        <f t="shared" si="17"/>
        <v>1</v>
      </c>
    </row>
    <row r="44" spans="1:29" s="3399" customFormat="1" ht="15">
      <c r="A44" s="3498"/>
      <c r="B44" s="3474">
        <v>111</v>
      </c>
      <c r="C44" s="3487"/>
      <c r="D44" s="3414">
        <v>100</v>
      </c>
      <c r="E44" s="3487"/>
      <c r="F44" s="3412">
        <f>SUMIF(126:126,E44,127:127)-SUMIF(126:126,C44,127:127)+100</f>
        <v>100</v>
      </c>
      <c r="G44" s="3487"/>
      <c r="H44" s="3414">
        <f>SUMIF(126:126,G44,127:127)-SUMIF(126:126,C44,127:127)+100</f>
        <v>100</v>
      </c>
      <c r="I44" s="3487"/>
      <c r="J44" s="3414">
        <f>SUMIF(126:126,I44,127:127)-SUMIF(126:126,C44,127:127)+100</f>
        <v>100</v>
      </c>
      <c r="K44" s="3428"/>
      <c r="L44" s="3390"/>
      <c r="M44" s="3391"/>
      <c r="N44" s="3391"/>
      <c r="O44" s="3391"/>
      <c r="P44" s="3489"/>
      <c r="Q44" s="3409">
        <f t="shared" si="11"/>
        <v>111</v>
      </c>
      <c r="R44" s="3394" t="s">
        <v>14</v>
      </c>
      <c r="S44" s="3395">
        <f t="shared" si="12"/>
        <v>100</v>
      </c>
      <c r="T44" s="3394" t="s">
        <v>14</v>
      </c>
      <c r="U44" s="3395">
        <f t="shared" si="13"/>
        <v>100</v>
      </c>
      <c r="V44" s="3394" t="s">
        <v>14</v>
      </c>
      <c r="W44" s="3395">
        <f t="shared" si="14"/>
        <v>100</v>
      </c>
      <c r="X44" s="3396"/>
      <c r="Y44" s="3485"/>
      <c r="Z44" s="3398">
        <f t="shared" si="18"/>
        <v>111</v>
      </c>
      <c r="AA44" s="3398">
        <f t="shared" si="15"/>
        <v>1</v>
      </c>
      <c r="AB44" s="3398">
        <f t="shared" si="16"/>
        <v>1</v>
      </c>
      <c r="AC44" s="3398">
        <f t="shared" si="17"/>
        <v>1</v>
      </c>
    </row>
    <row r="45" spans="1:29" ht="15">
      <c r="A45" s="3496"/>
      <c r="B45" s="3474">
        <v>111</v>
      </c>
      <c r="C45" s="3429"/>
      <c r="D45" s="3430">
        <v>100</v>
      </c>
      <c r="E45" s="3429"/>
      <c r="F45" s="3483">
        <f>SUMIF(128:128,E45,129:129)-SUMIF(128:128,C45,129:129)+100</f>
        <v>100</v>
      </c>
      <c r="G45" s="3429"/>
      <c r="H45" s="3430">
        <f>SUMIF(128:128,G45,129:129)-SUMIF(128:128,C45,129:129)+100</f>
        <v>100</v>
      </c>
      <c r="I45" s="3429"/>
      <c r="J45" s="3430">
        <f>SUMIF(128:128,I45,129:129)-SUMIF(128:128,C45,129:129)+100</f>
        <v>100</v>
      </c>
      <c r="K45" s="3428"/>
      <c r="L45" s="3431"/>
      <c r="M45" s="3351"/>
      <c r="N45" s="3351"/>
      <c r="O45" s="3351"/>
      <c r="P45" s="3489"/>
      <c r="Q45" s="3445">
        <f t="shared" si="11"/>
        <v>111</v>
      </c>
      <c r="R45" s="3446" t="s">
        <v>14</v>
      </c>
      <c r="S45" s="3447">
        <f t="shared" si="12"/>
        <v>100</v>
      </c>
      <c r="T45" s="3446" t="s">
        <v>14</v>
      </c>
      <c r="U45" s="3447">
        <f t="shared" si="13"/>
        <v>100</v>
      </c>
      <c r="V45" s="3446" t="s">
        <v>14</v>
      </c>
      <c r="W45" s="3447">
        <f t="shared" si="14"/>
        <v>100</v>
      </c>
      <c r="X45" s="3357"/>
      <c r="Y45" s="3485"/>
      <c r="Z45" s="3449">
        <f t="shared" si="18"/>
        <v>111</v>
      </c>
      <c r="AA45" s="3449">
        <f t="shared" si="15"/>
        <v>1</v>
      </c>
      <c r="AB45" s="3449">
        <f t="shared" si="16"/>
        <v>1</v>
      </c>
      <c r="AC45" s="3449">
        <f t="shared" si="17"/>
        <v>1</v>
      </c>
    </row>
    <row r="46" spans="1:29" ht="15.75" thickBot="1">
      <c r="A46" s="3503"/>
      <c r="B46" s="3433">
        <v>111</v>
      </c>
      <c r="C46" s="3434"/>
      <c r="D46" s="3435">
        <v>100</v>
      </c>
      <c r="E46" s="3434"/>
      <c r="F46" s="3436">
        <f>SUMIF(130:130,E46,131:131)-SUMIF(130:130,C46,131:131)+100</f>
        <v>100</v>
      </c>
      <c r="G46" s="3434"/>
      <c r="H46" s="3435">
        <f>SUMIF(130:130,G46,131:131)-SUMIF(130:130,C46,131:131)+100</f>
        <v>100</v>
      </c>
      <c r="I46" s="3434"/>
      <c r="J46" s="3435">
        <f>SUMIF(130:130,I46,131:131)-SUMIF(130:130,C46,131:131)+100</f>
        <v>100</v>
      </c>
      <c r="K46" s="3428"/>
      <c r="L46" s="3431"/>
      <c r="M46" s="3351"/>
      <c r="N46" s="3351"/>
      <c r="O46" s="3351"/>
      <c r="P46" s="3504"/>
      <c r="Q46" s="3445">
        <f t="shared" si="11"/>
        <v>111</v>
      </c>
      <c r="R46" s="3446" t="s">
        <v>14</v>
      </c>
      <c r="S46" s="3447">
        <f t="shared" si="12"/>
        <v>100</v>
      </c>
      <c r="T46" s="3446" t="s">
        <v>14</v>
      </c>
      <c r="U46" s="3447">
        <f t="shared" si="13"/>
        <v>100</v>
      </c>
      <c r="V46" s="3446" t="s">
        <v>14</v>
      </c>
      <c r="W46" s="3447">
        <f t="shared" si="14"/>
        <v>100</v>
      </c>
      <c r="X46" s="3357"/>
      <c r="Y46" s="3505"/>
      <c r="Z46" s="3449">
        <f t="shared" si="18"/>
        <v>111</v>
      </c>
      <c r="AA46" s="3449">
        <f t="shared" si="15"/>
        <v>1</v>
      </c>
      <c r="AB46" s="3449">
        <f t="shared" si="16"/>
        <v>1</v>
      </c>
      <c r="AC46" s="3449">
        <f t="shared" si="17"/>
        <v>1</v>
      </c>
    </row>
    <row r="47" spans="1:29" ht="15">
      <c r="A47" s="3506" t="s">
        <v>1678</v>
      </c>
      <c r="B47" s="3507"/>
      <c r="C47" s="3508" t="s">
        <v>0</v>
      </c>
      <c r="D47" s="3509"/>
      <c r="E47" s="3510">
        <f>Sheet2!M6</f>
        <v>0.52173913043478259</v>
      </c>
      <c r="F47" s="3511"/>
      <c r="G47" s="3512">
        <f>Sheet2!M9</f>
        <v>0.46296296296296297</v>
      </c>
      <c r="H47" s="3513"/>
      <c r="I47" s="3510">
        <f>Sheet2!M15</f>
        <v>0.51020408163265307</v>
      </c>
      <c r="J47" s="3513"/>
      <c r="K47" s="3514"/>
      <c r="L47" s="3515"/>
      <c r="M47" s="3351"/>
      <c r="N47" s="3351"/>
      <c r="O47" s="3351"/>
      <c r="P47" s="3516" t="str">
        <f>A47</f>
        <v>成交单价（元/平方米）</v>
      </c>
      <c r="Q47" s="3516"/>
      <c r="R47" s="3356">
        <f>E47</f>
        <v>0.52173913043478259</v>
      </c>
      <c r="S47" s="3356"/>
      <c r="T47" s="3356">
        <f>G47</f>
        <v>0.46296296296296297</v>
      </c>
      <c r="U47" s="3356"/>
      <c r="V47" s="3356">
        <f>I47</f>
        <v>0.51020408163265307</v>
      </c>
      <c r="W47" s="3356"/>
      <c r="X47" s="3450"/>
      <c r="Y47" s="3517"/>
      <c r="Z47" s="3450"/>
      <c r="AA47" s="3450"/>
      <c r="AB47" s="3450"/>
      <c r="AC47" s="3450"/>
    </row>
    <row r="48" spans="1:29" ht="15.75" thickBot="1">
      <c r="A48" s="3518" t="s">
        <v>1725</v>
      </c>
      <c r="B48" s="3519"/>
      <c r="C48" s="3520">
        <f>R49</f>
        <v>0.43</v>
      </c>
      <c r="D48" s="3521" t="s">
        <v>2040</v>
      </c>
      <c r="E48" s="3522">
        <f>R48</f>
        <v>0.45</v>
      </c>
      <c r="F48" s="3523"/>
      <c r="G48" s="3520">
        <f>T48</f>
        <v>0.4</v>
      </c>
      <c r="H48" s="3523"/>
      <c r="I48" s="3522">
        <f>V48</f>
        <v>0.44</v>
      </c>
      <c r="J48" s="3523"/>
      <c r="K48" s="3524">
        <f>F48+H48+J48</f>
        <v>0</v>
      </c>
      <c r="L48" s="3515"/>
      <c r="M48" s="3351"/>
      <c r="N48" s="3351"/>
      <c r="O48" s="3351"/>
      <c r="P48" s="3516" t="str">
        <f>A48</f>
        <v>比较价值（元/平方米）</v>
      </c>
      <c r="Q48" s="3516"/>
      <c r="R48" s="3356">
        <f>IF(F1="售价",ROUND(PRODUCT(R47,AA7:AA46),0),ROUND(PRODUCT(R47,AA7:AA46),2))</f>
        <v>0.45</v>
      </c>
      <c r="S48" s="3356"/>
      <c r="T48" s="3356">
        <f>IF(F1="售价",ROUND(PRODUCT(T47,AB7:AB46),0),ROUND(PRODUCT(T47,AB7:AB46),2))</f>
        <v>0.4</v>
      </c>
      <c r="U48" s="3356"/>
      <c r="V48" s="3356">
        <f>IF(F1="售价",ROUND(PRODUCT(V47,AC7:AC46),0),ROUND(PRODUCT(V47,AC7:AC46),2))</f>
        <v>0.44</v>
      </c>
      <c r="W48" s="3356"/>
      <c r="X48" s="3450"/>
      <c r="Y48" s="3450"/>
      <c r="Z48" s="3450"/>
      <c r="AA48" s="3450"/>
      <c r="AB48" s="3450"/>
      <c r="AC48" s="3450"/>
    </row>
    <row r="49" spans="1:29" ht="15.75" thickBot="1">
      <c r="A49" s="3525" t="s">
        <v>1726</v>
      </c>
      <c r="B49" s="3526"/>
      <c r="C49" s="3527">
        <f>R49</f>
        <v>0.43</v>
      </c>
      <c r="D49" s="3373"/>
      <c r="E49" s="3373"/>
      <c r="F49" s="3373"/>
      <c r="G49" s="3373"/>
      <c r="H49" s="3373"/>
      <c r="I49" s="3373"/>
      <c r="J49" s="3373"/>
      <c r="K49" s="3528"/>
      <c r="L49" s="3515"/>
      <c r="M49" s="3351"/>
      <c r="N49" s="3351"/>
      <c r="O49" s="3351"/>
      <c r="P49" s="3529" t="str">
        <f>A49</f>
        <v>估价对象XX用房的比较价值（楼面单价，元/平方米）</v>
      </c>
      <c r="Q49" s="3530"/>
      <c r="R49" s="3531">
        <f>IF(F1="售价",ROUND(IF(D48="简单平均",AVERAGE(R48:V48),R48*F48+T48*H48+V48*J48),0),ROUND(IF(D48="简单平均",AVERAGE(R48:V48),R48*F48+T48*H48+V48*J48),2))</f>
        <v>0.43</v>
      </c>
      <c r="S49" s="3531"/>
      <c r="T49" s="3531"/>
      <c r="U49" s="3531"/>
      <c r="V49" s="3531"/>
      <c r="W49" s="3531"/>
      <c r="X49" s="3450"/>
      <c r="Y49" s="3450"/>
      <c r="Z49" s="3450"/>
      <c r="AA49" s="3450"/>
      <c r="AB49" s="3450"/>
      <c r="AC49" s="3450"/>
    </row>
    <row r="50" spans="1:29">
      <c r="A50" s="3351"/>
      <c r="B50" s="3351"/>
      <c r="C50" s="3351"/>
      <c r="D50" s="3351"/>
      <c r="E50" s="3351"/>
      <c r="F50" s="3351"/>
      <c r="G50" s="3532"/>
      <c r="H50" s="3351"/>
      <c r="I50" s="3351"/>
      <c r="J50" s="3351"/>
      <c r="K50" s="3533"/>
      <c r="L50" s="3534"/>
      <c r="M50" s="3351"/>
      <c r="N50" s="3351"/>
      <c r="O50" s="3351"/>
    </row>
    <row r="51" spans="1:29">
      <c r="A51" s="3351"/>
      <c r="B51" s="3351"/>
      <c r="C51" s="3351"/>
      <c r="D51" s="3351"/>
      <c r="E51" s="3351"/>
      <c r="F51" s="3351"/>
      <c r="G51" s="3351"/>
      <c r="H51" s="3351"/>
      <c r="I51" s="3351"/>
      <c r="J51" s="3351"/>
      <c r="K51" s="3533"/>
      <c r="L51" s="3534"/>
      <c r="M51" s="3351"/>
      <c r="N51" s="3351"/>
      <c r="O51" s="3351"/>
    </row>
    <row r="52" spans="1:29" ht="13.5" customHeight="1">
      <c r="A52" s="3351"/>
      <c r="B52" s="3351"/>
      <c r="C52" s="3536" t="s">
        <v>1727</v>
      </c>
      <c r="D52" s="3537"/>
      <c r="E52" s="3538">
        <f>IF(E47&lt;E48,E48/E47-1,E47/E48-1)</f>
        <v>0.15942028985507251</v>
      </c>
      <c r="F52" s="3539" t="str">
        <f>IF(OR(E52&gt;=0.3,E52&lt;=-0.3),"超过30%","")</f>
        <v/>
      </c>
      <c r="G52" s="3538">
        <f>IF(G47&lt;G48,G48/G47-1,G47/G48-1)</f>
        <v>0.15740740740740744</v>
      </c>
      <c r="H52" s="3539" t="str">
        <f>IF(OR(G52&gt;=0.3,G52&lt;=-0.3),"超过30%","")</f>
        <v/>
      </c>
      <c r="I52" s="3538">
        <f>IF(I47&lt;I48,I48/I47-1,I47/I48-1)</f>
        <v>0.15955473098330253</v>
      </c>
      <c r="J52" s="3539" t="str">
        <f>IF(OR(I52&gt;=0.3,I52&lt;=-0.3),"超过30%","")</f>
        <v/>
      </c>
      <c r="K52" s="3533"/>
      <c r="L52" s="3534"/>
      <c r="M52" s="3351"/>
      <c r="N52" s="3351"/>
      <c r="O52" s="3351"/>
    </row>
    <row r="53" spans="1:29" ht="13.5" customHeight="1">
      <c r="A53" s="3351"/>
      <c r="B53" s="3351"/>
      <c r="C53" s="3536" t="s">
        <v>1728</v>
      </c>
      <c r="D53" s="3540"/>
      <c r="E53" s="3538">
        <f>IF(E48&lt;G48,G48/E48-1,E48/G48-1)</f>
        <v>0.125</v>
      </c>
      <c r="F53" s="3539" t="str">
        <f>IF(OR(E53&gt;=0.2,E53&lt;=-0.2),"超过20%","")</f>
        <v/>
      </c>
      <c r="G53" s="3538">
        <f>IF(G48&lt;I48,I48/G48-1,G48/I48-1)</f>
        <v>9.9999999999999867E-2</v>
      </c>
      <c r="H53" s="3539" t="str">
        <f>IF(OR(G53&gt;=0.2,G53&lt;=-0.2),"超过20%","")</f>
        <v/>
      </c>
      <c r="I53" s="3538">
        <f>IF(I48&lt;E48,E48/I48-1,I48/E48-1)</f>
        <v>2.2727272727272707E-2</v>
      </c>
      <c r="J53" s="3539" t="str">
        <f>IF(OR(I53&gt;=0.2,I53&lt;=-0.2),"超过20%","")</f>
        <v/>
      </c>
      <c r="K53" s="3533"/>
      <c r="L53" s="3534"/>
      <c r="M53" s="3351"/>
      <c r="N53" s="3351"/>
      <c r="O53" s="3351"/>
    </row>
    <row r="54" spans="1:29" s="3545" customFormat="1" ht="13.5" customHeight="1">
      <c r="A54" s="3541"/>
      <c r="B54" s="3541"/>
      <c r="C54" s="3536" t="s">
        <v>1729</v>
      </c>
      <c r="D54" s="3540"/>
      <c r="E54" s="3538">
        <f>IF(E47&lt;G47,G47/E47-1,E47/G47-1)</f>
        <v>0.12695652173913041</v>
      </c>
      <c r="F54" s="3539" t="str">
        <f>IF(OR(E54&gt;=0.3,E54&lt;=-0.3),"超过30%","")</f>
        <v/>
      </c>
      <c r="G54" s="3538">
        <f>IF(G47&lt;I47,I47/G47-1,G47/I47-1)</f>
        <v>0.10204081632653073</v>
      </c>
      <c r="H54" s="3539" t="str">
        <f>IF(OR(G54&gt;=0.3,G54&lt;=-0.3),"超过30%","")</f>
        <v/>
      </c>
      <c r="I54" s="3538">
        <f>IF(I47&lt;E47,E47/I47-1,I47/E47-1)</f>
        <v>2.2608695652173827E-2</v>
      </c>
      <c r="J54" s="3539" t="str">
        <f>IF(OR(I54&gt;=0.3,I54&lt;=-0.3),"超过30%","")</f>
        <v/>
      </c>
      <c r="K54" s="3542"/>
      <c r="L54" s="3543"/>
      <c r="M54" s="3541"/>
      <c r="N54" s="3541"/>
      <c r="O54" s="3541"/>
      <c r="P54" s="3544"/>
    </row>
    <row r="55" spans="1:29" s="3545" customFormat="1">
      <c r="A55" s="3541"/>
      <c r="B55" s="3546"/>
      <c r="C55" s="3547"/>
      <c r="D55" s="3541"/>
      <c r="E55" s="3541"/>
      <c r="F55" s="3541"/>
      <c r="G55" s="3541"/>
      <c r="H55" s="3541"/>
      <c r="I55" s="3541"/>
      <c r="J55" s="3541"/>
      <c r="K55" s="3542"/>
      <c r="L55" s="3543"/>
      <c r="M55" s="3541"/>
      <c r="N55" s="3541"/>
      <c r="O55" s="3541"/>
      <c r="P55" s="3544"/>
    </row>
    <row r="56" spans="1:29">
      <c r="A56" s="3351"/>
      <c r="B56" s="3546"/>
      <c r="C56" s="3547"/>
      <c r="D56" s="3351"/>
      <c r="E56" s="3351"/>
      <c r="F56" s="3351"/>
      <c r="G56" s="3351"/>
      <c r="H56" s="3351"/>
      <c r="I56" s="3351"/>
      <c r="J56" s="3351"/>
      <c r="K56" s="3533"/>
      <c r="L56" s="3534"/>
      <c r="M56" s="3351"/>
      <c r="N56" s="3351"/>
      <c r="O56" s="3351"/>
    </row>
    <row r="57" spans="1:29" ht="21.75" thickBot="1">
      <c r="A57" s="3548" t="s">
        <v>1730</v>
      </c>
      <c r="B57" s="3450"/>
      <c r="C57" s="3549"/>
      <c r="D57" s="3549"/>
      <c r="E57" s="3549"/>
      <c r="F57" s="3550"/>
      <c r="G57" s="3550"/>
      <c r="H57" s="3549"/>
      <c r="I57" s="3549"/>
      <c r="J57" s="3549"/>
      <c r="K57" s="3551"/>
      <c r="L57" s="3552"/>
      <c r="M57" s="3553"/>
      <c r="N57" s="3553"/>
      <c r="O57" s="3553"/>
      <c r="P57" s="3554"/>
      <c r="Q57" s="3555"/>
    </row>
    <row r="58" spans="1:29" s="3561" customFormat="1" ht="15">
      <c r="A58" s="3556" t="s">
        <v>1660</v>
      </c>
      <c r="B58" s="3557"/>
      <c r="C58" s="3558" t="str">
        <f>YEAR(C7)&amp;"-"&amp;MONTH(C7)</f>
        <v>2026-3</v>
      </c>
      <c r="D58" s="3559">
        <f>EDATE(C58,-1)</f>
        <v>46054</v>
      </c>
      <c r="E58" s="3559">
        <f>EDATE(D58,-1)</f>
        <v>46023</v>
      </c>
      <c r="F58" s="3559">
        <f t="shared" ref="F58:O58" si="19">EDATE(E58,-1)</f>
        <v>45992</v>
      </c>
      <c r="G58" s="3559">
        <f t="shared" si="19"/>
        <v>45962</v>
      </c>
      <c r="H58" s="3559">
        <f t="shared" si="19"/>
        <v>45931</v>
      </c>
      <c r="I58" s="3559">
        <f t="shared" si="19"/>
        <v>45901</v>
      </c>
      <c r="J58" s="3559">
        <f t="shared" si="19"/>
        <v>45870</v>
      </c>
      <c r="K58" s="3559">
        <f t="shared" si="19"/>
        <v>45839</v>
      </c>
      <c r="L58" s="3559">
        <f t="shared" si="19"/>
        <v>45809</v>
      </c>
      <c r="M58" s="3559">
        <f t="shared" si="19"/>
        <v>45778</v>
      </c>
      <c r="N58" s="3559">
        <f t="shared" si="19"/>
        <v>45748</v>
      </c>
      <c r="O58" s="3559">
        <f t="shared" si="19"/>
        <v>45717</v>
      </c>
      <c r="P58" s="3560"/>
    </row>
    <row r="59" spans="1:29" s="3399" customFormat="1" ht="15">
      <c r="A59" s="3562"/>
      <c r="B59" s="3563"/>
      <c r="C59" s="3564">
        <v>100</v>
      </c>
      <c r="D59" s="3565"/>
      <c r="E59" s="3566"/>
      <c r="F59" s="3566"/>
      <c r="G59" s="3566"/>
      <c r="H59" s="3566"/>
      <c r="I59" s="3566"/>
      <c r="J59" s="3566"/>
      <c r="K59" s="3566"/>
      <c r="L59" s="3566"/>
      <c r="M59" s="3425"/>
      <c r="N59" s="3566"/>
      <c r="O59" s="3425"/>
      <c r="P59" s="3567"/>
    </row>
    <row r="60" spans="1:29" s="3399" customFormat="1" ht="15.75" thickBot="1">
      <c r="A60" s="3568" t="s">
        <v>3383</v>
      </c>
      <c r="B60" s="3569"/>
      <c r="C60" s="3570"/>
      <c r="D60" s="3571"/>
      <c r="E60" s="3571"/>
      <c r="F60" s="3571"/>
      <c r="G60" s="3571"/>
      <c r="H60" s="3571"/>
      <c r="I60" s="3571"/>
      <c r="J60" s="3571"/>
      <c r="K60" s="3571"/>
      <c r="L60" s="3571"/>
      <c r="M60" s="3572"/>
      <c r="N60" s="3571"/>
      <c r="O60" s="3572"/>
      <c r="P60" s="3567"/>
      <c r="Q60" s="3555"/>
    </row>
    <row r="61" spans="1:29" s="3399" customFormat="1" ht="15">
      <c r="A61" s="3573" t="s">
        <v>1662</v>
      </c>
      <c r="B61" s="3574"/>
      <c r="C61" s="3575" t="s">
        <v>3384</v>
      </c>
      <c r="D61" s="3576"/>
      <c r="E61" s="3576"/>
      <c r="F61" s="3576"/>
      <c r="G61" s="3576"/>
      <c r="H61" s="3576"/>
      <c r="I61" s="3576"/>
      <c r="J61" s="3576"/>
      <c r="K61" s="3576"/>
      <c r="L61" s="3577"/>
      <c r="M61" s="3578"/>
      <c r="N61" s="3579"/>
      <c r="O61" s="3579"/>
      <c r="P61" s="3580"/>
      <c r="Q61" s="3555"/>
    </row>
    <row r="62" spans="1:29" s="3399" customFormat="1" ht="15.75" thickBot="1">
      <c r="A62" s="3573"/>
      <c r="B62" s="3574"/>
      <c r="C62" s="3565">
        <v>100</v>
      </c>
      <c r="D62" s="3566"/>
      <c r="E62" s="3566"/>
      <c r="F62" s="3566"/>
      <c r="G62" s="3566"/>
      <c r="H62" s="3566"/>
      <c r="I62" s="3566"/>
      <c r="J62" s="3566"/>
      <c r="K62" s="3566"/>
      <c r="L62" s="3566"/>
      <c r="M62" s="3581"/>
      <c r="N62" s="3579"/>
      <c r="O62" s="3579"/>
      <c r="P62" s="3567"/>
      <c r="Q62" s="3555"/>
    </row>
    <row r="63" spans="1:29">
      <c r="A63" s="3437" t="s">
        <v>1680</v>
      </c>
      <c r="B63" s="3582" t="s">
        <v>1666</v>
      </c>
      <c r="C63" s="3583">
        <f>C9</f>
        <v>0</v>
      </c>
      <c r="D63" s="3584"/>
      <c r="E63" s="3584"/>
      <c r="F63" s="3584"/>
      <c r="G63" s="3584"/>
      <c r="H63" s="3584"/>
      <c r="I63" s="3584"/>
      <c r="J63" s="3584"/>
      <c r="K63" s="3585"/>
      <c r="L63" s="3586"/>
      <c r="M63" s="3587"/>
      <c r="N63" s="3588"/>
      <c r="O63" s="3588"/>
      <c r="P63" s="3589"/>
      <c r="Q63" s="3555"/>
    </row>
    <row r="64" spans="1:29" ht="15.75" thickBot="1">
      <c r="A64" s="3419"/>
      <c r="B64" s="3590"/>
      <c r="C64" s="3591">
        <v>100</v>
      </c>
      <c r="D64" s="3591"/>
      <c r="E64" s="3591"/>
      <c r="F64" s="3591"/>
      <c r="G64" s="3591"/>
      <c r="H64" s="3591"/>
      <c r="I64" s="3591"/>
      <c r="J64" s="3591"/>
      <c r="K64" s="3591"/>
      <c r="L64" s="3591"/>
      <c r="M64" s="3592"/>
      <c r="N64" s="3593"/>
      <c r="O64" s="3593"/>
      <c r="P64" s="3589"/>
      <c r="Q64" s="3555"/>
    </row>
    <row r="65" spans="1:17" ht="27.75" thickTop="1">
      <c r="A65" s="3419"/>
      <c r="B65" s="3594" t="s">
        <v>1669</v>
      </c>
      <c r="C65" s="3595"/>
      <c r="D65" s="3595"/>
      <c r="E65" s="3595"/>
      <c r="F65" s="3595"/>
      <c r="G65" s="3595"/>
      <c r="H65" s="3595"/>
      <c r="I65" s="3595"/>
      <c r="J65" s="3595"/>
      <c r="K65" s="3595"/>
      <c r="L65" s="3595"/>
      <c r="M65" s="3595"/>
      <c r="N65" s="3593"/>
      <c r="O65" s="3593"/>
      <c r="P65" s="3589"/>
      <c r="Q65" s="3555"/>
    </row>
    <row r="66" spans="1:17" ht="15.75" thickBot="1">
      <c r="A66" s="3419"/>
      <c r="B66" s="3596"/>
      <c r="C66" s="3591"/>
      <c r="D66" s="3591"/>
      <c r="E66" s="3591"/>
      <c r="F66" s="3591"/>
      <c r="G66" s="3591"/>
      <c r="H66" s="3591"/>
      <c r="I66" s="3591"/>
      <c r="J66" s="3591"/>
      <c r="K66" s="3591"/>
      <c r="L66" s="3591"/>
      <c r="M66" s="3592"/>
      <c r="N66" s="3593"/>
      <c r="O66" s="3593"/>
      <c r="P66" s="3589"/>
      <c r="Q66" s="3555"/>
    </row>
    <row r="67" spans="1:17" ht="15.75" thickTop="1">
      <c r="A67" s="3419"/>
      <c r="B67" s="3597" t="s">
        <v>1670</v>
      </c>
      <c r="C67" s="3598" t="str">
        <f>C68&amp;"（含）"&amp;"-"&amp;D68</f>
        <v>0（含）-1</v>
      </c>
      <c r="D67" s="3598" t="str">
        <f t="shared" ref="D67:L67" si="20">D68&amp;"（含）"&amp;"-"&amp;E68</f>
        <v>1（含）-2</v>
      </c>
      <c r="E67" s="3598" t="str">
        <f t="shared" si="20"/>
        <v>2（含）-3</v>
      </c>
      <c r="F67" s="3598" t="str">
        <f t="shared" si="20"/>
        <v>3（含）-</v>
      </c>
      <c r="G67" s="3598" t="str">
        <f t="shared" si="20"/>
        <v>（含）-</v>
      </c>
      <c r="H67" s="3598" t="str">
        <f t="shared" si="20"/>
        <v>（含）-</v>
      </c>
      <c r="I67" s="3598" t="str">
        <f t="shared" si="20"/>
        <v>（含）-</v>
      </c>
      <c r="J67" s="3598" t="str">
        <f t="shared" si="20"/>
        <v>（含）-</v>
      </c>
      <c r="K67" s="3598" t="str">
        <f>K68&amp;"（含）"&amp;"-"&amp;L68</f>
        <v>（含）-</v>
      </c>
      <c r="L67" s="3598" t="str">
        <f t="shared" si="20"/>
        <v>（含）-</v>
      </c>
      <c r="M67" s="3452" t="str">
        <f>M68&amp;"（含）"&amp;"-"&amp;P68</f>
        <v>（含）-</v>
      </c>
      <c r="N67" s="3593"/>
      <c r="O67" s="3593"/>
      <c r="P67" s="3589"/>
      <c r="Q67" s="3555"/>
    </row>
    <row r="68" spans="1:17" ht="15">
      <c r="A68" s="3419"/>
      <c r="B68" s="3599"/>
      <c r="C68" s="3600">
        <v>0</v>
      </c>
      <c r="D68" s="3600">
        <v>1</v>
      </c>
      <c r="E68" s="3600">
        <v>2</v>
      </c>
      <c r="F68" s="3600">
        <v>3</v>
      </c>
      <c r="G68" s="3600"/>
      <c r="H68" s="3600"/>
      <c r="I68" s="3600"/>
      <c r="J68" s="3600"/>
      <c r="K68" s="3601"/>
      <c r="L68" s="3602"/>
      <c r="M68" s="3603"/>
      <c r="N68" s="3588"/>
      <c r="O68" s="3588"/>
      <c r="P68" s="3589"/>
      <c r="Q68" s="3555"/>
    </row>
    <row r="69" spans="1:17" ht="15.75" thickBot="1">
      <c r="A69" s="3419"/>
      <c r="B69" s="3590"/>
      <c r="C69" s="3604">
        <v>100</v>
      </c>
      <c r="D69" s="3604">
        <f t="shared" ref="D69:M69" si="21">C69-$K11</f>
        <v>100</v>
      </c>
      <c r="E69" s="3604">
        <f t="shared" si="21"/>
        <v>100</v>
      </c>
      <c r="F69" s="3604">
        <f t="shared" si="21"/>
        <v>100</v>
      </c>
      <c r="G69" s="3604">
        <f t="shared" si="21"/>
        <v>100</v>
      </c>
      <c r="H69" s="3604">
        <f t="shared" si="21"/>
        <v>100</v>
      </c>
      <c r="I69" s="3604">
        <f t="shared" si="21"/>
        <v>100</v>
      </c>
      <c r="J69" s="3604">
        <f t="shared" si="21"/>
        <v>100</v>
      </c>
      <c r="K69" s="3604">
        <f t="shared" si="21"/>
        <v>100</v>
      </c>
      <c r="L69" s="3604">
        <f t="shared" si="21"/>
        <v>100</v>
      </c>
      <c r="M69" s="3605">
        <f t="shared" si="21"/>
        <v>100</v>
      </c>
      <c r="N69" s="3593"/>
      <c r="O69" s="3593"/>
      <c r="P69" s="3589"/>
      <c r="Q69" s="3555"/>
    </row>
    <row r="70" spans="1:17" s="3495" customFormat="1" ht="15.75" thickTop="1">
      <c r="A70" s="3606"/>
      <c r="B70" s="3594">
        <f>B12</f>
        <v>111</v>
      </c>
      <c r="C70" s="3607"/>
      <c r="D70" s="3607"/>
      <c r="E70" s="3607"/>
      <c r="F70" s="3607"/>
      <c r="G70" s="3607"/>
      <c r="H70" s="3608"/>
      <c r="I70" s="3608"/>
      <c r="J70" s="3608"/>
      <c r="K70" s="3608"/>
      <c r="L70" s="3609"/>
      <c r="M70" s="3610"/>
      <c r="N70" s="3611"/>
      <c r="O70" s="3611"/>
      <c r="P70" s="3612"/>
      <c r="Q70" s="3613"/>
    </row>
    <row r="71" spans="1:17" s="3495" customFormat="1" ht="15.75" thickBot="1">
      <c r="A71" s="3606"/>
      <c r="B71" s="3596"/>
      <c r="C71" s="3614"/>
      <c r="D71" s="3591"/>
      <c r="E71" s="3591"/>
      <c r="F71" s="3591"/>
      <c r="G71" s="3591"/>
      <c r="H71" s="3591"/>
      <c r="I71" s="3591"/>
      <c r="J71" s="3591"/>
      <c r="K71" s="3591"/>
      <c r="L71" s="3591"/>
      <c r="M71" s="3592"/>
      <c r="N71" s="3593"/>
      <c r="O71" s="3593"/>
      <c r="P71" s="3612"/>
      <c r="Q71" s="3613"/>
    </row>
    <row r="72" spans="1:17" s="3495" customFormat="1" ht="15.75" thickTop="1">
      <c r="A72" s="3606"/>
      <c r="B72" s="3594">
        <f>B13</f>
        <v>111</v>
      </c>
      <c r="C72" s="3607"/>
      <c r="D72" s="3607"/>
      <c r="E72" s="3607"/>
      <c r="F72" s="3607"/>
      <c r="G72" s="3607"/>
      <c r="H72" s="3608"/>
      <c r="I72" s="3608"/>
      <c r="J72" s="3608"/>
      <c r="K72" s="3608"/>
      <c r="L72" s="3609"/>
      <c r="M72" s="3610"/>
      <c r="N72" s="3611"/>
      <c r="O72" s="3611"/>
      <c r="P72" s="3615"/>
      <c r="Q72" s="3616"/>
    </row>
    <row r="73" spans="1:17" s="3495" customFormat="1" ht="15.75" thickBot="1">
      <c r="A73" s="3606"/>
      <c r="B73" s="3596"/>
      <c r="C73" s="3614"/>
      <c r="D73" s="3614"/>
      <c r="E73" s="3614"/>
      <c r="F73" s="3614"/>
      <c r="G73" s="3614"/>
      <c r="H73" s="3617"/>
      <c r="I73" s="3617"/>
      <c r="J73" s="3617"/>
      <c r="K73" s="3617"/>
      <c r="L73" s="3617"/>
      <c r="M73" s="3618"/>
      <c r="N73" s="3611"/>
      <c r="O73" s="3611"/>
      <c r="P73" s="3612"/>
      <c r="Q73" s="3613"/>
    </row>
    <row r="74" spans="1:17" s="3495" customFormat="1" ht="15.75" thickTop="1">
      <c r="A74" s="3606"/>
      <c r="B74" s="3597">
        <f>B14</f>
        <v>111</v>
      </c>
      <c r="C74" s="3607"/>
      <c r="D74" s="3607"/>
      <c r="E74" s="3607"/>
      <c r="F74" s="3607"/>
      <c r="G74" s="3576"/>
      <c r="H74" s="3619"/>
      <c r="I74" s="3619"/>
      <c r="J74" s="3619"/>
      <c r="K74" s="3619"/>
      <c r="L74" s="3620"/>
      <c r="M74" s="3621"/>
      <c r="N74" s="3611"/>
      <c r="O74" s="3611"/>
      <c r="P74" s="3622"/>
      <c r="Q74" s="3613"/>
    </row>
    <row r="75" spans="1:17" s="3495" customFormat="1" ht="15.75" thickBot="1">
      <c r="A75" s="3623"/>
      <c r="B75" s="3624"/>
      <c r="C75" s="3625"/>
      <c r="D75" s="3625"/>
      <c r="E75" s="3625"/>
      <c r="F75" s="3625"/>
      <c r="G75" s="3625"/>
      <c r="H75" s="3626"/>
      <c r="I75" s="3626"/>
      <c r="J75" s="3626"/>
      <c r="K75" s="3626"/>
      <c r="L75" s="3626"/>
      <c r="M75" s="3627"/>
      <c r="N75" s="3611"/>
      <c r="O75" s="3611"/>
      <c r="P75" s="3612"/>
      <c r="Q75" s="3613"/>
    </row>
    <row r="76" spans="1:17">
      <c r="A76" s="3437" t="s">
        <v>1671</v>
      </c>
      <c r="B76" s="3582" t="s">
        <v>1681</v>
      </c>
      <c r="C76" s="3628" t="s">
        <v>1682</v>
      </c>
      <c r="D76" s="3628" t="s">
        <v>1683</v>
      </c>
      <c r="E76" s="3628" t="s">
        <v>1684</v>
      </c>
      <c r="F76" s="3628" t="s">
        <v>1685</v>
      </c>
      <c r="G76" s="3628" t="s">
        <v>1686</v>
      </c>
      <c r="H76" s="3583"/>
      <c r="I76" s="3583"/>
      <c r="J76" s="3583"/>
      <c r="K76" s="3629"/>
      <c r="L76" s="3630"/>
      <c r="M76" s="3631"/>
      <c r="N76" s="3588"/>
      <c r="O76" s="3588"/>
      <c r="P76" s="3632"/>
      <c r="Q76" s="3555"/>
    </row>
    <row r="77" spans="1:17" ht="15.75" thickBot="1">
      <c r="A77" s="3419"/>
      <c r="B77" s="3596"/>
      <c r="C77" s="3604">
        <v>100</v>
      </c>
      <c r="D77" s="3604">
        <f>C77-$K15</f>
        <v>95</v>
      </c>
      <c r="E77" s="3604">
        <f>D77-$K15</f>
        <v>90</v>
      </c>
      <c r="F77" s="3604">
        <f>E77-$K15</f>
        <v>85</v>
      </c>
      <c r="G77" s="3604">
        <f>F77-$K15</f>
        <v>80</v>
      </c>
      <c r="H77" s="3604"/>
      <c r="I77" s="3604"/>
      <c r="J77" s="3604"/>
      <c r="K77" s="3604"/>
      <c r="L77" s="3604"/>
      <c r="M77" s="3605"/>
      <c r="N77" s="3593"/>
      <c r="O77" s="3593"/>
      <c r="P77" s="3589"/>
      <c r="Q77" s="3555"/>
    </row>
    <row r="78" spans="1:17" ht="15.75" thickTop="1">
      <c r="A78" s="3419"/>
      <c r="B78" s="3594" t="s">
        <v>1687</v>
      </c>
      <c r="C78" s="3633" t="s">
        <v>1682</v>
      </c>
      <c r="D78" s="3633" t="s">
        <v>1683</v>
      </c>
      <c r="E78" s="3633" t="s">
        <v>1684</v>
      </c>
      <c r="F78" s="3633" t="s">
        <v>1685</v>
      </c>
      <c r="G78" s="3633" t="s">
        <v>1686</v>
      </c>
      <c r="H78" s="3634"/>
      <c r="I78" s="3634"/>
      <c r="J78" s="3634"/>
      <c r="K78" s="3635"/>
      <c r="L78" s="3636"/>
      <c r="M78" s="3637"/>
      <c r="N78" s="3588"/>
      <c r="O78" s="3588"/>
      <c r="P78" s="3589"/>
      <c r="Q78" s="3555"/>
    </row>
    <row r="79" spans="1:17" ht="15.75" thickBot="1">
      <c r="A79" s="3419"/>
      <c r="B79" s="3596"/>
      <c r="C79" s="3604">
        <v>100</v>
      </c>
      <c r="D79" s="3604">
        <f>C79-$K17</f>
        <v>97</v>
      </c>
      <c r="E79" s="3604">
        <f>D79-$K17</f>
        <v>94</v>
      </c>
      <c r="F79" s="3604">
        <f>E79-$K17</f>
        <v>91</v>
      </c>
      <c r="G79" s="3604">
        <f>F79-$K17</f>
        <v>88</v>
      </c>
      <c r="H79" s="3604"/>
      <c r="I79" s="3604"/>
      <c r="J79" s="3604"/>
      <c r="K79" s="3604"/>
      <c r="L79" s="3604"/>
      <c r="M79" s="3605"/>
      <c r="N79" s="3593"/>
      <c r="O79" s="3593"/>
      <c r="P79" s="3589"/>
      <c r="Q79" s="3555"/>
    </row>
    <row r="80" spans="1:17" ht="15.75" thickTop="1">
      <c r="A80" s="3419"/>
      <c r="B80" s="3594" t="s">
        <v>1688</v>
      </c>
      <c r="C80" s="3633" t="s">
        <v>1682</v>
      </c>
      <c r="D80" s="3633" t="s">
        <v>1683</v>
      </c>
      <c r="E80" s="3633" t="s">
        <v>1684</v>
      </c>
      <c r="F80" s="3633" t="s">
        <v>1685</v>
      </c>
      <c r="G80" s="3633" t="s">
        <v>1686</v>
      </c>
      <c r="H80" s="3634"/>
      <c r="I80" s="3634"/>
      <c r="J80" s="3634"/>
      <c r="K80" s="3635"/>
      <c r="L80" s="3636"/>
      <c r="M80" s="3637"/>
      <c r="N80" s="3588"/>
      <c r="O80" s="3588"/>
      <c r="P80" s="3589"/>
      <c r="Q80" s="3555"/>
    </row>
    <row r="81" spans="1:17" ht="15.75" thickBot="1">
      <c r="A81" s="3419"/>
      <c r="B81" s="3596"/>
      <c r="C81" s="3604">
        <v>100</v>
      </c>
      <c r="D81" s="3604">
        <f>C81-$K19</f>
        <v>97</v>
      </c>
      <c r="E81" s="3604">
        <f>D81-$K19</f>
        <v>94</v>
      </c>
      <c r="F81" s="3604">
        <f>E81-$K19</f>
        <v>91</v>
      </c>
      <c r="G81" s="3604">
        <f>F81-$K19</f>
        <v>88</v>
      </c>
      <c r="H81" s="3604"/>
      <c r="I81" s="3604"/>
      <c r="J81" s="3604"/>
      <c r="K81" s="3604"/>
      <c r="L81" s="3604"/>
      <c r="M81" s="3605"/>
      <c r="N81" s="3593"/>
      <c r="O81" s="3593"/>
      <c r="P81" s="3589"/>
      <c r="Q81" s="3555"/>
    </row>
    <row r="82" spans="1:17" ht="15.75" thickTop="1">
      <c r="A82" s="3419"/>
      <c r="B82" s="3597" t="s">
        <v>3372</v>
      </c>
      <c r="C82" s="3634" t="s">
        <v>3385</v>
      </c>
      <c r="D82" s="3634" t="s">
        <v>3386</v>
      </c>
      <c r="E82" s="3634" t="s">
        <v>3387</v>
      </c>
      <c r="F82" s="3634" t="s">
        <v>3388</v>
      </c>
      <c r="G82" s="3634" t="s">
        <v>3389</v>
      </c>
      <c r="H82" s="3634"/>
      <c r="I82" s="3634"/>
      <c r="J82" s="3634"/>
      <c r="K82" s="3634"/>
      <c r="L82" s="3634"/>
      <c r="M82" s="3638"/>
      <c r="N82" s="3593"/>
      <c r="O82" s="3593"/>
      <c r="P82" s="3589"/>
      <c r="Q82" s="3555"/>
    </row>
    <row r="83" spans="1:17" ht="15.75" thickBot="1">
      <c r="A83" s="3419"/>
      <c r="B83" s="3597"/>
      <c r="C83" s="3639">
        <v>100</v>
      </c>
      <c r="D83" s="3639">
        <f>C83-$K21</f>
        <v>100</v>
      </c>
      <c r="E83" s="3639">
        <f t="shared" ref="E83:G83" si="22">D83-$K21</f>
        <v>100</v>
      </c>
      <c r="F83" s="3639">
        <f t="shared" si="22"/>
        <v>100</v>
      </c>
      <c r="G83" s="3639">
        <f t="shared" si="22"/>
        <v>100</v>
      </c>
      <c r="H83" s="3639"/>
      <c r="I83" s="3639"/>
      <c r="J83" s="3639"/>
      <c r="K83" s="3639"/>
      <c r="L83" s="3639"/>
      <c r="M83" s="3455"/>
      <c r="N83" s="3593"/>
      <c r="O83" s="3593"/>
      <c r="P83" s="3589"/>
      <c r="Q83" s="3555"/>
    </row>
    <row r="84" spans="1:17" ht="15.75" thickTop="1">
      <c r="A84" s="3419"/>
      <c r="B84" s="3594" t="s">
        <v>1689</v>
      </c>
      <c r="C84" s="3633" t="s">
        <v>1682</v>
      </c>
      <c r="D84" s="3633" t="s">
        <v>1683</v>
      </c>
      <c r="E84" s="3633" t="s">
        <v>1684</v>
      </c>
      <c r="F84" s="3633" t="s">
        <v>1685</v>
      </c>
      <c r="G84" s="3633" t="s">
        <v>1686</v>
      </c>
      <c r="H84" s="3634"/>
      <c r="I84" s="3634"/>
      <c r="J84" s="3634"/>
      <c r="K84" s="3635"/>
      <c r="L84" s="3636"/>
      <c r="M84" s="3637"/>
      <c r="N84" s="3588"/>
      <c r="O84" s="3588"/>
      <c r="P84" s="3589"/>
      <c r="Q84" s="3555"/>
    </row>
    <row r="85" spans="1:17" ht="15.75" thickBot="1">
      <c r="A85" s="3419"/>
      <c r="B85" s="3596"/>
      <c r="C85" s="3604">
        <v>100</v>
      </c>
      <c r="D85" s="3604">
        <f>C85-$K23</f>
        <v>100</v>
      </c>
      <c r="E85" s="3604">
        <f>D85-$K23</f>
        <v>100</v>
      </c>
      <c r="F85" s="3604">
        <f>E85-$K23</f>
        <v>100</v>
      </c>
      <c r="G85" s="3604">
        <f>F85-$K23</f>
        <v>100</v>
      </c>
      <c r="H85" s="3604"/>
      <c r="I85" s="3604"/>
      <c r="J85" s="3604"/>
      <c r="K85" s="3604"/>
      <c r="L85" s="3604"/>
      <c r="M85" s="3605"/>
      <c r="N85" s="3593"/>
      <c r="O85" s="3593"/>
      <c r="P85" s="3589"/>
      <c r="Q85" s="3555"/>
    </row>
    <row r="86" spans="1:17" s="3399" customFormat="1" ht="15.75" thickTop="1">
      <c r="A86" s="3424"/>
      <c r="B86" s="3594" t="s">
        <v>3373</v>
      </c>
      <c r="C86" s="3607"/>
      <c r="D86" s="3607"/>
      <c r="E86" s="3607"/>
      <c r="F86" s="3607"/>
      <c r="G86" s="3607"/>
      <c r="H86" s="3607"/>
      <c r="I86" s="3607"/>
      <c r="J86" s="3607"/>
      <c r="K86" s="3607"/>
      <c r="L86" s="3640"/>
      <c r="M86" s="3641"/>
      <c r="N86" s="3579"/>
      <c r="O86" s="3579"/>
      <c r="P86" s="3589"/>
      <c r="Q86" s="3555"/>
    </row>
    <row r="87" spans="1:17" s="3399" customFormat="1" ht="15.75" thickBot="1">
      <c r="A87" s="3424"/>
      <c r="B87" s="3596"/>
      <c r="C87" s="3642">
        <v>100</v>
      </c>
      <c r="D87" s="3604">
        <f t="shared" ref="D87:M87" si="23">$C$87-($C$86-D86)*$K$25</f>
        <v>100</v>
      </c>
      <c r="E87" s="3604">
        <f t="shared" si="23"/>
        <v>100</v>
      </c>
      <c r="F87" s="3604">
        <f t="shared" si="23"/>
        <v>100</v>
      </c>
      <c r="G87" s="3604">
        <f t="shared" si="23"/>
        <v>100</v>
      </c>
      <c r="H87" s="3604">
        <f t="shared" si="23"/>
        <v>100</v>
      </c>
      <c r="I87" s="3604">
        <f t="shared" si="23"/>
        <v>100</v>
      </c>
      <c r="J87" s="3604">
        <f t="shared" si="23"/>
        <v>100</v>
      </c>
      <c r="K87" s="3604">
        <f t="shared" si="23"/>
        <v>100</v>
      </c>
      <c r="L87" s="3604">
        <f t="shared" si="23"/>
        <v>100</v>
      </c>
      <c r="M87" s="3604">
        <f t="shared" si="23"/>
        <v>100</v>
      </c>
      <c r="N87" s="3593"/>
      <c r="O87" s="3593"/>
      <c r="P87" s="3589"/>
      <c r="Q87" s="3555"/>
    </row>
    <row r="88" spans="1:17" s="3399" customFormat="1" ht="15.75" thickTop="1">
      <c r="A88" s="3424"/>
      <c r="B88" s="3594" t="s">
        <v>3390</v>
      </c>
      <c r="C88" s="3607"/>
      <c r="D88" s="3607"/>
      <c r="E88" s="3607"/>
      <c r="F88" s="3643"/>
      <c r="G88" s="3607"/>
      <c r="H88" s="3607"/>
      <c r="I88" s="3607"/>
      <c r="J88" s="3607"/>
      <c r="K88" s="3607"/>
      <c r="L88" s="3607"/>
      <c r="M88" s="3641"/>
      <c r="N88" s="3579"/>
      <c r="O88" s="3579"/>
      <c r="P88" s="3589"/>
      <c r="Q88" s="3555"/>
    </row>
    <row r="89" spans="1:17" s="3399" customFormat="1" ht="15.75" thickBot="1">
      <c r="A89" s="3424"/>
      <c r="B89" s="3596"/>
      <c r="C89" s="3642">
        <v>100</v>
      </c>
      <c r="D89" s="3604">
        <f t="shared" ref="D89:M89" si="24">C89-$K26</f>
        <v>100</v>
      </c>
      <c r="E89" s="3604">
        <f t="shared" si="24"/>
        <v>100</v>
      </c>
      <c r="F89" s="3604">
        <f t="shared" si="24"/>
        <v>100</v>
      </c>
      <c r="G89" s="3604">
        <f t="shared" si="24"/>
        <v>100</v>
      </c>
      <c r="H89" s="3604">
        <f t="shared" si="24"/>
        <v>100</v>
      </c>
      <c r="I89" s="3604">
        <f t="shared" si="24"/>
        <v>100</v>
      </c>
      <c r="J89" s="3604">
        <f t="shared" si="24"/>
        <v>100</v>
      </c>
      <c r="K89" s="3604">
        <f t="shared" si="24"/>
        <v>100</v>
      </c>
      <c r="L89" s="3604">
        <f t="shared" si="24"/>
        <v>100</v>
      </c>
      <c r="M89" s="3604">
        <f t="shared" si="24"/>
        <v>100</v>
      </c>
      <c r="N89" s="3593"/>
      <c r="O89" s="3593"/>
      <c r="P89" s="3589"/>
      <c r="Q89" s="3555"/>
    </row>
    <row r="90" spans="1:17" s="3495" customFormat="1" ht="15.75" thickTop="1">
      <c r="A90" s="3606"/>
      <c r="B90" s="3594">
        <f>B27</f>
        <v>111</v>
      </c>
      <c r="C90" s="3607"/>
      <c r="D90" s="3607"/>
      <c r="E90" s="3607"/>
      <c r="F90" s="3607"/>
      <c r="G90" s="3607"/>
      <c r="H90" s="3608"/>
      <c r="I90" s="3608"/>
      <c r="J90" s="3608"/>
      <c r="K90" s="3608"/>
      <c r="L90" s="3609"/>
      <c r="M90" s="3610"/>
      <c r="N90" s="3611"/>
      <c r="O90" s="3611"/>
      <c r="P90" s="3612"/>
      <c r="Q90" s="3613"/>
    </row>
    <row r="91" spans="1:17" s="3495" customFormat="1" ht="15.75" thickBot="1">
      <c r="A91" s="3606"/>
      <c r="B91" s="3596"/>
      <c r="C91" s="3614"/>
      <c r="D91" s="3614"/>
      <c r="E91" s="3614"/>
      <c r="F91" s="3614"/>
      <c r="G91" s="3614"/>
      <c r="H91" s="3617"/>
      <c r="I91" s="3617"/>
      <c r="J91" s="3617"/>
      <c r="K91" s="3617"/>
      <c r="L91" s="3617"/>
      <c r="M91" s="3618"/>
      <c r="N91" s="3611"/>
      <c r="O91" s="3611"/>
      <c r="P91" s="3612"/>
      <c r="Q91" s="3613"/>
    </row>
    <row r="92" spans="1:17" ht="15.75" thickTop="1">
      <c r="A92" s="3419"/>
      <c r="B92" s="3594">
        <f>B28</f>
        <v>111</v>
      </c>
      <c r="C92" s="3607"/>
      <c r="D92" s="3607"/>
      <c r="E92" s="3607"/>
      <c r="F92" s="3607"/>
      <c r="G92" s="3595"/>
      <c r="H92" s="3595"/>
      <c r="I92" s="3595"/>
      <c r="J92" s="3595"/>
      <c r="K92" s="3644"/>
      <c r="L92" s="3645"/>
      <c r="M92" s="3646"/>
      <c r="N92" s="3588"/>
      <c r="O92" s="3588"/>
      <c r="P92" s="3589"/>
      <c r="Q92" s="3555"/>
    </row>
    <row r="93" spans="1:17" ht="15.75" thickBot="1">
      <c r="A93" s="3419"/>
      <c r="B93" s="3596"/>
      <c r="C93" s="3614"/>
      <c r="D93" s="3591"/>
      <c r="E93" s="3591"/>
      <c r="F93" s="3591"/>
      <c r="G93" s="3591"/>
      <c r="H93" s="3591"/>
      <c r="I93" s="3591"/>
      <c r="J93" s="3591"/>
      <c r="K93" s="3591"/>
      <c r="L93" s="3591"/>
      <c r="M93" s="3592"/>
      <c r="N93" s="3593"/>
      <c r="O93" s="3593"/>
      <c r="P93" s="3589"/>
      <c r="Q93" s="3555"/>
    </row>
    <row r="94" spans="1:17" ht="15.75" thickTop="1">
      <c r="A94" s="3419"/>
      <c r="B94" s="3594">
        <f>B29</f>
        <v>111</v>
      </c>
      <c r="C94" s="3607"/>
      <c r="D94" s="3607"/>
      <c r="E94" s="3607"/>
      <c r="F94" s="3607"/>
      <c r="G94" s="3595"/>
      <c r="H94" s="3595"/>
      <c r="I94" s="3595"/>
      <c r="J94" s="3595"/>
      <c r="K94" s="3644"/>
      <c r="L94" s="3645"/>
      <c r="M94" s="3646"/>
      <c r="N94" s="3588"/>
      <c r="O94" s="3588"/>
      <c r="P94" s="3589"/>
      <c r="Q94" s="3555"/>
    </row>
    <row r="95" spans="1:17" ht="15.75" thickBot="1">
      <c r="A95" s="3419"/>
      <c r="B95" s="3596"/>
      <c r="C95" s="3614"/>
      <c r="D95" s="3614"/>
      <c r="E95" s="3614"/>
      <c r="F95" s="3614"/>
      <c r="G95" s="3591"/>
      <c r="H95" s="3591"/>
      <c r="I95" s="3591"/>
      <c r="J95" s="3591"/>
      <c r="K95" s="3591"/>
      <c r="L95" s="3591"/>
      <c r="M95" s="3592"/>
      <c r="N95" s="3593"/>
      <c r="O95" s="3593"/>
      <c r="P95" s="3589"/>
      <c r="Q95" s="3555"/>
    </row>
    <row r="96" spans="1:17" ht="15.75" thickTop="1">
      <c r="A96" s="3419"/>
      <c r="B96" s="3594">
        <f>B30</f>
        <v>111</v>
      </c>
      <c r="C96" s="3607"/>
      <c r="D96" s="3607"/>
      <c r="E96" s="3607"/>
      <c r="F96" s="3607"/>
      <c r="G96" s="3595"/>
      <c r="H96" s="3595"/>
      <c r="I96" s="3595"/>
      <c r="J96" s="3595"/>
      <c r="K96" s="3644"/>
      <c r="L96" s="3645"/>
      <c r="M96" s="3646"/>
      <c r="N96" s="3588"/>
      <c r="O96" s="3588"/>
      <c r="P96" s="3589"/>
      <c r="Q96" s="3555"/>
    </row>
    <row r="97" spans="1:17" ht="15.75" thickBot="1">
      <c r="A97" s="3419"/>
      <c r="B97" s="3596"/>
      <c r="C97" s="3625"/>
      <c r="D97" s="3625"/>
      <c r="E97" s="3625"/>
      <c r="F97" s="3625"/>
      <c r="G97" s="3591"/>
      <c r="H97" s="3591"/>
      <c r="I97" s="3591"/>
      <c r="J97" s="3591"/>
      <c r="K97" s="3591"/>
      <c r="L97" s="3591"/>
      <c r="M97" s="3592"/>
      <c r="N97" s="3593"/>
      <c r="O97" s="3593"/>
      <c r="P97" s="3589"/>
      <c r="Q97" s="3555"/>
    </row>
    <row r="98" spans="1:17" ht="15.75" thickTop="1">
      <c r="A98" s="3419"/>
      <c r="B98" s="3597">
        <f>B31</f>
        <v>111</v>
      </c>
      <c r="C98" s="3647"/>
      <c r="D98" s="3647"/>
      <c r="E98" s="3647"/>
      <c r="F98" s="3647"/>
      <c r="G98" s="3647"/>
      <c r="H98" s="3647"/>
      <c r="I98" s="3647"/>
      <c r="J98" s="3647"/>
      <c r="K98" s="3648"/>
      <c r="L98" s="3649"/>
      <c r="M98" s="3650"/>
      <c r="N98" s="3588"/>
      <c r="O98" s="3588"/>
      <c r="P98" s="3589"/>
      <c r="Q98" s="3555"/>
    </row>
    <row r="99" spans="1:17" ht="15.75" thickBot="1">
      <c r="A99" s="3432"/>
      <c r="B99" s="3624"/>
      <c r="C99" s="3651"/>
      <c r="D99" s="3651"/>
      <c r="E99" s="3651"/>
      <c r="F99" s="3651"/>
      <c r="G99" s="3651"/>
      <c r="H99" s="3651"/>
      <c r="I99" s="3651"/>
      <c r="J99" s="3651"/>
      <c r="K99" s="3651"/>
      <c r="L99" s="3651"/>
      <c r="M99" s="3652"/>
      <c r="N99" s="3593"/>
      <c r="O99" s="3593"/>
      <c r="P99" s="3589"/>
      <c r="Q99" s="3555"/>
    </row>
    <row r="100" spans="1:17">
      <c r="A100" s="3437" t="s">
        <v>1673</v>
      </c>
      <c r="B100" s="3582" t="s">
        <v>1690</v>
      </c>
      <c r="C100" s="3584"/>
      <c r="D100" s="3584"/>
      <c r="E100" s="3584"/>
      <c r="F100" s="3584"/>
      <c r="G100" s="3584"/>
      <c r="H100" s="3584"/>
      <c r="I100" s="3584"/>
      <c r="J100" s="3584"/>
      <c r="K100" s="3585"/>
      <c r="L100" s="3586"/>
      <c r="M100" s="3587"/>
      <c r="N100" s="3588"/>
      <c r="O100" s="3588"/>
      <c r="P100" s="3589"/>
      <c r="Q100" s="3555"/>
    </row>
    <row r="101" spans="1:17" ht="15.75" thickBot="1">
      <c r="A101" s="3419"/>
      <c r="B101" s="3596"/>
      <c r="C101" s="3604">
        <v>100</v>
      </c>
      <c r="D101" s="3604">
        <f t="shared" ref="D101:M101" si="25">C101-$K32</f>
        <v>100</v>
      </c>
      <c r="E101" s="3604">
        <f t="shared" si="25"/>
        <v>100</v>
      </c>
      <c r="F101" s="3604">
        <f t="shared" si="25"/>
        <v>100</v>
      </c>
      <c r="G101" s="3604">
        <f t="shared" si="25"/>
        <v>100</v>
      </c>
      <c r="H101" s="3604">
        <f t="shared" si="25"/>
        <v>100</v>
      </c>
      <c r="I101" s="3604">
        <f t="shared" si="25"/>
        <v>100</v>
      </c>
      <c r="J101" s="3604">
        <f t="shared" si="25"/>
        <v>100</v>
      </c>
      <c r="K101" s="3604">
        <f t="shared" si="25"/>
        <v>100</v>
      </c>
      <c r="L101" s="3604">
        <f t="shared" si="25"/>
        <v>100</v>
      </c>
      <c r="M101" s="3604">
        <f t="shared" si="25"/>
        <v>100</v>
      </c>
      <c r="N101" s="3593"/>
      <c r="O101" s="3593"/>
      <c r="P101" s="3589"/>
      <c r="Q101" s="3555"/>
    </row>
    <row r="102" spans="1:17" ht="15.75" thickTop="1">
      <c r="A102" s="3419"/>
      <c r="B102" s="3594" t="s">
        <v>1691</v>
      </c>
      <c r="C102" s="3633" t="str">
        <f>C103&amp;"(含)"&amp;"-"&amp;D103</f>
        <v>0(含)-100</v>
      </c>
      <c r="D102" s="3633" t="str">
        <f t="shared" ref="D102:L102" si="26">D103&amp;"(含)"&amp;"-"&amp;E103</f>
        <v>100(含)-200</v>
      </c>
      <c r="E102" s="3633" t="str">
        <f t="shared" si="26"/>
        <v>200(含)-</v>
      </c>
      <c r="F102" s="3633" t="str">
        <f t="shared" si="26"/>
        <v>(含)-</v>
      </c>
      <c r="G102" s="3633" t="str">
        <f t="shared" si="26"/>
        <v>(含)-</v>
      </c>
      <c r="H102" s="3633" t="str">
        <f t="shared" si="26"/>
        <v>(含)-</v>
      </c>
      <c r="I102" s="3633" t="str">
        <f t="shared" si="26"/>
        <v>(含)-</v>
      </c>
      <c r="J102" s="3633" t="str">
        <f t="shared" si="26"/>
        <v>(含)-</v>
      </c>
      <c r="K102" s="3633" t="str">
        <f>K103&amp;"(含)"&amp;"-"&amp;L103</f>
        <v>(含)-</v>
      </c>
      <c r="L102" s="3633" t="str">
        <f t="shared" si="26"/>
        <v>(含)-</v>
      </c>
      <c r="M102" s="3633" t="str">
        <f>M103&amp;"(含)"&amp;"-"&amp;P103</f>
        <v>(含)-</v>
      </c>
      <c r="N102" s="3579"/>
      <c r="O102" s="3579"/>
      <c r="P102" s="3589"/>
      <c r="Q102" s="3555"/>
    </row>
    <row r="103" spans="1:17" s="3495" customFormat="1">
      <c r="A103" s="3486"/>
      <c r="B103" s="3653"/>
      <c r="C103" s="3654">
        <v>0</v>
      </c>
      <c r="D103" s="3654">
        <v>100</v>
      </c>
      <c r="E103" s="3654">
        <v>200</v>
      </c>
      <c r="F103" s="3654"/>
      <c r="G103" s="3654"/>
      <c r="H103" s="3654"/>
      <c r="I103" s="3654"/>
      <c r="J103" s="3655"/>
      <c r="K103" s="3655"/>
      <c r="L103" s="3656"/>
      <c r="M103" s="3657"/>
      <c r="N103" s="3611"/>
      <c r="O103" s="3611"/>
      <c r="P103" s="3612"/>
      <c r="Q103" s="3613"/>
    </row>
    <row r="104" spans="1:17" s="3495" customFormat="1" ht="15.75" thickBot="1">
      <c r="A104" s="3606"/>
      <c r="B104" s="3596"/>
      <c r="C104" s="3614">
        <v>100</v>
      </c>
      <c r="D104" s="3591">
        <v>99</v>
      </c>
      <c r="E104" s="3591">
        <v>98</v>
      </c>
      <c r="F104" s="3591"/>
      <c r="G104" s="3591"/>
      <c r="H104" s="3591"/>
      <c r="I104" s="3591"/>
      <c r="J104" s="3591"/>
      <c r="K104" s="3591"/>
      <c r="L104" s="3591"/>
      <c r="M104" s="3591"/>
      <c r="N104" s="3593"/>
      <c r="O104" s="3593"/>
      <c r="P104" s="3612"/>
      <c r="Q104" s="3613"/>
    </row>
    <row r="105" spans="1:17" ht="15" thickTop="1">
      <c r="A105" s="3496"/>
      <c r="B105" s="3594" t="s">
        <v>1692</v>
      </c>
      <c r="C105" s="3607"/>
      <c r="D105" s="3607"/>
      <c r="E105" s="3595"/>
      <c r="F105" s="3595"/>
      <c r="G105" s="3595"/>
      <c r="H105" s="3595"/>
      <c r="I105" s="3595"/>
      <c r="J105" s="3595"/>
      <c r="K105" s="3644"/>
      <c r="L105" s="3645"/>
      <c r="M105" s="3646"/>
      <c r="N105" s="3588"/>
      <c r="O105" s="3588"/>
      <c r="P105" s="3589"/>
      <c r="Q105" s="3555"/>
    </row>
    <row r="106" spans="1:17" ht="15.75" thickBot="1">
      <c r="A106" s="3419"/>
      <c r="B106" s="3596"/>
      <c r="C106" s="3604">
        <v>100</v>
      </c>
      <c r="D106" s="3604">
        <f t="shared" ref="D106:M106" si="27">C106-$K34</f>
        <v>100</v>
      </c>
      <c r="E106" s="3604">
        <f t="shared" si="27"/>
        <v>100</v>
      </c>
      <c r="F106" s="3604">
        <f t="shared" si="27"/>
        <v>100</v>
      </c>
      <c r="G106" s="3604">
        <f t="shared" si="27"/>
        <v>100</v>
      </c>
      <c r="H106" s="3604">
        <f t="shared" si="27"/>
        <v>100</v>
      </c>
      <c r="I106" s="3604">
        <f t="shared" si="27"/>
        <v>100</v>
      </c>
      <c r="J106" s="3604">
        <f t="shared" si="27"/>
        <v>100</v>
      </c>
      <c r="K106" s="3604">
        <f t="shared" si="27"/>
        <v>100</v>
      </c>
      <c r="L106" s="3604">
        <f t="shared" si="27"/>
        <v>100</v>
      </c>
      <c r="M106" s="3604">
        <f t="shared" si="27"/>
        <v>100</v>
      </c>
      <c r="N106" s="3593"/>
      <c r="O106" s="3593"/>
      <c r="P106" s="3589"/>
      <c r="Q106" s="3555"/>
    </row>
    <row r="107" spans="1:17" ht="15" thickTop="1">
      <c r="A107" s="3496"/>
      <c r="B107" s="3594" t="s">
        <v>3391</v>
      </c>
      <c r="C107" s="3595"/>
      <c r="D107" s="3595"/>
      <c r="E107" s="3595"/>
      <c r="F107" s="3595"/>
      <c r="G107" s="3595"/>
      <c r="H107" s="3595"/>
      <c r="I107" s="3595"/>
      <c r="J107" s="3595"/>
      <c r="K107" s="3644"/>
      <c r="L107" s="3645"/>
      <c r="M107" s="3646"/>
      <c r="N107" s="3588"/>
      <c r="O107" s="3588"/>
      <c r="P107" s="3589"/>
      <c r="Q107" s="3555"/>
    </row>
    <row r="108" spans="1:17" ht="15.75" thickBot="1">
      <c r="A108" s="3419"/>
      <c r="B108" s="3596"/>
      <c r="C108" s="3604">
        <v>100</v>
      </c>
      <c r="D108" s="3604">
        <f t="shared" ref="D108:M108" si="28">C108-$K35</f>
        <v>100</v>
      </c>
      <c r="E108" s="3604">
        <f t="shared" si="28"/>
        <v>100</v>
      </c>
      <c r="F108" s="3604">
        <f t="shared" si="28"/>
        <v>100</v>
      </c>
      <c r="G108" s="3604">
        <f t="shared" si="28"/>
        <v>100</v>
      </c>
      <c r="H108" s="3604">
        <f t="shared" si="28"/>
        <v>100</v>
      </c>
      <c r="I108" s="3604">
        <f t="shared" si="28"/>
        <v>100</v>
      </c>
      <c r="J108" s="3604">
        <f t="shared" si="28"/>
        <v>100</v>
      </c>
      <c r="K108" s="3604">
        <f t="shared" si="28"/>
        <v>100</v>
      </c>
      <c r="L108" s="3604">
        <f t="shared" si="28"/>
        <v>100</v>
      </c>
      <c r="M108" s="3604">
        <f t="shared" si="28"/>
        <v>100</v>
      </c>
      <c r="N108" s="3593"/>
      <c r="O108" s="3593"/>
      <c r="P108" s="3589"/>
      <c r="Q108" s="3555"/>
    </row>
    <row r="109" spans="1:17" ht="15" thickTop="1">
      <c r="A109" s="3496"/>
      <c r="B109" s="3594" t="s">
        <v>1693</v>
      </c>
      <c r="C109" s="3607"/>
      <c r="D109" s="3607"/>
      <c r="E109" s="3607"/>
      <c r="F109" s="3595"/>
      <c r="G109" s="3595"/>
      <c r="H109" s="3595"/>
      <c r="I109" s="3595"/>
      <c r="J109" s="3595"/>
      <c r="K109" s="3644"/>
      <c r="L109" s="3645"/>
      <c r="M109" s="3646"/>
      <c r="N109" s="3588"/>
      <c r="O109" s="3588"/>
      <c r="P109" s="3589"/>
      <c r="Q109" s="3555"/>
    </row>
    <row r="110" spans="1:17" ht="15.75" thickBot="1">
      <c r="A110" s="3419"/>
      <c r="B110" s="3596"/>
      <c r="C110" s="3604">
        <v>100</v>
      </c>
      <c r="D110" s="3604">
        <f t="shared" ref="D110:M110" si="29">C110-$K36</f>
        <v>100</v>
      </c>
      <c r="E110" s="3604">
        <f t="shared" si="29"/>
        <v>100</v>
      </c>
      <c r="F110" s="3604">
        <f t="shared" si="29"/>
        <v>100</v>
      </c>
      <c r="G110" s="3604">
        <f t="shared" si="29"/>
        <v>100</v>
      </c>
      <c r="H110" s="3604">
        <f t="shared" si="29"/>
        <v>100</v>
      </c>
      <c r="I110" s="3604">
        <f t="shared" si="29"/>
        <v>100</v>
      </c>
      <c r="J110" s="3604">
        <f t="shared" si="29"/>
        <v>100</v>
      </c>
      <c r="K110" s="3604">
        <f t="shared" si="29"/>
        <v>100</v>
      </c>
      <c r="L110" s="3604">
        <f t="shared" si="29"/>
        <v>100</v>
      </c>
      <c r="M110" s="3604">
        <f t="shared" si="29"/>
        <v>100</v>
      </c>
      <c r="N110" s="3593"/>
      <c r="O110" s="3593"/>
      <c r="P110" s="3589"/>
      <c r="Q110" s="3555"/>
    </row>
    <row r="111" spans="1:17" s="3495" customFormat="1" ht="15" thickTop="1">
      <c r="A111" s="3486"/>
      <c r="B111" s="3594" t="s">
        <v>1184</v>
      </c>
      <c r="C111" s="3633" t="str">
        <f>C112&amp;"(含)"&amp;"-"&amp;D112</f>
        <v>0.5(含)-0.6</v>
      </c>
      <c r="D111" s="3633" t="str">
        <f>D112&amp;"(含)"&amp;"-"&amp;E112</f>
        <v>0.6(含)-0.7</v>
      </c>
      <c r="E111" s="3633" t="str">
        <f>E112&amp;"(含)"&amp;"-"&amp;F112</f>
        <v>0.7(含)-0.8</v>
      </c>
      <c r="F111" s="3633" t="str">
        <f>F112&amp;"(含)"&amp;"-"&amp;G112</f>
        <v>0.8(含)-0.9</v>
      </c>
      <c r="G111" s="3633" t="str">
        <f>G112&amp;"(含)"&amp;"-"&amp;ROUND(H112,0)&amp;"(含)"</f>
        <v>0.9(含)-1(含)</v>
      </c>
      <c r="H111" s="3633" t="str">
        <f>ROUND(H112,0)&amp;"(含)"&amp;"-"&amp;I112</f>
        <v>1(含)-</v>
      </c>
      <c r="I111" s="3633"/>
      <c r="J111" s="3658"/>
      <c r="K111" s="3658"/>
      <c r="L111" s="3659"/>
      <c r="M111" s="3660"/>
      <c r="N111" s="3611"/>
      <c r="O111" s="3611"/>
      <c r="P111" s="3612"/>
      <c r="Q111" s="3613"/>
    </row>
    <row r="112" spans="1:17" s="3495" customFormat="1">
      <c r="A112" s="3486"/>
      <c r="B112" s="3597"/>
      <c r="C112" s="3409">
        <v>0.5</v>
      </c>
      <c r="D112" s="3409">
        <v>0.6</v>
      </c>
      <c r="E112" s="3409">
        <v>0.7</v>
      </c>
      <c r="F112" s="3409">
        <v>0.8</v>
      </c>
      <c r="G112" s="3409">
        <v>0.9</v>
      </c>
      <c r="H112" s="3409">
        <v>1.0001</v>
      </c>
      <c r="I112" s="3409"/>
      <c r="J112" s="3490"/>
      <c r="K112" s="3490"/>
      <c r="L112" s="3661"/>
      <c r="M112" s="3662"/>
      <c r="N112" s="3611"/>
      <c r="O112" s="3611"/>
      <c r="P112" s="3612"/>
      <c r="Q112" s="3613"/>
    </row>
    <row r="113" spans="1:17" s="3495" customFormat="1" ht="15.75" thickBot="1">
      <c r="A113" s="3606"/>
      <c r="B113" s="3596"/>
      <c r="C113" s="3642">
        <v>100</v>
      </c>
      <c r="D113" s="3604">
        <f>C113+$K37</f>
        <v>100</v>
      </c>
      <c r="E113" s="3604">
        <f>D113+$K37</f>
        <v>100</v>
      </c>
      <c r="F113" s="3604">
        <f>E113+$K37</f>
        <v>100</v>
      </c>
      <c r="G113" s="3604">
        <f>F113+$K37</f>
        <v>100</v>
      </c>
      <c r="H113" s="3604">
        <f>G113+$K37</f>
        <v>100</v>
      </c>
      <c r="I113" s="3642"/>
      <c r="J113" s="3663"/>
      <c r="K113" s="3663"/>
      <c r="L113" s="3663"/>
      <c r="M113" s="3664"/>
      <c r="N113" s="3611"/>
      <c r="O113" s="3611"/>
      <c r="P113" s="3612"/>
      <c r="Q113" s="3613"/>
    </row>
    <row r="114" spans="1:17" ht="15" thickTop="1">
      <c r="A114" s="3496"/>
      <c r="B114" s="3594" t="s">
        <v>1694</v>
      </c>
      <c r="C114" s="3607"/>
      <c r="D114" s="3607"/>
      <c r="E114" s="3595"/>
      <c r="F114" s="3595"/>
      <c r="G114" s="3595"/>
      <c r="H114" s="3595"/>
      <c r="I114" s="3595"/>
      <c r="J114" s="3595"/>
      <c r="K114" s="3644"/>
      <c r="L114" s="3645"/>
      <c r="M114" s="3646"/>
      <c r="N114" s="3588"/>
      <c r="O114" s="3588"/>
      <c r="P114" s="3589"/>
      <c r="Q114" s="3555"/>
    </row>
    <row r="115" spans="1:17" ht="15.75" thickBot="1">
      <c r="A115" s="3419"/>
      <c r="B115" s="3596"/>
      <c r="C115" s="3604">
        <v>100</v>
      </c>
      <c r="D115" s="3604">
        <f t="shared" ref="D115:M115" si="30">C115-$K38</f>
        <v>100</v>
      </c>
      <c r="E115" s="3604">
        <f t="shared" si="30"/>
        <v>100</v>
      </c>
      <c r="F115" s="3604">
        <f t="shared" si="30"/>
        <v>100</v>
      </c>
      <c r="G115" s="3604">
        <f t="shared" si="30"/>
        <v>100</v>
      </c>
      <c r="H115" s="3604">
        <f t="shared" si="30"/>
        <v>100</v>
      </c>
      <c r="I115" s="3604">
        <f t="shared" si="30"/>
        <v>100</v>
      </c>
      <c r="J115" s="3604">
        <f t="shared" si="30"/>
        <v>100</v>
      </c>
      <c r="K115" s="3604">
        <f t="shared" si="30"/>
        <v>100</v>
      </c>
      <c r="L115" s="3604">
        <f t="shared" si="30"/>
        <v>100</v>
      </c>
      <c r="M115" s="3604">
        <f t="shared" si="30"/>
        <v>100</v>
      </c>
      <c r="N115" s="3593"/>
      <c r="O115" s="3593"/>
      <c r="P115" s="3589"/>
      <c r="Q115" s="3555"/>
    </row>
    <row r="116" spans="1:17" ht="15" thickTop="1">
      <c r="A116" s="3496"/>
      <c r="B116" s="3594" t="s">
        <v>1695</v>
      </c>
      <c r="C116" s="3607"/>
      <c r="D116" s="3607"/>
      <c r="E116" s="3607"/>
      <c r="F116" s="3607"/>
      <c r="G116" s="3607"/>
      <c r="H116" s="3595"/>
      <c r="I116" s="3595"/>
      <c r="J116" s="3595"/>
      <c r="K116" s="3644"/>
      <c r="L116" s="3645"/>
      <c r="M116" s="3646"/>
      <c r="N116" s="3588"/>
      <c r="O116" s="3588"/>
      <c r="P116" s="3589"/>
      <c r="Q116" s="3555"/>
    </row>
    <row r="117" spans="1:17" ht="15.75" thickBot="1">
      <c r="A117" s="3419"/>
      <c r="B117" s="3596"/>
      <c r="C117" s="3604">
        <v>100</v>
      </c>
      <c r="D117" s="3604">
        <f>C117-$K39</f>
        <v>100</v>
      </c>
      <c r="E117" s="3604">
        <f>D117-$K39</f>
        <v>100</v>
      </c>
      <c r="F117" s="3604">
        <f>E117-$K39</f>
        <v>100</v>
      </c>
      <c r="G117" s="3604">
        <f>F117-$K39</f>
        <v>100</v>
      </c>
      <c r="H117" s="3604"/>
      <c r="I117" s="3604"/>
      <c r="J117" s="3604"/>
      <c r="K117" s="3604"/>
      <c r="L117" s="3604"/>
      <c r="M117" s="3605"/>
      <c r="N117" s="3593"/>
      <c r="O117" s="3593"/>
      <c r="P117" s="3589"/>
      <c r="Q117" s="3555"/>
    </row>
    <row r="118" spans="1:17" ht="15" thickTop="1">
      <c r="A118" s="3496"/>
      <c r="B118" s="3594" t="s">
        <v>3392</v>
      </c>
      <c r="C118" s="3595"/>
      <c r="D118" s="3595"/>
      <c r="E118" s="3595"/>
      <c r="F118" s="3595"/>
      <c r="G118" s="3595"/>
      <c r="H118" s="3595"/>
      <c r="I118" s="3595"/>
      <c r="J118" s="3595"/>
      <c r="K118" s="3644"/>
      <c r="L118" s="3645"/>
      <c r="M118" s="3646"/>
      <c r="N118" s="3588"/>
      <c r="O118" s="3588"/>
      <c r="P118" s="3589"/>
      <c r="Q118" s="3555"/>
    </row>
    <row r="119" spans="1:17" ht="15.75" thickBot="1">
      <c r="A119" s="3419"/>
      <c r="B119" s="3596"/>
      <c r="C119" s="3604">
        <v>100</v>
      </c>
      <c r="D119" s="3604">
        <f t="shared" ref="D119:M119" si="31">C119-$K40</f>
        <v>100</v>
      </c>
      <c r="E119" s="3604">
        <f t="shared" si="31"/>
        <v>100</v>
      </c>
      <c r="F119" s="3604">
        <f t="shared" si="31"/>
        <v>100</v>
      </c>
      <c r="G119" s="3604">
        <f t="shared" si="31"/>
        <v>100</v>
      </c>
      <c r="H119" s="3604">
        <f t="shared" si="31"/>
        <v>100</v>
      </c>
      <c r="I119" s="3604">
        <f t="shared" si="31"/>
        <v>100</v>
      </c>
      <c r="J119" s="3604">
        <f t="shared" si="31"/>
        <v>100</v>
      </c>
      <c r="K119" s="3604">
        <f t="shared" si="31"/>
        <v>100</v>
      </c>
      <c r="L119" s="3604">
        <f t="shared" si="31"/>
        <v>100</v>
      </c>
      <c r="M119" s="3604">
        <f t="shared" si="31"/>
        <v>100</v>
      </c>
      <c r="N119" s="3593"/>
      <c r="O119" s="3593"/>
      <c r="P119" s="3589"/>
      <c r="Q119" s="3555"/>
    </row>
    <row r="120" spans="1:17" s="3495" customFormat="1" ht="28.5" thickTop="1">
      <c r="A120" s="3486"/>
      <c r="B120" s="3594" t="s">
        <v>3381</v>
      </c>
      <c r="C120" s="3607"/>
      <c r="D120" s="3607"/>
      <c r="E120" s="3607"/>
      <c r="F120" s="3607"/>
      <c r="G120" s="3607"/>
      <c r="H120" s="3607"/>
      <c r="I120" s="3607"/>
      <c r="J120" s="3607"/>
      <c r="K120" s="3607"/>
      <c r="L120" s="3640"/>
      <c r="M120" s="3641"/>
      <c r="N120" s="3611"/>
      <c r="O120" s="3611"/>
      <c r="P120" s="3612"/>
      <c r="Q120" s="3613"/>
    </row>
    <row r="121" spans="1:17" s="3495" customFormat="1" ht="15.75" thickBot="1">
      <c r="A121" s="3606"/>
      <c r="B121" s="3590"/>
      <c r="C121" s="3614"/>
      <c r="D121" s="3591"/>
      <c r="E121" s="3591"/>
      <c r="F121" s="3591"/>
      <c r="G121" s="3591"/>
      <c r="H121" s="3591"/>
      <c r="I121" s="3591"/>
      <c r="J121" s="3591"/>
      <c r="K121" s="3591"/>
      <c r="L121" s="3591"/>
      <c r="M121" s="3591"/>
      <c r="N121" s="3611"/>
      <c r="O121" s="3611"/>
      <c r="P121" s="3612"/>
      <c r="Q121" s="3613"/>
    </row>
    <row r="122" spans="1:17" ht="15" thickTop="1">
      <c r="A122" s="3496"/>
      <c r="B122" s="3594" t="s">
        <v>1696</v>
      </c>
      <c r="C122" s="3607"/>
      <c r="D122" s="3607"/>
      <c r="E122" s="3607"/>
      <c r="F122" s="3595"/>
      <c r="G122" s="3595"/>
      <c r="H122" s="3595"/>
      <c r="I122" s="3595"/>
      <c r="J122" s="3595"/>
      <c r="K122" s="3644"/>
      <c r="L122" s="3645"/>
      <c r="M122" s="3646"/>
      <c r="N122" s="3588"/>
      <c r="O122" s="3588"/>
      <c r="P122" s="3589"/>
      <c r="Q122" s="3555"/>
    </row>
    <row r="123" spans="1:17" ht="15.75" thickBot="1">
      <c r="A123" s="3419"/>
      <c r="B123" s="3596"/>
      <c r="C123" s="3604">
        <v>100</v>
      </c>
      <c r="D123" s="3604">
        <f t="shared" ref="D123:M123" si="32">C123-$K42</f>
        <v>100</v>
      </c>
      <c r="E123" s="3604">
        <f t="shared" si="32"/>
        <v>100</v>
      </c>
      <c r="F123" s="3604">
        <f t="shared" si="32"/>
        <v>100</v>
      </c>
      <c r="G123" s="3604">
        <f t="shared" si="32"/>
        <v>100</v>
      </c>
      <c r="H123" s="3604">
        <f t="shared" si="32"/>
        <v>100</v>
      </c>
      <c r="I123" s="3604">
        <f t="shared" si="32"/>
        <v>100</v>
      </c>
      <c r="J123" s="3604">
        <f t="shared" si="32"/>
        <v>100</v>
      </c>
      <c r="K123" s="3604">
        <f t="shared" si="32"/>
        <v>100</v>
      </c>
      <c r="L123" s="3604">
        <f t="shared" si="32"/>
        <v>100</v>
      </c>
      <c r="M123" s="3604">
        <f t="shared" si="32"/>
        <v>100</v>
      </c>
      <c r="N123" s="3593"/>
      <c r="O123" s="3593"/>
      <c r="P123" s="3589"/>
      <c r="Q123" s="3555"/>
    </row>
    <row r="124" spans="1:17" ht="15" thickTop="1">
      <c r="A124" s="3496"/>
      <c r="B124" s="3594" t="s">
        <v>1697</v>
      </c>
      <c r="C124" s="3633" t="s">
        <v>1682</v>
      </c>
      <c r="D124" s="3633" t="s">
        <v>1683</v>
      </c>
      <c r="E124" s="3633" t="s">
        <v>1684</v>
      </c>
      <c r="F124" s="3633" t="s">
        <v>1685</v>
      </c>
      <c r="G124" s="3633" t="s">
        <v>1686</v>
      </c>
      <c r="H124" s="3634"/>
      <c r="I124" s="3634"/>
      <c r="J124" s="3634"/>
      <c r="K124" s="3635"/>
      <c r="L124" s="3636"/>
      <c r="M124" s="3637"/>
      <c r="N124" s="3588"/>
      <c r="O124" s="3588"/>
      <c r="P124" s="3612"/>
      <c r="Q124" s="3555"/>
    </row>
    <row r="125" spans="1:17" ht="15.75" thickBot="1">
      <c r="A125" s="3419"/>
      <c r="B125" s="3596"/>
      <c r="C125" s="3604">
        <v>100</v>
      </c>
      <c r="D125" s="3604">
        <f>C125-$K43</f>
        <v>100</v>
      </c>
      <c r="E125" s="3604">
        <f>D125-$K43</f>
        <v>100</v>
      </c>
      <c r="F125" s="3604">
        <f>E125-$K43</f>
        <v>100</v>
      </c>
      <c r="G125" s="3604">
        <f>F125-$K43</f>
        <v>100</v>
      </c>
      <c r="H125" s="3604"/>
      <c r="I125" s="3604"/>
      <c r="J125" s="3604"/>
      <c r="K125" s="3604"/>
      <c r="L125" s="3604"/>
      <c r="M125" s="3605"/>
      <c r="N125" s="3593"/>
      <c r="O125" s="3593"/>
      <c r="P125" s="3589"/>
      <c r="Q125" s="3555"/>
    </row>
    <row r="126" spans="1:17" s="3495" customFormat="1" ht="15" thickTop="1">
      <c r="A126" s="3486"/>
      <c r="B126" s="3594">
        <f>B44</f>
        <v>111</v>
      </c>
      <c r="C126" s="3607"/>
      <c r="D126" s="3607"/>
      <c r="E126" s="3607"/>
      <c r="F126" s="3607"/>
      <c r="G126" s="3607"/>
      <c r="H126" s="3608"/>
      <c r="I126" s="3608"/>
      <c r="J126" s="3608"/>
      <c r="K126" s="3608"/>
      <c r="L126" s="3609"/>
      <c r="M126" s="3610"/>
      <c r="N126" s="3611"/>
      <c r="O126" s="3611"/>
      <c r="P126" s="3612"/>
      <c r="Q126" s="3613"/>
    </row>
    <row r="127" spans="1:17" s="3495" customFormat="1" ht="15.75" thickBot="1">
      <c r="A127" s="3606"/>
      <c r="B127" s="3596"/>
      <c r="C127" s="3614"/>
      <c r="D127" s="3591"/>
      <c r="E127" s="3591"/>
      <c r="F127" s="3591"/>
      <c r="G127" s="3614"/>
      <c r="H127" s="3617"/>
      <c r="I127" s="3617"/>
      <c r="J127" s="3617"/>
      <c r="K127" s="3617"/>
      <c r="L127" s="3617"/>
      <c r="M127" s="3618"/>
      <c r="N127" s="3611"/>
      <c r="O127" s="3611"/>
      <c r="P127" s="3612"/>
      <c r="Q127" s="3613"/>
    </row>
    <row r="128" spans="1:17" ht="15" thickTop="1">
      <c r="A128" s="3496"/>
      <c r="B128" s="3594">
        <f>B45</f>
        <v>111</v>
      </c>
      <c r="C128" s="3607"/>
      <c r="D128" s="3607"/>
      <c r="E128" s="3607"/>
      <c r="F128" s="3607"/>
      <c r="G128" s="3595"/>
      <c r="H128" s="3595"/>
      <c r="I128" s="3595"/>
      <c r="J128" s="3595"/>
      <c r="K128" s="3644"/>
      <c r="L128" s="3645"/>
      <c r="M128" s="3646"/>
      <c r="N128" s="3588"/>
      <c r="O128" s="3588"/>
      <c r="P128" s="3589"/>
      <c r="Q128" s="3555"/>
    </row>
    <row r="129" spans="1:17" ht="15.75" thickBot="1">
      <c r="A129" s="3419"/>
      <c r="B129" s="3596"/>
      <c r="C129" s="3614"/>
      <c r="D129" s="3614"/>
      <c r="E129" s="3614"/>
      <c r="F129" s="3614"/>
      <c r="G129" s="3591"/>
      <c r="H129" s="3591"/>
      <c r="I129" s="3591"/>
      <c r="J129" s="3591"/>
      <c r="K129" s="3591"/>
      <c r="L129" s="3591"/>
      <c r="M129" s="3592"/>
      <c r="N129" s="3593"/>
      <c r="O129" s="3593"/>
      <c r="P129" s="3589"/>
      <c r="Q129" s="3555"/>
    </row>
    <row r="130" spans="1:17" ht="15" thickTop="1">
      <c r="A130" s="3496"/>
      <c r="B130" s="3597">
        <f>B46</f>
        <v>111</v>
      </c>
      <c r="C130" s="3607"/>
      <c r="D130" s="3607"/>
      <c r="E130" s="3607"/>
      <c r="F130" s="3607"/>
      <c r="G130" s="3647"/>
      <c r="H130" s="3647"/>
      <c r="I130" s="3647"/>
      <c r="J130" s="3647"/>
      <c r="K130" s="3576"/>
      <c r="L130" s="3577"/>
      <c r="M130" s="3650"/>
      <c r="N130" s="3588"/>
      <c r="O130" s="3588"/>
      <c r="P130" s="3589"/>
      <c r="Q130" s="3555"/>
    </row>
    <row r="131" spans="1:17" ht="15.75" thickBot="1">
      <c r="A131" s="3432"/>
      <c r="B131" s="3624"/>
      <c r="C131" s="3625"/>
      <c r="D131" s="3625"/>
      <c r="E131" s="3625"/>
      <c r="F131" s="3625"/>
      <c r="G131" s="3651"/>
      <c r="H131" s="3651"/>
      <c r="I131" s="3651"/>
      <c r="J131" s="3651"/>
      <c r="K131" s="3651"/>
      <c r="L131" s="3651"/>
      <c r="M131" s="3652"/>
      <c r="N131" s="3593"/>
      <c r="O131" s="3593"/>
      <c r="P131" s="3589"/>
      <c r="Q131" s="3555"/>
    </row>
    <row r="136" spans="1:17" ht="15" thickBot="1">
      <c r="B136" s="3665" t="s">
        <v>3393</v>
      </c>
    </row>
    <row r="137" spans="1:17" ht="15">
      <c r="B137" s="3668" t="s">
        <v>3394</v>
      </c>
      <c r="C137" s="3669"/>
      <c r="D137" s="3669"/>
      <c r="E137" s="3669"/>
      <c r="F137" s="3669"/>
      <c r="G137" s="3670"/>
      <c r="H137" s="3671"/>
      <c r="I137" s="3672" t="s">
        <v>3395</v>
      </c>
      <c r="J137" s="3669"/>
      <c r="K137" s="3673"/>
    </row>
    <row r="138" spans="1:17" ht="15">
      <c r="B138" s="3674"/>
      <c r="C138" s="3675" t="s">
        <v>3396</v>
      </c>
      <c r="D138" s="3675" t="s">
        <v>3397</v>
      </c>
      <c r="E138" s="3676" t="s">
        <v>3398</v>
      </c>
      <c r="F138" s="3677" t="s">
        <v>3399</v>
      </c>
      <c r="G138" s="3675" t="s">
        <v>3397</v>
      </c>
      <c r="H138" s="3678" t="s">
        <v>3398</v>
      </c>
      <c r="I138" s="3679"/>
      <c r="J138" s="3675" t="s">
        <v>3400</v>
      </c>
      <c r="K138" s="3678" t="s">
        <v>3401</v>
      </c>
    </row>
    <row r="139" spans="1:17" ht="15">
      <c r="B139" s="3680">
        <v>6</v>
      </c>
      <c r="C139" s="3681">
        <v>96</v>
      </c>
      <c r="D139" s="3682" t="s">
        <v>3402</v>
      </c>
      <c r="E139" s="3683">
        <v>100</v>
      </c>
      <c r="F139" s="3684">
        <v>102.5</v>
      </c>
      <c r="G139" s="3682" t="s">
        <v>3402</v>
      </c>
      <c r="H139" s="3685">
        <v>105</v>
      </c>
      <c r="I139" s="3686" t="s">
        <v>3403</v>
      </c>
      <c r="J139" s="3681">
        <v>20</v>
      </c>
      <c r="K139" s="3687">
        <f>C145/(J139-2)</f>
        <v>4.0555555555555553E-3</v>
      </c>
    </row>
    <row r="140" spans="1:17" ht="15">
      <c r="B140" s="3688">
        <v>5</v>
      </c>
      <c r="C140" s="3689">
        <v>100</v>
      </c>
      <c r="D140" s="3689"/>
      <c r="E140" s="3690"/>
      <c r="F140" s="3691">
        <v>102</v>
      </c>
      <c r="G140" s="3689"/>
      <c r="H140" s="3692"/>
      <c r="I140" s="3693" t="s">
        <v>3404</v>
      </c>
      <c r="J140" s="3694">
        <f>ROUNDUP((J139-1)/2,0)</f>
        <v>10</v>
      </c>
      <c r="K140" s="3695">
        <v>100</v>
      </c>
    </row>
    <row r="141" spans="1:17" ht="15">
      <c r="B141" s="3688">
        <v>4</v>
      </c>
      <c r="C141" s="3689">
        <v>102</v>
      </c>
      <c r="D141" s="3689"/>
      <c r="E141" s="3690"/>
      <c r="F141" s="3691">
        <v>101.5</v>
      </c>
      <c r="G141" s="3689"/>
      <c r="H141" s="3692"/>
      <c r="I141" s="3693" t="s">
        <v>3405</v>
      </c>
      <c r="J141" s="3694">
        <v>1</v>
      </c>
      <c r="K141" s="3696">
        <f>ROUND(100+(J141-J140)*K139*100,1)</f>
        <v>96.4</v>
      </c>
    </row>
    <row r="142" spans="1:17" ht="15">
      <c r="B142" s="3688">
        <v>3</v>
      </c>
      <c r="C142" s="3689">
        <v>103</v>
      </c>
      <c r="D142" s="3689"/>
      <c r="E142" s="3690"/>
      <c r="F142" s="3691">
        <v>101</v>
      </c>
      <c r="G142" s="3689"/>
      <c r="H142" s="3692"/>
      <c r="I142" s="3693" t="s">
        <v>3406</v>
      </c>
      <c r="J142" s="3694">
        <f>J139</f>
        <v>20</v>
      </c>
      <c r="K142" s="3697">
        <v>95</v>
      </c>
    </row>
    <row r="143" spans="1:17" ht="15">
      <c r="B143" s="3688">
        <v>2</v>
      </c>
      <c r="C143" s="3689">
        <v>100</v>
      </c>
      <c r="D143" s="3689"/>
      <c r="E143" s="3690"/>
      <c r="F143" s="3691">
        <v>100.5</v>
      </c>
      <c r="G143" s="3689"/>
      <c r="H143" s="3692"/>
      <c r="I143" s="3693" t="s">
        <v>3407</v>
      </c>
      <c r="J143" s="3689">
        <v>15</v>
      </c>
      <c r="K143" s="3696">
        <f>ROUND(100+(J143-J140)*K139*100,1)</f>
        <v>102</v>
      </c>
    </row>
    <row r="144" spans="1:17" ht="15">
      <c r="B144" s="3688">
        <v>1</v>
      </c>
      <c r="C144" s="3689">
        <v>98</v>
      </c>
      <c r="D144" s="3698" t="s">
        <v>3408</v>
      </c>
      <c r="E144" s="3690">
        <v>102</v>
      </c>
      <c r="F144" s="3699">
        <v>100</v>
      </c>
      <c r="G144" s="3698" t="s">
        <v>3408</v>
      </c>
      <c r="H144" s="3692">
        <v>105</v>
      </c>
      <c r="I144" s="3693" t="s">
        <v>3407</v>
      </c>
      <c r="J144" s="3689">
        <v>18</v>
      </c>
      <c r="K144" s="3696">
        <f>ROUND(100+(J144-J140)*K139*100,1)</f>
        <v>103.2</v>
      </c>
    </row>
    <row r="145" spans="2:11" ht="15.75" thickBot="1">
      <c r="B145" s="3700" t="s">
        <v>3409</v>
      </c>
      <c r="C145" s="3701">
        <f>ROUND(MAX(C139:C144)/MIN(C139:C144)-1,3)</f>
        <v>7.2999999999999995E-2</v>
      </c>
      <c r="D145" s="3702"/>
      <c r="E145" s="3702"/>
      <c r="F145" s="3703" t="s">
        <v>3410</v>
      </c>
      <c r="G145" s="3704"/>
      <c r="H145" s="3705"/>
      <c r="I145" s="3706" t="s">
        <v>3407</v>
      </c>
      <c r="J145" s="3707">
        <v>8</v>
      </c>
      <c r="K145" s="3708">
        <f>ROUND(100+(J145-J140)*K139*100,1)</f>
        <v>99.2</v>
      </c>
    </row>
    <row r="147" spans="2:11">
      <c r="B147" s="3665" t="s">
        <v>3411</v>
      </c>
    </row>
    <row r="148" spans="2:11">
      <c r="B148" s="3665" t="s">
        <v>3412</v>
      </c>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E52">
    <cfRule type="expression" dxfId="13" priority="13" stopIfTrue="1">
      <formula>$F$52="超过30%"</formula>
    </cfRule>
  </conditionalFormatting>
  <conditionalFormatting sqref="E53">
    <cfRule type="expression" dxfId="12" priority="11" stopIfTrue="1">
      <formula>$F$53="超过20%"</formula>
    </cfRule>
  </conditionalFormatting>
  <conditionalFormatting sqref="E54">
    <cfRule type="expression" dxfId="11" priority="10" stopIfTrue="1">
      <formula>$F$54="超过30%"</formula>
    </cfRule>
  </conditionalFormatting>
  <conditionalFormatting sqref="F7:F46 H7:H46 J7:J46">
    <cfRule type="cellIs" dxfId="10" priority="1" operator="notEqual">
      <formula>100</formula>
    </cfRule>
  </conditionalFormatting>
  <conditionalFormatting sqref="F48">
    <cfRule type="expression" dxfId="9" priority="4">
      <formula>$D$48="简单平均"</formula>
    </cfRule>
  </conditionalFormatting>
  <conditionalFormatting sqref="F52:F54 H52:H54 J52:J54">
    <cfRule type="containsText" dxfId="8" priority="14" stopIfTrue="1" operator="containsText" text="超过">
      <formula>NOT(ISERROR(SEARCH("超过",F52)))</formula>
    </cfRule>
  </conditionalFormatting>
  <conditionalFormatting sqref="G52">
    <cfRule type="expression" dxfId="7" priority="9" stopIfTrue="1">
      <formula>$H$52="超过30%"</formula>
    </cfRule>
  </conditionalFormatting>
  <conditionalFormatting sqref="G53">
    <cfRule type="expression" dxfId="6" priority="8" stopIfTrue="1">
      <formula>$H$53="超过20%"</formula>
    </cfRule>
  </conditionalFormatting>
  <conditionalFormatting sqref="G54">
    <cfRule type="expression" dxfId="5" priority="12" stopIfTrue="1">
      <formula>$H$54="超过30%"</formula>
    </cfRule>
  </conditionalFormatting>
  <conditionalFormatting sqref="H48">
    <cfRule type="expression" dxfId="4" priority="3">
      <formula>$D$48="简单平均"</formula>
    </cfRule>
  </conditionalFormatting>
  <conditionalFormatting sqref="I52">
    <cfRule type="expression" dxfId="3" priority="7" stopIfTrue="1">
      <formula>$J$52="超过30%"</formula>
    </cfRule>
  </conditionalFormatting>
  <conditionalFormatting sqref="I53">
    <cfRule type="expression" dxfId="2" priority="6" stopIfTrue="1">
      <formula>$J$53="超过20%"</formula>
    </cfRule>
  </conditionalFormatting>
  <conditionalFormatting sqref="I54">
    <cfRule type="expression" dxfId="1" priority="5" stopIfTrue="1">
      <formula>$J$54="超过30%"</formula>
    </cfRule>
  </conditionalFormatting>
  <conditionalFormatting sqref="J48">
    <cfRule type="expression" dxfId="0" priority="2">
      <formula>$D$48="简单平均"</formula>
    </cfRule>
  </conditionalFormatting>
  <dataValidations count="24">
    <dataValidation type="list" allowBlank="1" showInputMessage="1" showErrorMessage="1" sqref="E1" xr:uid="{FDC875D2-D819-418C-A74A-65A516587396}">
      <formula1>"项目模式,单套模式"</formula1>
    </dataValidation>
    <dataValidation type="list" allowBlank="1" showInputMessage="1" showErrorMessage="1" sqref="D48" xr:uid="{BA9618DB-A743-44B3-BEF5-A20BD7E7390F}">
      <formula1>"简单平均,加权平均"</formula1>
    </dataValidation>
    <dataValidation type="list" allowBlank="1" showInputMessage="1" showErrorMessage="1" sqref="F2" xr:uid="{77E47873-521D-4F3D-88AE-2D744E5FB881}">
      <formula1>估价方法</formula1>
    </dataValidation>
    <dataValidation type="list" allowBlank="1" showInputMessage="1" showErrorMessage="1" sqref="C2" xr:uid="{E162BF45-0A3E-4FD6-B6C3-A1B40F72F3BF}">
      <formula1>"需扣减承租人权益,——"</formula1>
    </dataValidation>
    <dataValidation type="list" allowBlank="1" showInputMessage="1" showErrorMessage="1" sqref="F1" xr:uid="{289C1DA2-3D21-4E0A-A5B8-E68CA1D45102}">
      <formula1>"售价,租金"</formula1>
    </dataValidation>
    <dataValidation type="list" allowBlank="1" showInputMessage="1" showErrorMessage="1" sqref="C22 E22 G22 I22" xr:uid="{5584B828-46CC-4E2C-ACFD-05E8811B50CA}">
      <formula1>基础设施水平</formula1>
    </dataValidation>
    <dataValidation type="list" allowBlank="1" showInputMessage="1" showErrorMessage="1" sqref="E9 G9 I9" xr:uid="{444FA63F-59C9-4C2F-ABA9-569590783746}">
      <formula1>住宅用途</formula1>
    </dataValidation>
    <dataValidation type="list" allowBlank="1" showInputMessage="1" showErrorMessage="1" sqref="D1" xr:uid="{48673DFC-1C83-4073-BA29-66FA90555E16}">
      <formula1>项目类型</formula1>
    </dataValidation>
    <dataValidation type="list" allowBlank="1" showInputMessage="1" showErrorMessage="1" sqref="E8 G8 I8 C8" xr:uid="{D8716BCE-AF4B-4CB8-8001-91902A8780F6}">
      <formula1>住宅交易情况</formula1>
    </dataValidation>
    <dataValidation type="list" allowBlank="1" showInputMessage="1" showErrorMessage="1" sqref="E43 G43 I43 C43" xr:uid="{40611D2F-DDFD-4230-81BA-BA04F79AB591}">
      <formula1>内部装修维护情况</formula1>
    </dataValidation>
    <dataValidation type="list" allowBlank="1" showInputMessage="1" showErrorMessage="1" sqref="E42 G42 I42 C42" xr:uid="{5B5FD024-C824-4DC2-BD34-9510CA69F34A}">
      <formula1>住宅内部装修</formula1>
    </dataValidation>
    <dataValidation type="list" allowBlank="1" showInputMessage="1" showErrorMessage="1" sqref="E40 G40 I40 C40" xr:uid="{973580F5-3B3B-4E9D-82A0-491538EC2DD0}">
      <formula1>住宅房型</formula1>
    </dataValidation>
    <dataValidation type="list" allowBlank="1" showInputMessage="1" showErrorMessage="1" sqref="E39 G39 I39 C39" xr:uid="{F19FD01B-32F7-41C5-8901-F19C9B532EA0}">
      <formula1>住宅基础设施水平</formula1>
    </dataValidation>
    <dataValidation type="list" allowBlank="1" showInputMessage="1" showErrorMessage="1" sqref="E38 G38 I38 C38" xr:uid="{02DE29E2-1132-4ADF-AF53-24790E19488A}">
      <formula1>住宅物业管理</formula1>
    </dataValidation>
    <dataValidation type="list" allowBlank="1" showInputMessage="1" showErrorMessage="1" sqref="E36 G36 I36 C36" xr:uid="{6B0E3313-6C31-40B8-90B9-7E882A6EBA17}">
      <formula1>住宅公共部分装修</formula1>
    </dataValidation>
    <dataValidation type="list" allowBlank="1" showInputMessage="1" showErrorMessage="1" sqref="E35 G35 I35 C35" xr:uid="{24694179-7A16-474B-9AB4-ADD9AAF67A22}">
      <formula1>住宅建筑品质</formula1>
    </dataValidation>
    <dataValidation type="list" allowBlank="1" showInputMessage="1" showErrorMessage="1" sqref="E34 G34 I34 C34" xr:uid="{72C54FF5-0C17-4770-80F5-F08397B29870}">
      <formula1>住宅建筑结构</formula1>
    </dataValidation>
    <dataValidation type="list" allowBlank="1" showInputMessage="1" showErrorMessage="1" sqref="E32 G32 I32 C32" xr:uid="{AF99F141-E772-4BC3-A45F-66714C15E555}">
      <formula1>住宅建筑类型</formula1>
    </dataValidation>
    <dataValidation type="list" allowBlank="1" showInputMessage="1" showErrorMessage="1" sqref="E26 G26 I26 C26" xr:uid="{F72AE20A-0B79-41F7-B83D-2F85D4FE4B0D}">
      <formula1>住宅朝向</formula1>
    </dataValidation>
    <dataValidation type="list" allowBlank="1" showInputMessage="1" showErrorMessage="1" sqref="E25 G25 I25 C25" xr:uid="{F78EB1A5-E2F0-44AF-B35F-5B74FBAAB7E8}">
      <formula1>住宅楼层</formula1>
    </dataValidation>
    <dataValidation type="list" allowBlank="1" showInputMessage="1" showErrorMessage="1" sqref="C20 G20 E20 I20 E18 G18 I18" xr:uid="{6F82357A-BB26-44E2-9024-46F2E93390A7}">
      <formula1>公共配套设施</formula1>
    </dataValidation>
    <dataValidation type="list" allowBlank="1" showInputMessage="1" showErrorMessage="1" sqref="C18" xr:uid="{036AB6C7-8E69-4232-A3F4-A997B14F02D3}">
      <formula1>交通便捷度</formula1>
    </dataValidation>
    <dataValidation type="list" allowBlank="1" showInputMessage="1" showErrorMessage="1" sqref="E16 C16 G16 I16" xr:uid="{7FEAC287-7966-4A4E-B1E5-6C589662C577}">
      <formula1>居住社区成熟度</formula1>
    </dataValidation>
    <dataValidation type="list" allowBlank="1" showInputMessage="1" showErrorMessage="1" sqref="E24 G24 I24 C24" xr:uid="{D22AC486-D9A4-4BBF-9A58-1C9D6F177A3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45DDC-1D49-4439-A304-163A92A3B922}">
  <dimension ref="J6:M15"/>
  <sheetViews>
    <sheetView workbookViewId="0">
      <selection activeCell="M6" sqref="M6"/>
    </sheetView>
  </sheetViews>
  <sheetFormatPr defaultRowHeight="13.5"/>
  <sheetData>
    <row r="6" spans="10:13">
      <c r="J6" s="1292" t="s">
        <v>3361</v>
      </c>
      <c r="K6">
        <v>57.5</v>
      </c>
      <c r="L6">
        <v>900</v>
      </c>
      <c r="M6">
        <f>L6/K6/30</f>
        <v>0.52173913043478259</v>
      </c>
    </row>
    <row r="7" spans="10:13">
      <c r="K7">
        <v>75</v>
      </c>
      <c r="L7">
        <v>1300</v>
      </c>
      <c r="M7">
        <f t="shared" ref="M7:M15" si="0">L7/K7/30</f>
        <v>0.57777777777777772</v>
      </c>
    </row>
    <row r="8" spans="10:13">
      <c r="K8">
        <v>107</v>
      </c>
      <c r="L8">
        <v>2000</v>
      </c>
      <c r="M8">
        <f t="shared" si="0"/>
        <v>0.62305295950155759</v>
      </c>
    </row>
    <row r="9" spans="10:13">
      <c r="J9" s="1292" t="s">
        <v>3362</v>
      </c>
      <c r="K9">
        <v>108</v>
      </c>
      <c r="L9">
        <v>1500</v>
      </c>
      <c r="M9">
        <f t="shared" si="0"/>
        <v>0.46296296296296297</v>
      </c>
    </row>
    <row r="10" spans="10:13">
      <c r="K10">
        <v>108</v>
      </c>
      <c r="L10">
        <v>1300</v>
      </c>
      <c r="M10">
        <f t="shared" si="0"/>
        <v>0.40123456790123452</v>
      </c>
    </row>
    <row r="11" spans="10:13">
      <c r="K11">
        <v>77.400000000000006</v>
      </c>
      <c r="L11">
        <v>1200</v>
      </c>
      <c r="M11">
        <f t="shared" si="0"/>
        <v>0.51679586563307489</v>
      </c>
    </row>
    <row r="12" spans="10:13">
      <c r="K12">
        <v>128.80000000000001</v>
      </c>
      <c r="L12">
        <v>1800</v>
      </c>
      <c r="M12">
        <f t="shared" si="0"/>
        <v>0.46583850931677012</v>
      </c>
    </row>
    <row r="13" spans="10:13">
      <c r="J13" s="1292" t="s">
        <v>3363</v>
      </c>
      <c r="K13">
        <v>88.39</v>
      </c>
      <c r="L13">
        <v>1600</v>
      </c>
      <c r="M13">
        <f t="shared" si="0"/>
        <v>0.60338650676924233</v>
      </c>
    </row>
    <row r="14" spans="10:13">
      <c r="J14" s="1292" t="s">
        <v>3364</v>
      </c>
      <c r="K14">
        <v>90</v>
      </c>
      <c r="L14">
        <v>1500</v>
      </c>
      <c r="M14">
        <f t="shared" si="0"/>
        <v>0.55555555555555558</v>
      </c>
    </row>
    <row r="15" spans="10:13">
      <c r="K15">
        <v>98</v>
      </c>
      <c r="L15">
        <v>1500</v>
      </c>
      <c r="M15">
        <f t="shared" si="0"/>
        <v>0.51020408163265307</v>
      </c>
    </row>
  </sheetData>
  <phoneticPr fontId="13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2"/>
      <c r="B4" s="3273"/>
      <c r="C4" s="3273"/>
      <c r="D4" s="3274"/>
      <c r="E4" s="3274"/>
      <c r="F4" s="3274"/>
      <c r="G4" s="3274"/>
      <c r="H4" s="3274"/>
      <c r="I4" s="3274"/>
      <c r="J4" s="3275"/>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69" t="s">
        <v>1885</v>
      </c>
      <c r="X8" s="3270"/>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1"/>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1"/>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6" t="s">
        <v>3156</v>
      </c>
      <c r="B20" s="158" t="s">
        <v>1919</v>
      </c>
      <c r="C20" s="2851">
        <f>ROUND(IF(F21="与级别开发程度一致",0,(G21-E21)/C21),0)</f>
        <v>-126</v>
      </c>
      <c r="D20" s="2866" t="s">
        <v>1923</v>
      </c>
      <c r="E20" s="2867"/>
      <c r="F20" s="3282" t="s">
        <v>1920</v>
      </c>
      <c r="G20" s="3283"/>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7"/>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46091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3234</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0"/>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1"/>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1"/>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8" t="s">
        <v>3194</v>
      </c>
      <c r="B103" s="3278"/>
      <c r="C103" s="3278"/>
      <c r="D103" s="3278"/>
      <c r="E103" s="3278"/>
      <c r="F103" s="3278"/>
      <c r="G103" s="3278"/>
      <c r="H103" s="3278"/>
      <c r="I103" s="3278"/>
      <c r="J103" s="3278"/>
      <c r="K103" s="1554"/>
      <c r="L103" s="1554"/>
      <c r="M103" s="1554"/>
      <c r="N103" s="1554"/>
    </row>
    <row r="104" spans="1:14">
      <c r="A104" s="3279" t="s">
        <v>3195</v>
      </c>
      <c r="B104" s="3279" t="s">
        <v>3196</v>
      </c>
      <c r="C104" s="2910" t="s">
        <v>3197</v>
      </c>
      <c r="D104" s="2911"/>
      <c r="E104" s="2911"/>
      <c r="F104" s="2911"/>
      <c r="G104" s="2911"/>
      <c r="H104" s="2911"/>
      <c r="I104" s="2911"/>
      <c r="J104" s="2912"/>
      <c r="K104" s="2913"/>
      <c r="L104" s="2913"/>
      <c r="M104" s="2913"/>
      <c r="N104" s="2913"/>
    </row>
    <row r="105" spans="1:14">
      <c r="A105" s="3279"/>
      <c r="B105" s="3279"/>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5"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6"/>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6"/>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6"/>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6"/>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6"/>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7"/>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8" t="s">
        <v>3211</v>
      </c>
      <c r="B113" s="3268"/>
      <c r="C113" s="3268"/>
      <c r="D113" s="3268"/>
      <c r="E113" s="3268"/>
      <c r="F113" s="3268"/>
      <c r="G113" s="3268"/>
      <c r="H113" s="3268"/>
      <c r="I113" s="3268"/>
      <c r="J113" s="3268"/>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9" priority="6" stopIfTrue="1" operator="notEqual">
      <formula>"——"</formula>
    </cfRule>
  </conditionalFormatting>
  <conditionalFormatting sqref="F61">
    <cfRule type="cellIs" dxfId="18" priority="5" stopIfTrue="1" operator="notEqual">
      <formula>"——"</formula>
    </cfRule>
  </conditionalFormatting>
  <conditionalFormatting sqref="F72">
    <cfRule type="cellIs" dxfId="17" priority="4" stopIfTrue="1" operator="notEqual">
      <formula>"——"</formula>
    </cfRule>
  </conditionalFormatting>
  <conditionalFormatting sqref="F83">
    <cfRule type="cellIs" dxfId="16" priority="3" stopIfTrue="1" operator="notEqual">
      <formula>"——"</formula>
    </cfRule>
  </conditionalFormatting>
  <conditionalFormatting sqref="H50:H58 H61:H69 H72:H80 H83:H91">
    <cfRule type="cellIs" dxfId="15" priority="2" operator="notEqual">
      <formula>"——"</formula>
    </cfRule>
  </conditionalFormatting>
  <conditionalFormatting sqref="H93:H101">
    <cfRule type="cellIs" dxfId="14"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5" t="s">
        <v>2509</v>
      </c>
      <c r="B20" s="3288" t="s">
        <v>2530</v>
      </c>
      <c r="C20" s="2987" t="s">
        <v>2341</v>
      </c>
      <c r="D20" s="2987"/>
      <c r="E20" s="2664">
        <v>1</v>
      </c>
      <c r="F20" s="2665" t="s">
        <v>2342</v>
      </c>
      <c r="G20" s="2665"/>
    </row>
    <row r="21" spans="1:13" ht="19.5" customHeight="1">
      <c r="A21" s="3296"/>
      <c r="B21" s="3284"/>
      <c r="C21" s="2677" t="s">
        <v>2343</v>
      </c>
      <c r="D21" s="2677"/>
      <c r="E21" s="2668">
        <v>1</v>
      </c>
      <c r="F21" s="2665" t="s">
        <v>2344</v>
      </c>
      <c r="G21" s="2665"/>
    </row>
    <row r="22" spans="1:13" ht="19.5" customHeight="1">
      <c r="A22" s="3296"/>
      <c r="B22" s="3284"/>
      <c r="C22" s="2677" t="s">
        <v>2345</v>
      </c>
      <c r="D22" s="2677"/>
      <c r="E22" s="2668">
        <v>0.9</v>
      </c>
      <c r="F22" s="2665" t="s">
        <v>2346</v>
      </c>
      <c r="G22" s="2665"/>
    </row>
    <row r="23" spans="1:13" ht="19.5" customHeight="1">
      <c r="A23" s="3296"/>
      <c r="B23" s="3284"/>
      <c r="C23" s="2677" t="s">
        <v>2347</v>
      </c>
      <c r="D23" s="2677"/>
      <c r="E23" s="2668">
        <v>0.9</v>
      </c>
      <c r="F23" s="2665" t="s">
        <v>2348</v>
      </c>
      <c r="G23" s="2665"/>
    </row>
    <row r="24" spans="1:13" ht="19.5" customHeight="1">
      <c r="A24" s="3296"/>
      <c r="B24" s="3284"/>
      <c r="C24" s="2677" t="s">
        <v>2349</v>
      </c>
      <c r="D24" s="2677"/>
      <c r="E24" s="2668">
        <v>0.8</v>
      </c>
      <c r="F24" s="2665" t="s">
        <v>2350</v>
      </c>
      <c r="G24" s="2665"/>
    </row>
    <row r="25" spans="1:13" ht="19.5" customHeight="1">
      <c r="A25" s="3296"/>
      <c r="B25" s="3284"/>
      <c r="C25" s="2677" t="s">
        <v>2351</v>
      </c>
      <c r="D25" s="2677"/>
      <c r="E25" s="2668">
        <v>0.8</v>
      </c>
      <c r="F25" s="2665"/>
      <c r="G25" s="2665"/>
    </row>
    <row r="26" spans="1:13" ht="19.5" customHeight="1">
      <c r="A26" s="3296"/>
      <c r="B26" s="3284"/>
      <c r="C26" s="2677" t="s">
        <v>3308</v>
      </c>
      <c r="D26" s="2677"/>
      <c r="E26" s="2668">
        <v>0.43</v>
      </c>
      <c r="F26" s="2665"/>
      <c r="G26" s="2665"/>
    </row>
    <row r="27" spans="1:13" ht="19.5" customHeight="1" thickBot="1">
      <c r="A27" s="3297"/>
      <c r="B27" s="3289"/>
      <c r="C27" s="2983" t="s">
        <v>3309</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90" t="s">
        <v>2533</v>
      </c>
      <c r="B29" s="3293" t="s">
        <v>2514</v>
      </c>
      <c r="C29" s="2662" t="s">
        <v>2354</v>
      </c>
      <c r="D29" s="2663"/>
      <c r="E29" s="2664">
        <v>1</v>
      </c>
      <c r="F29" s="2665" t="s">
        <v>2355</v>
      </c>
      <c r="G29" s="2665"/>
    </row>
    <row r="30" spans="1:13" ht="19.5" customHeight="1">
      <c r="A30" s="3291"/>
      <c r="B30" s="3287"/>
      <c r="C30" s="2666" t="s">
        <v>2356</v>
      </c>
      <c r="D30" s="2667"/>
      <c r="E30" s="2668">
        <v>1</v>
      </c>
      <c r="F30" s="2665" t="s">
        <v>2357</v>
      </c>
      <c r="G30" s="2665"/>
    </row>
    <row r="31" spans="1:13" ht="19.5" customHeight="1">
      <c r="A31" s="3291"/>
      <c r="B31" s="3287"/>
      <c r="C31" s="2666" t="s">
        <v>2358</v>
      </c>
      <c r="D31" s="2667"/>
      <c r="E31" s="2668">
        <v>0.8</v>
      </c>
      <c r="F31" s="2665" t="s">
        <v>2359</v>
      </c>
      <c r="G31" s="2665"/>
    </row>
    <row r="32" spans="1:13" ht="19.5" customHeight="1">
      <c r="A32" s="3291"/>
      <c r="B32" s="3287"/>
      <c r="C32" s="2666" t="s">
        <v>2360</v>
      </c>
      <c r="D32" s="2667"/>
      <c r="E32" s="2668">
        <v>0.8</v>
      </c>
      <c r="F32" s="2665" t="s">
        <v>2361</v>
      </c>
      <c r="G32" s="2665"/>
    </row>
    <row r="33" spans="1:7" ht="19.5" customHeight="1">
      <c r="A33" s="3291"/>
      <c r="B33" s="3287"/>
      <c r="C33" s="2666" t="s">
        <v>2362</v>
      </c>
      <c r="D33" s="2667"/>
      <c r="E33" s="2668">
        <v>0.8</v>
      </c>
      <c r="F33" s="2665" t="s">
        <v>2363</v>
      </c>
      <c r="G33" s="2665"/>
    </row>
    <row r="34" spans="1:7" ht="19.5" customHeight="1">
      <c r="A34" s="3291"/>
      <c r="B34" s="3287"/>
      <c r="C34" s="2666" t="s">
        <v>2364</v>
      </c>
      <c r="D34" s="2667"/>
      <c r="E34" s="2668">
        <v>0.7</v>
      </c>
      <c r="F34" s="2665" t="s">
        <v>2365</v>
      </c>
      <c r="G34" s="2665"/>
    </row>
    <row r="35" spans="1:7" ht="19.5" customHeight="1">
      <c r="A35" s="3291"/>
      <c r="B35" s="3287"/>
      <c r="C35" s="2666" t="s">
        <v>2366</v>
      </c>
      <c r="D35" s="2667"/>
      <c r="E35" s="2668">
        <v>0.8</v>
      </c>
      <c r="F35" s="2665" t="s">
        <v>2367</v>
      </c>
      <c r="G35" s="2665"/>
    </row>
    <row r="36" spans="1:7" ht="19.5" customHeight="1">
      <c r="A36" s="3291"/>
      <c r="B36" s="3287"/>
      <c r="C36" s="2666" t="s">
        <v>2368</v>
      </c>
      <c r="D36" s="2667"/>
      <c r="E36" s="2668">
        <v>0.6</v>
      </c>
      <c r="F36" s="2665" t="s">
        <v>2369</v>
      </c>
      <c r="G36" s="2665"/>
    </row>
    <row r="37" spans="1:7" ht="19.5" customHeight="1">
      <c r="A37" s="3291"/>
      <c r="B37" s="3287"/>
      <c r="C37" s="2666" t="s">
        <v>2370</v>
      </c>
      <c r="D37" s="2667"/>
      <c r="E37" s="2668">
        <v>0.2</v>
      </c>
      <c r="F37" s="2665" t="s">
        <v>2371</v>
      </c>
      <c r="G37" s="2665"/>
    </row>
    <row r="38" spans="1:7" ht="19.5" customHeight="1">
      <c r="A38" s="3291"/>
      <c r="B38" s="3287"/>
      <c r="C38" s="2666" t="s">
        <v>2372</v>
      </c>
      <c r="D38" s="2667"/>
      <c r="E38" s="2668">
        <v>0.2</v>
      </c>
      <c r="F38" s="2665" t="s">
        <v>2373</v>
      </c>
      <c r="G38" s="2665"/>
    </row>
    <row r="39" spans="1:7" ht="19.5" customHeight="1">
      <c r="A39" s="3291"/>
      <c r="B39" s="3285" t="s">
        <v>2534</v>
      </c>
      <c r="C39" s="2666" t="s">
        <v>2374</v>
      </c>
      <c r="D39" s="2667"/>
      <c r="E39" s="2668">
        <v>0.6</v>
      </c>
      <c r="F39" s="2665" t="s">
        <v>2375</v>
      </c>
      <c r="G39" s="2665"/>
    </row>
    <row r="40" spans="1:7" ht="19.5" customHeight="1">
      <c r="A40" s="3291"/>
      <c r="B40" s="3287"/>
      <c r="C40" s="2666" t="s">
        <v>2376</v>
      </c>
      <c r="D40" s="2667"/>
      <c r="E40" s="2668">
        <v>0.6</v>
      </c>
      <c r="F40" s="2665" t="s">
        <v>2377</v>
      </c>
      <c r="G40" s="2665"/>
    </row>
    <row r="41" spans="1:7" ht="19.5" customHeight="1" thickBot="1">
      <c r="A41" s="3292"/>
      <c r="B41" s="3294"/>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5" t="s">
        <v>2512</v>
      </c>
      <c r="B43" s="3293" t="s">
        <v>2536</v>
      </c>
      <c r="C43" s="2662" t="s">
        <v>2381</v>
      </c>
      <c r="D43" s="2663"/>
      <c r="E43" s="2664">
        <v>1</v>
      </c>
      <c r="F43" s="2665" t="s">
        <v>2382</v>
      </c>
      <c r="G43" s="2665"/>
    </row>
    <row r="44" spans="1:7" ht="19.5" customHeight="1">
      <c r="A44" s="3296"/>
      <c r="B44" s="3287"/>
      <c r="C44" s="2666" t="s">
        <v>2383</v>
      </c>
      <c r="D44" s="2667"/>
      <c r="E44" s="2668">
        <v>1</v>
      </c>
      <c r="F44" s="2665" t="s">
        <v>2384</v>
      </c>
      <c r="G44" s="2665"/>
    </row>
    <row r="45" spans="1:7" ht="19.5" customHeight="1">
      <c r="A45" s="3296"/>
      <c r="B45" s="3286"/>
      <c r="C45" s="2666" t="s">
        <v>2385</v>
      </c>
      <c r="D45" s="2667"/>
      <c r="E45" s="2668">
        <v>1.5</v>
      </c>
      <c r="F45" s="2665" t="s">
        <v>2386</v>
      </c>
      <c r="G45" s="2665"/>
    </row>
    <row r="46" spans="1:7" ht="19.5" customHeight="1">
      <c r="A46" s="3296"/>
      <c r="B46" s="2677" t="s">
        <v>2537</v>
      </c>
      <c r="C46" s="2666" t="s">
        <v>2538</v>
      </c>
      <c r="D46" s="2667"/>
      <c r="E46" s="2668">
        <v>2</v>
      </c>
      <c r="F46" s="2665" t="s">
        <v>2387</v>
      </c>
      <c r="G46" s="2665"/>
    </row>
    <row r="47" spans="1:7" ht="19.5" customHeight="1">
      <c r="A47" s="3296"/>
      <c r="B47" s="3285" t="s">
        <v>2539</v>
      </c>
      <c r="C47" s="2666" t="s">
        <v>2388</v>
      </c>
      <c r="D47" s="2667"/>
      <c r="E47" s="2668">
        <v>1</v>
      </c>
      <c r="F47" s="2665" t="s">
        <v>2389</v>
      </c>
      <c r="G47" s="2665"/>
    </row>
    <row r="48" spans="1:7" ht="19.5" customHeight="1">
      <c r="A48" s="3296"/>
      <c r="B48" s="3287"/>
      <c r="C48" s="2666" t="s">
        <v>2390</v>
      </c>
      <c r="D48" s="2667"/>
      <c r="E48" s="2668">
        <v>1</v>
      </c>
      <c r="F48" s="2665" t="s">
        <v>2391</v>
      </c>
      <c r="G48" s="2665"/>
    </row>
    <row r="49" spans="1:7" ht="19.5" customHeight="1">
      <c r="A49" s="3296"/>
      <c r="B49" s="3287"/>
      <c r="C49" s="2666" t="s">
        <v>2392</v>
      </c>
      <c r="D49" s="2667"/>
      <c r="E49" s="2668">
        <v>1</v>
      </c>
      <c r="F49" s="2665" t="s">
        <v>2393</v>
      </c>
      <c r="G49" s="2665"/>
    </row>
    <row r="50" spans="1:7" ht="19.5" customHeight="1">
      <c r="A50" s="3296"/>
      <c r="B50" s="3287"/>
      <c r="C50" s="2666" t="s">
        <v>2394</v>
      </c>
      <c r="D50" s="2667"/>
      <c r="E50" s="2668">
        <v>1</v>
      </c>
      <c r="F50" s="2665" t="s">
        <v>2395</v>
      </c>
      <c r="G50" s="2665"/>
    </row>
    <row r="51" spans="1:7" ht="19.5" customHeight="1">
      <c r="A51" s="3296"/>
      <c r="B51" s="3287"/>
      <c r="C51" s="2666" t="s">
        <v>2396</v>
      </c>
      <c r="D51" s="2667"/>
      <c r="E51" s="2668">
        <v>1</v>
      </c>
      <c r="F51" s="2665" t="s">
        <v>2397</v>
      </c>
      <c r="G51" s="2665"/>
    </row>
    <row r="52" spans="1:7" ht="19.5" customHeight="1">
      <c r="A52" s="3296"/>
      <c r="B52" s="3287"/>
      <c r="C52" s="2666" t="s">
        <v>2398</v>
      </c>
      <c r="D52" s="2667"/>
      <c r="E52" s="2668">
        <v>1</v>
      </c>
      <c r="F52" s="2665" t="s">
        <v>2399</v>
      </c>
      <c r="G52" s="2665"/>
    </row>
    <row r="53" spans="1:7" ht="19.5" customHeight="1" thickBot="1">
      <c r="A53" s="3297"/>
      <c r="B53" s="3294"/>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85" t="s">
        <v>2553</v>
      </c>
      <c r="C75" s="2651" t="s">
        <v>2554</v>
      </c>
      <c r="D75" s="2651" t="s">
        <v>2555</v>
      </c>
      <c r="E75" s="2677">
        <v>0.2</v>
      </c>
      <c r="F75" s="2677">
        <v>25</v>
      </c>
    </row>
    <row r="76" spans="1:7" ht="24">
      <c r="A76" s="2677">
        <v>2</v>
      </c>
      <c r="B76" s="3287"/>
      <c r="C76" s="2651" t="s">
        <v>2556</v>
      </c>
      <c r="D76" s="2651" t="s">
        <v>2557</v>
      </c>
      <c r="E76" s="2677">
        <v>0.2</v>
      </c>
      <c r="F76" s="2677">
        <v>25</v>
      </c>
    </row>
    <row r="77" spans="1:7" ht="24">
      <c r="A77" s="2677">
        <v>3</v>
      </c>
      <c r="B77" s="3287"/>
      <c r="C77" s="2651" t="s">
        <v>2558</v>
      </c>
      <c r="D77" s="2651" t="s">
        <v>2559</v>
      </c>
      <c r="E77" s="2677">
        <v>0.2</v>
      </c>
      <c r="F77" s="2677">
        <v>25</v>
      </c>
    </row>
    <row r="78" spans="1:7" ht="13.5">
      <c r="A78" s="2677">
        <v>4</v>
      </c>
      <c r="B78" s="3287"/>
      <c r="C78" s="2651" t="s">
        <v>2560</v>
      </c>
      <c r="D78" s="2651" t="s">
        <v>2561</v>
      </c>
      <c r="E78" s="2677">
        <v>0.15</v>
      </c>
      <c r="F78" s="2677">
        <v>20</v>
      </c>
    </row>
    <row r="79" spans="1:7" ht="24">
      <c r="A79" s="2677">
        <v>5</v>
      </c>
      <c r="B79" s="3287"/>
      <c r="C79" s="2651" t="s">
        <v>2562</v>
      </c>
      <c r="D79" s="2651" t="s">
        <v>2563</v>
      </c>
      <c r="E79" s="2677">
        <v>0.15</v>
      </c>
      <c r="F79" s="2677">
        <v>20</v>
      </c>
    </row>
    <row r="80" spans="1:7" ht="24">
      <c r="A80" s="2677">
        <v>6</v>
      </c>
      <c r="B80" s="3287"/>
      <c r="C80" s="2651" t="s">
        <v>2564</v>
      </c>
      <c r="D80" s="2651" t="s">
        <v>2565</v>
      </c>
      <c r="E80" s="2677">
        <v>0.15</v>
      </c>
      <c r="F80" s="2677">
        <v>20</v>
      </c>
    </row>
    <row r="81" spans="1:6" ht="24">
      <c r="A81" s="2677">
        <v>7</v>
      </c>
      <c r="B81" s="3287"/>
      <c r="C81" s="2651" t="s">
        <v>2566</v>
      </c>
      <c r="D81" s="2651" t="s">
        <v>2567</v>
      </c>
      <c r="E81" s="2677">
        <v>0.15</v>
      </c>
      <c r="F81" s="2677">
        <v>20</v>
      </c>
    </row>
    <row r="82" spans="1:6" ht="24">
      <c r="A82" s="2677">
        <v>8</v>
      </c>
      <c r="B82" s="3287"/>
      <c r="C82" s="2651" t="s">
        <v>2568</v>
      </c>
      <c r="D82" s="2651" t="s">
        <v>2569</v>
      </c>
      <c r="E82" s="2677">
        <v>0.1</v>
      </c>
      <c r="F82" s="2677">
        <v>15</v>
      </c>
    </row>
    <row r="83" spans="1:6" ht="24">
      <c r="A83" s="2677">
        <v>9</v>
      </c>
      <c r="B83" s="3287"/>
      <c r="C83" s="2651" t="s">
        <v>2570</v>
      </c>
      <c r="D83" s="2651" t="s">
        <v>2571</v>
      </c>
      <c r="E83" s="2677">
        <v>0.1</v>
      </c>
      <c r="F83" s="2677">
        <v>15</v>
      </c>
    </row>
    <row r="84" spans="1:6" ht="24">
      <c r="A84" s="2677">
        <v>10</v>
      </c>
      <c r="B84" s="3287"/>
      <c r="C84" s="2651" t="s">
        <v>2572</v>
      </c>
      <c r="D84" s="2651" t="s">
        <v>2573</v>
      </c>
      <c r="E84" s="2677">
        <v>0.1</v>
      </c>
      <c r="F84" s="2677">
        <v>15</v>
      </c>
    </row>
    <row r="85" spans="1:6" ht="24">
      <c r="A85" s="2677">
        <v>11</v>
      </c>
      <c r="B85" s="3287"/>
      <c r="C85" s="2651" t="s">
        <v>2574</v>
      </c>
      <c r="D85" s="2651" t="s">
        <v>2575</v>
      </c>
      <c r="E85" s="2677">
        <v>0.1</v>
      </c>
      <c r="F85" s="2677">
        <v>15</v>
      </c>
    </row>
    <row r="86" spans="1:6" ht="24">
      <c r="A86" s="2677">
        <v>12</v>
      </c>
      <c r="B86" s="3287"/>
      <c r="C86" s="2651" t="s">
        <v>2576</v>
      </c>
      <c r="D86" s="2651" t="s">
        <v>2577</v>
      </c>
      <c r="E86" s="2677">
        <v>0.1</v>
      </c>
      <c r="F86" s="2677">
        <v>15</v>
      </c>
    </row>
    <row r="87" spans="1:6" ht="13.5">
      <c r="A87" s="2677">
        <v>13</v>
      </c>
      <c r="B87" s="3287"/>
      <c r="C87" s="2651" t="s">
        <v>2578</v>
      </c>
      <c r="D87" s="2651" t="s">
        <v>2579</v>
      </c>
      <c r="E87" s="2677">
        <v>0.1</v>
      </c>
      <c r="F87" s="2677">
        <v>15</v>
      </c>
    </row>
    <row r="88" spans="1:6" ht="13.5">
      <c r="A88" s="2677">
        <v>14</v>
      </c>
      <c r="B88" s="3287"/>
      <c r="C88" s="2651" t="s">
        <v>2580</v>
      </c>
      <c r="D88" s="2651" t="s">
        <v>2581</v>
      </c>
      <c r="E88" s="2677">
        <v>0.1</v>
      </c>
      <c r="F88" s="2677">
        <v>15</v>
      </c>
    </row>
    <row r="89" spans="1:6" ht="13.5">
      <c r="A89" s="2677">
        <v>15</v>
      </c>
      <c r="B89" s="3287"/>
      <c r="C89" s="2651" t="s">
        <v>2582</v>
      </c>
      <c r="D89" s="2651" t="s">
        <v>2583</v>
      </c>
      <c r="E89" s="2677">
        <v>0.1</v>
      </c>
      <c r="F89" s="2677">
        <v>15</v>
      </c>
    </row>
    <row r="90" spans="1:6" ht="24">
      <c r="A90" s="2677">
        <v>16</v>
      </c>
      <c r="B90" s="3287"/>
      <c r="C90" s="2651" t="s">
        <v>2584</v>
      </c>
      <c r="D90" s="2651" t="s">
        <v>2585</v>
      </c>
      <c r="E90" s="2677">
        <v>0.1</v>
      </c>
      <c r="F90" s="2677">
        <v>15</v>
      </c>
    </row>
    <row r="91" spans="1:6" ht="24">
      <c r="A91" s="2677">
        <v>17</v>
      </c>
      <c r="B91" s="3286"/>
      <c r="C91" s="2651" t="s">
        <v>2586</v>
      </c>
      <c r="D91" s="2651" t="s">
        <v>2587</v>
      </c>
      <c r="E91" s="2677">
        <v>0.1</v>
      </c>
      <c r="F91" s="2677">
        <v>15</v>
      </c>
    </row>
    <row r="92" spans="1:6" ht="13.5">
      <c r="A92" s="2677">
        <v>18</v>
      </c>
      <c r="B92" s="3285" t="s">
        <v>2588</v>
      </c>
      <c r="C92" s="2651" t="s">
        <v>2589</v>
      </c>
      <c r="D92" s="2651" t="s">
        <v>2590</v>
      </c>
      <c r="E92" s="2677">
        <v>0.2</v>
      </c>
      <c r="F92" s="2677">
        <v>25</v>
      </c>
    </row>
    <row r="93" spans="1:6" ht="24">
      <c r="A93" s="2677">
        <v>19</v>
      </c>
      <c r="B93" s="3287"/>
      <c r="C93" s="2651" t="s">
        <v>2591</v>
      </c>
      <c r="D93" s="2651" t="s">
        <v>2592</v>
      </c>
      <c r="E93" s="2677">
        <v>0.2</v>
      </c>
      <c r="F93" s="2677">
        <v>25</v>
      </c>
    </row>
    <row r="94" spans="1:6" ht="13.5">
      <c r="A94" s="2677">
        <v>20</v>
      </c>
      <c r="B94" s="3287"/>
      <c r="C94" s="2651" t="s">
        <v>2593</v>
      </c>
      <c r="D94" s="2651" t="s">
        <v>2594</v>
      </c>
      <c r="E94" s="2677">
        <v>0.15</v>
      </c>
      <c r="F94" s="2677">
        <v>20</v>
      </c>
    </row>
    <row r="95" spans="1:6" ht="13.5">
      <c r="A95" s="2677">
        <v>21</v>
      </c>
      <c r="B95" s="3287"/>
      <c r="C95" s="2651" t="s">
        <v>2595</v>
      </c>
      <c r="D95" s="2651" t="s">
        <v>2596</v>
      </c>
      <c r="E95" s="2677">
        <v>0.15</v>
      </c>
      <c r="F95" s="2677">
        <v>20</v>
      </c>
    </row>
    <row r="96" spans="1:6" ht="13.5">
      <c r="A96" s="2677">
        <v>22</v>
      </c>
      <c r="B96" s="3287"/>
      <c r="C96" s="2651" t="s">
        <v>2597</v>
      </c>
      <c r="D96" s="2651" t="s">
        <v>2598</v>
      </c>
      <c r="E96" s="2677">
        <v>0.15</v>
      </c>
      <c r="F96" s="2677">
        <v>20</v>
      </c>
    </row>
    <row r="97" spans="1:6" ht="36">
      <c r="A97" s="2677">
        <v>23</v>
      </c>
      <c r="B97" s="3287"/>
      <c r="C97" s="2651" t="s">
        <v>2599</v>
      </c>
      <c r="D97" s="2651" t="s">
        <v>2600</v>
      </c>
      <c r="E97" s="2677">
        <v>0.15</v>
      </c>
      <c r="F97" s="2677">
        <v>20</v>
      </c>
    </row>
    <row r="98" spans="1:6" ht="13.5">
      <c r="A98" s="2677">
        <v>24</v>
      </c>
      <c r="B98" s="3287"/>
      <c r="C98" s="2651" t="s">
        <v>2601</v>
      </c>
      <c r="D98" s="2651" t="s">
        <v>2602</v>
      </c>
      <c r="E98" s="2677">
        <v>0.1</v>
      </c>
      <c r="F98" s="2677">
        <v>15</v>
      </c>
    </row>
    <row r="99" spans="1:6" ht="13.5">
      <c r="A99" s="2677">
        <v>25</v>
      </c>
      <c r="B99" s="3287"/>
      <c r="C99" s="2651" t="s">
        <v>2603</v>
      </c>
      <c r="D99" s="2651" t="s">
        <v>2604</v>
      </c>
      <c r="E99" s="2677">
        <v>0.1</v>
      </c>
      <c r="F99" s="2677">
        <v>15</v>
      </c>
    </row>
    <row r="100" spans="1:6" ht="24">
      <c r="A100" s="2677">
        <v>26</v>
      </c>
      <c r="B100" s="3287"/>
      <c r="C100" s="2651" t="s">
        <v>2605</v>
      </c>
      <c r="D100" s="2651" t="s">
        <v>2606</v>
      </c>
      <c r="E100" s="2677">
        <v>0.1</v>
      </c>
      <c r="F100" s="2677">
        <v>15</v>
      </c>
    </row>
    <row r="101" spans="1:6" ht="24">
      <c r="A101" s="2677">
        <v>27</v>
      </c>
      <c r="B101" s="3287"/>
      <c r="C101" s="2651" t="s">
        <v>2607</v>
      </c>
      <c r="D101" s="2651" t="s">
        <v>2608</v>
      </c>
      <c r="E101" s="2677">
        <v>0.1</v>
      </c>
      <c r="F101" s="2677">
        <v>15</v>
      </c>
    </row>
    <row r="102" spans="1:6" ht="13.5">
      <c r="A102" s="2677">
        <v>28</v>
      </c>
      <c r="B102" s="3287"/>
      <c r="C102" s="2651" t="s">
        <v>2609</v>
      </c>
      <c r="D102" s="2651" t="s">
        <v>2610</v>
      </c>
      <c r="E102" s="2677">
        <v>0.1</v>
      </c>
      <c r="F102" s="2677">
        <v>15</v>
      </c>
    </row>
    <row r="103" spans="1:6" ht="13.5">
      <c r="A103" s="2677">
        <v>29</v>
      </c>
      <c r="B103" s="3287"/>
      <c r="C103" s="2651" t="s">
        <v>2611</v>
      </c>
      <c r="D103" s="2651" t="s">
        <v>2612</v>
      </c>
      <c r="E103" s="2677">
        <v>0.1</v>
      </c>
      <c r="F103" s="2677">
        <v>15</v>
      </c>
    </row>
    <row r="104" spans="1:6" ht="13.5">
      <c r="A104" s="2677">
        <v>30</v>
      </c>
      <c r="B104" s="3287"/>
      <c r="C104" s="2651" t="s">
        <v>2613</v>
      </c>
      <c r="D104" s="2651" t="s">
        <v>2614</v>
      </c>
      <c r="E104" s="2677">
        <v>0.1</v>
      </c>
      <c r="F104" s="2677">
        <v>15</v>
      </c>
    </row>
    <row r="105" spans="1:6" ht="24">
      <c r="A105" s="2677">
        <v>31</v>
      </c>
      <c r="B105" s="3287"/>
      <c r="C105" s="2651" t="s">
        <v>2615</v>
      </c>
      <c r="D105" s="2651" t="s">
        <v>2616</v>
      </c>
      <c r="E105" s="2677">
        <v>0.1</v>
      </c>
      <c r="F105" s="2677">
        <v>15</v>
      </c>
    </row>
    <row r="106" spans="1:6" ht="24">
      <c r="A106" s="2677">
        <v>32</v>
      </c>
      <c r="B106" s="3287"/>
      <c r="C106" s="2651" t="s">
        <v>2617</v>
      </c>
      <c r="D106" s="2651" t="s">
        <v>2618</v>
      </c>
      <c r="E106" s="2677">
        <v>0.1</v>
      </c>
      <c r="F106" s="2677">
        <v>15</v>
      </c>
    </row>
    <row r="107" spans="1:6" ht="24">
      <c r="A107" s="2677">
        <v>33</v>
      </c>
      <c r="B107" s="3287"/>
      <c r="C107" s="2651" t="s">
        <v>2619</v>
      </c>
      <c r="D107" s="2651" t="s">
        <v>2620</v>
      </c>
      <c r="E107" s="2677">
        <v>0.1</v>
      </c>
      <c r="F107" s="2677">
        <v>15</v>
      </c>
    </row>
    <row r="108" spans="1:6" ht="24">
      <c r="A108" s="2677">
        <v>34</v>
      </c>
      <c r="B108" s="3286"/>
      <c r="C108" s="2651" t="s">
        <v>2621</v>
      </c>
      <c r="D108" s="2651" t="s">
        <v>2622</v>
      </c>
      <c r="E108" s="2677">
        <v>0.1</v>
      </c>
      <c r="F108" s="2677">
        <v>15</v>
      </c>
    </row>
    <row r="109" spans="1:6" ht="24">
      <c r="A109" s="2677">
        <v>35</v>
      </c>
      <c r="B109" s="3285" t="s">
        <v>2623</v>
      </c>
      <c r="C109" s="2677" t="s">
        <v>2624</v>
      </c>
      <c r="D109" s="2651" t="s">
        <v>2625</v>
      </c>
      <c r="E109" s="2677">
        <v>0.15</v>
      </c>
      <c r="F109" s="2677">
        <v>20</v>
      </c>
    </row>
    <row r="110" spans="1:6" ht="13.5">
      <c r="A110" s="2677">
        <v>36</v>
      </c>
      <c r="B110" s="3287"/>
      <c r="C110" s="2677" t="s">
        <v>2626</v>
      </c>
      <c r="D110" s="2651" t="s">
        <v>2627</v>
      </c>
      <c r="E110" s="2677">
        <v>0.15</v>
      </c>
      <c r="F110" s="2677">
        <v>20</v>
      </c>
    </row>
    <row r="111" spans="1:6" ht="13.5">
      <c r="A111" s="2677">
        <v>37</v>
      </c>
      <c r="B111" s="3287"/>
      <c r="C111" s="2677" t="s">
        <v>2628</v>
      </c>
      <c r="D111" s="2651" t="s">
        <v>2629</v>
      </c>
      <c r="E111" s="2677">
        <v>0.15</v>
      </c>
      <c r="F111" s="2677">
        <v>20</v>
      </c>
    </row>
    <row r="112" spans="1:6" ht="13.5">
      <c r="A112" s="2677">
        <v>38</v>
      </c>
      <c r="B112" s="3287"/>
      <c r="C112" s="2677" t="s">
        <v>2630</v>
      </c>
      <c r="D112" s="2651" t="s">
        <v>2631</v>
      </c>
      <c r="E112" s="2677">
        <v>0.1</v>
      </c>
      <c r="F112" s="2677">
        <v>15</v>
      </c>
    </row>
    <row r="113" spans="1:6" ht="24">
      <c r="A113" s="2677">
        <v>39</v>
      </c>
      <c r="B113" s="3287"/>
      <c r="C113" s="2677" t="s">
        <v>2632</v>
      </c>
      <c r="D113" s="2651" t="s">
        <v>2633</v>
      </c>
      <c r="E113" s="2677">
        <v>0.1</v>
      </c>
      <c r="F113" s="2677">
        <v>15</v>
      </c>
    </row>
    <row r="114" spans="1:6" ht="24">
      <c r="A114" s="2677">
        <v>40</v>
      </c>
      <c r="B114" s="3286"/>
      <c r="C114" s="2677" t="s">
        <v>2634</v>
      </c>
      <c r="D114" s="2651" t="s">
        <v>2635</v>
      </c>
      <c r="E114" s="2677">
        <v>0.1</v>
      </c>
      <c r="F114" s="2677">
        <v>15</v>
      </c>
    </row>
    <row r="115" spans="1:6" ht="13.5">
      <c r="A115" s="2677">
        <v>41</v>
      </c>
      <c r="B115" s="3284" t="s">
        <v>2636</v>
      </c>
      <c r="C115" s="2677" t="s">
        <v>2637</v>
      </c>
      <c r="D115" s="2651" t="s">
        <v>2638</v>
      </c>
      <c r="E115" s="2677">
        <v>0.1</v>
      </c>
      <c r="F115" s="2677">
        <v>15</v>
      </c>
    </row>
    <row r="116" spans="1:6" ht="13.5">
      <c r="A116" s="2677">
        <v>42</v>
      </c>
      <c r="B116" s="3284"/>
      <c r="C116" s="2677" t="s">
        <v>2639</v>
      </c>
      <c r="D116" s="2651" t="s">
        <v>2640</v>
      </c>
      <c r="E116" s="2677">
        <v>0.1</v>
      </c>
      <c r="F116" s="2677">
        <v>15</v>
      </c>
    </row>
    <row r="117" spans="1:6" ht="24">
      <c r="A117" s="2677">
        <v>43</v>
      </c>
      <c r="B117" s="3284"/>
      <c r="C117" s="2677" t="s">
        <v>2641</v>
      </c>
      <c r="D117" s="2651" t="s">
        <v>2642</v>
      </c>
      <c r="E117" s="2677">
        <v>0.1</v>
      </c>
      <c r="F117" s="2677">
        <v>15</v>
      </c>
    </row>
    <row r="118" spans="1:6" ht="13.5">
      <c r="A118" s="2677">
        <v>44</v>
      </c>
      <c r="B118" s="3285" t="s">
        <v>2643</v>
      </c>
      <c r="C118" s="2677" t="s">
        <v>2644</v>
      </c>
      <c r="D118" s="2651" t="s">
        <v>2645</v>
      </c>
      <c r="E118" s="2677">
        <v>0.1</v>
      </c>
      <c r="F118" s="2677">
        <v>15</v>
      </c>
    </row>
    <row r="119" spans="1:6" ht="24">
      <c r="A119" s="2677">
        <v>45</v>
      </c>
      <c r="B119" s="3286"/>
      <c r="C119" s="2651" t="s">
        <v>2646</v>
      </c>
      <c r="D119" s="2651" t="s">
        <v>2647</v>
      </c>
      <c r="E119" s="2677">
        <v>0.1</v>
      </c>
      <c r="F119" s="2677">
        <v>15</v>
      </c>
    </row>
    <row r="120" spans="1:6" ht="24">
      <c r="A120" s="2677">
        <v>46</v>
      </c>
      <c r="B120" s="3285" t="s">
        <v>2648</v>
      </c>
      <c r="C120" s="2677" t="s">
        <v>2649</v>
      </c>
      <c r="D120" s="2651" t="s">
        <v>2650</v>
      </c>
      <c r="E120" s="2677">
        <v>0.1</v>
      </c>
      <c r="F120" s="2677">
        <v>15</v>
      </c>
    </row>
    <row r="121" spans="1:6" ht="24">
      <c r="A121" s="2677">
        <v>47</v>
      </c>
      <c r="B121" s="3286"/>
      <c r="C121" s="2677" t="s">
        <v>2651</v>
      </c>
      <c r="D121" s="2651" t="s">
        <v>2652</v>
      </c>
      <c r="E121" s="2677">
        <v>0.1</v>
      </c>
      <c r="F121" s="2677">
        <v>15</v>
      </c>
    </row>
    <row r="122" spans="1:6" ht="13.5">
      <c r="A122" s="2677">
        <v>48</v>
      </c>
      <c r="B122" s="3285" t="s">
        <v>2653</v>
      </c>
      <c r="C122" s="2677" t="s">
        <v>2654</v>
      </c>
      <c r="D122" s="2651" t="s">
        <v>2655</v>
      </c>
      <c r="E122" s="2677">
        <v>0.1</v>
      </c>
      <c r="F122" s="2677">
        <v>15</v>
      </c>
    </row>
    <row r="123" spans="1:6" ht="13.5">
      <c r="A123" s="2677">
        <v>49</v>
      </c>
      <c r="B123" s="3286"/>
      <c r="C123" s="2677" t="s">
        <v>2656</v>
      </c>
      <c r="D123" s="2651" t="s">
        <v>2657</v>
      </c>
      <c r="E123" s="2677">
        <v>0.1</v>
      </c>
      <c r="F123" s="2677">
        <v>15</v>
      </c>
    </row>
    <row r="124" spans="1:6" ht="24">
      <c r="A124" s="2677">
        <v>50</v>
      </c>
      <c r="B124" s="3284" t="s">
        <v>2658</v>
      </c>
      <c r="C124" s="2677" t="s">
        <v>2659</v>
      </c>
      <c r="D124" s="2651" t="s">
        <v>2660</v>
      </c>
      <c r="E124" s="2677">
        <v>0.1</v>
      </c>
      <c r="F124" s="2677">
        <v>15</v>
      </c>
    </row>
    <row r="125" spans="1:6" ht="24">
      <c r="A125" s="2677">
        <v>51</v>
      </c>
      <c r="B125" s="3284"/>
      <c r="C125" s="2677" t="s">
        <v>2661</v>
      </c>
      <c r="D125" s="2651" t="s">
        <v>2662</v>
      </c>
      <c r="E125" s="2677">
        <v>0.1</v>
      </c>
      <c r="F125" s="2677">
        <v>15</v>
      </c>
    </row>
    <row r="126" spans="1:6" ht="24">
      <c r="A126" s="2677">
        <v>52</v>
      </c>
      <c r="B126" s="3284" t="s">
        <v>2663</v>
      </c>
      <c r="C126" s="2677" t="s">
        <v>2664</v>
      </c>
      <c r="D126" s="2651" t="s">
        <v>2665</v>
      </c>
      <c r="E126" s="2677">
        <v>0.1</v>
      </c>
      <c r="F126" s="2677">
        <v>15</v>
      </c>
    </row>
    <row r="127" spans="1:6" ht="24">
      <c r="A127" s="2677">
        <v>53</v>
      </c>
      <c r="B127" s="3284"/>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4" t="s">
        <v>2671</v>
      </c>
      <c r="C129" s="2677" t="s">
        <v>2672</v>
      </c>
      <c r="D129" s="2651" t="s">
        <v>2673</v>
      </c>
      <c r="E129" s="2677">
        <v>0.1</v>
      </c>
      <c r="F129" s="2677">
        <v>15</v>
      </c>
    </row>
    <row r="130" spans="1:6" ht="13.5">
      <c r="A130" s="2677">
        <v>56</v>
      </c>
      <c r="B130" s="3284"/>
      <c r="C130" s="2677" t="s">
        <v>2674</v>
      </c>
      <c r="D130" s="2651" t="s">
        <v>2675</v>
      </c>
      <c r="E130" s="2677">
        <v>0.1</v>
      </c>
      <c r="F130" s="2677">
        <v>15</v>
      </c>
    </row>
    <row r="131" spans="1:6" ht="24">
      <c r="A131" s="2677">
        <v>57</v>
      </c>
      <c r="B131" s="3284"/>
      <c r="C131" s="2677" t="s">
        <v>2676</v>
      </c>
      <c r="D131" s="2651" t="s">
        <v>2677</v>
      </c>
      <c r="E131" s="2677">
        <v>0.1</v>
      </c>
      <c r="F131" s="2677">
        <v>15</v>
      </c>
    </row>
    <row r="132" spans="1:6" ht="24">
      <c r="A132" s="2677">
        <v>58</v>
      </c>
      <c r="B132" s="3284" t="s">
        <v>2678</v>
      </c>
      <c r="C132" s="2677" t="s">
        <v>2679</v>
      </c>
      <c r="D132" s="2651" t="s">
        <v>2680</v>
      </c>
      <c r="E132" s="2677">
        <v>0.1</v>
      </c>
      <c r="F132" s="2677">
        <v>15</v>
      </c>
    </row>
    <row r="133" spans="1:6" ht="13.5">
      <c r="A133" s="2677">
        <v>59</v>
      </c>
      <c r="B133" s="3284"/>
      <c r="C133" s="2677" t="s">
        <v>2681</v>
      </c>
      <c r="D133" s="2651" t="s">
        <v>2682</v>
      </c>
      <c r="E133" s="2677">
        <v>0.1</v>
      </c>
      <c r="F133" s="2677">
        <v>15</v>
      </c>
    </row>
    <row r="134" spans="1:6" ht="13.5">
      <c r="A134" s="2677">
        <v>60</v>
      </c>
      <c r="B134" s="3285" t="s">
        <v>2683</v>
      </c>
      <c r="C134" s="2677" t="s">
        <v>2684</v>
      </c>
      <c r="D134" s="2651" t="s">
        <v>2685</v>
      </c>
      <c r="E134" s="2677">
        <v>0.1</v>
      </c>
      <c r="F134" s="2677">
        <v>15</v>
      </c>
    </row>
    <row r="135" spans="1:6" ht="13.5">
      <c r="A135" s="2677">
        <v>61</v>
      </c>
      <c r="B135" s="3286"/>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4" t="s">
        <v>2691</v>
      </c>
      <c r="C137" s="2677" t="s">
        <v>2692</v>
      </c>
      <c r="D137" s="2651" t="s">
        <v>2693</v>
      </c>
      <c r="E137" s="2677">
        <v>0.1</v>
      </c>
      <c r="F137" s="2677">
        <v>15</v>
      </c>
    </row>
    <row r="138" spans="1:6" ht="13.5">
      <c r="A138" s="2677">
        <v>64</v>
      </c>
      <c r="B138" s="3284"/>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2" t="s">
        <v>89</v>
      </c>
    </row>
    <row r="43" spans="1:7" ht="13.5" customHeight="1">
      <c r="A43" s="712" t="s">
        <v>342</v>
      </c>
      <c r="B43" s="206" t="s">
        <v>421</v>
      </c>
      <c r="C43" s="229" t="e">
        <f ca="1">ROUND(IF('数据-取费表'!B22&lt;=1,C39*F22*'数据-取费表'!B21/2,C39*(POWER((1+F22),'数据-取费表'!B21/2)-1)),0)</f>
        <v>#VALUE!</v>
      </c>
      <c r="D43" s="229"/>
      <c r="E43" s="229"/>
      <c r="F43" s="230"/>
      <c r="G43" s="3183"/>
    </row>
    <row r="44" spans="1:7" ht="13.5" customHeight="1">
      <c r="A44" s="712" t="s">
        <v>343</v>
      </c>
      <c r="B44" s="206" t="s">
        <v>423</v>
      </c>
      <c r="C44" s="229" t="e">
        <f ca="1">ROUND(IF('数据-取费表'!B22&lt;=1,C40*F22*'数据-取费表'!B21/2,C40*(POWER((1+F22),'数据-取费表'!B21/2)-1)),4)</f>
        <v>#VALUE!</v>
      </c>
      <c r="D44" s="229"/>
      <c r="E44" s="229"/>
      <c r="F44" s="230"/>
      <c r="G44" s="3184"/>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278"/>
      <c r="B4" s="3004" t="s">
        <v>911</v>
      </c>
      <c r="C4" s="3004"/>
      <c r="D4" s="3004"/>
      <c r="E4" s="1278"/>
    </row>
    <row r="5" spans="1:5" ht="16.5" thickTop="1">
      <c r="B5" s="3002" t="s">
        <v>903</v>
      </c>
      <c r="C5" s="1279" t="s">
        <v>904</v>
      </c>
      <c r="D5" s="775" t="e">
        <f ca="1">结果表!H101</f>
        <v>#REF!</v>
      </c>
    </row>
    <row r="6" spans="1:5" ht="15.75">
      <c r="B6" s="3002"/>
      <c r="C6" s="1279" t="s">
        <v>905</v>
      </c>
      <c r="D6" s="775" t="e">
        <f ca="1">NUMBERSTRING(INT(D5*10000),2)&amp;"元整"</f>
        <v>#REF!</v>
      </c>
    </row>
    <row r="7" spans="1:5" ht="15.75">
      <c r="B7" s="3007"/>
      <c r="C7" s="1280" t="s">
        <v>906</v>
      </c>
      <c r="D7" s="776" t="e">
        <f ca="1">结果表!H102</f>
        <v>#REF!</v>
      </c>
    </row>
    <row r="8" spans="1:5" ht="15.75">
      <c r="B8" s="3008" t="str">
        <f>结果表!E103</f>
        <v>2.估价师知悉的法定优先受偿款</v>
      </c>
      <c r="C8" s="1281" t="s">
        <v>907</v>
      </c>
      <c r="D8" s="776">
        <f>结果表!H103</f>
        <v>0</v>
      </c>
    </row>
    <row r="9" spans="1:5" ht="15.75">
      <c r="B9" s="3010"/>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1" t="str">
        <f>结果表!E107</f>
        <v>3.房地产抵押价值</v>
      </c>
      <c r="C13" s="1284" t="s">
        <v>904</v>
      </c>
      <c r="D13" s="778" t="e">
        <f ca="1">结果表!H107</f>
        <v>#REF!</v>
      </c>
    </row>
    <row r="14" spans="1:5" ht="15.75">
      <c r="B14" s="3002"/>
      <c r="C14" s="1279" t="s">
        <v>905</v>
      </c>
      <c r="D14" s="775" t="e">
        <f ca="1">NUMBERSTRING(INT(D13*10000),2)&amp;"元整"</f>
        <v>#REF!</v>
      </c>
    </row>
    <row r="15" spans="1:5" ht="15">
      <c r="B15" s="3007"/>
      <c r="C15" s="1280" t="s">
        <v>915</v>
      </c>
      <c r="D15" s="784" t="e">
        <f ca="1">结果表!H108</f>
        <v>#REF!</v>
      </c>
    </row>
    <row r="16" spans="1:5" ht="15">
      <c r="B16" s="3008" t="str">
        <f>结果表!E109</f>
        <v>——</v>
      </c>
      <c r="C16" s="1284" t="s">
        <v>916</v>
      </c>
      <c r="D16" s="1285" t="str">
        <f>结果表!H109</f>
        <v>——</v>
      </c>
    </row>
    <row r="17" spans="1:5" ht="15.75">
      <c r="B17" s="3009"/>
      <c r="C17" s="1279" t="s">
        <v>917</v>
      </c>
      <c r="D17" s="775" t="e">
        <f>NUMBERSTRING(INT(D16*10000),2)&amp;"元整"</f>
        <v>#VALUE!</v>
      </c>
    </row>
    <row r="18" spans="1:5" ht="15">
      <c r="B18" s="3010"/>
      <c r="C18" s="1280" t="s">
        <v>906</v>
      </c>
      <c r="D18" s="784" t="str">
        <f>结果表!H110</f>
        <v>——</v>
      </c>
    </row>
    <row r="19" spans="1:5" ht="15.75">
      <c r="B19" s="3001" t="str">
        <f>结果表!E111</f>
        <v>——</v>
      </c>
      <c r="C19" s="1284" t="s">
        <v>904</v>
      </c>
      <c r="D19" s="776" t="str">
        <f>结果表!H111</f>
        <v>——</v>
      </c>
    </row>
    <row r="20" spans="1:5" ht="15.75">
      <c r="B20" s="3002"/>
      <c r="C20" s="1279" t="s">
        <v>917</v>
      </c>
      <c r="D20" s="775" t="e">
        <f>NUMBERSTRING(INT(D19*10000),2)&amp;"元整"</f>
        <v>#VALUE!</v>
      </c>
    </row>
    <row r="21" spans="1:5" ht="15.75" thickBot="1">
      <c r="B21" s="3003"/>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8" t="s">
        <v>3083</v>
      </c>
      <c r="B1" s="3298"/>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299" t="s">
        <v>3134</v>
      </c>
      <c r="B1" s="3299"/>
      <c r="C1" s="3299"/>
      <c r="D1" s="3299"/>
      <c r="E1" s="3299"/>
      <c r="F1" s="3300"/>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46091</v>
      </c>
      <c r="B1" s="2749" t="s">
        <v>3277</v>
      </c>
      <c r="C1" s="2750"/>
      <c r="D1" s="2750"/>
      <c r="E1" s="2750"/>
      <c r="F1" s="2750"/>
      <c r="G1" s="2750"/>
      <c r="H1" s="2750"/>
      <c r="I1" s="2750"/>
      <c r="J1" s="2716"/>
      <c r="K1" s="2750" t="s">
        <v>449</v>
      </c>
      <c r="L1" s="2750"/>
      <c r="M1" s="2750"/>
      <c r="N1" s="2750"/>
      <c r="O1" s="2750"/>
      <c r="P1" s="2750"/>
      <c r="Q1" s="2716"/>
      <c r="R1" s="3301" t="s">
        <v>451</v>
      </c>
      <c r="S1" s="3302"/>
      <c r="T1" s="3302"/>
      <c r="U1" s="3302"/>
      <c r="V1" s="3302"/>
      <c r="W1" s="3302"/>
      <c r="X1" s="2716"/>
      <c r="Y1" s="3301" t="s">
        <v>452</v>
      </c>
      <c r="Z1" s="3302"/>
      <c r="AA1" s="3302"/>
      <c r="AB1" s="3302"/>
      <c r="AC1" s="3302"/>
      <c r="AD1" s="3302"/>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3302</v>
      </c>
      <c r="AG2" t="s">
        <v>668</v>
      </c>
      <c r="AH2" t="s">
        <v>17</v>
      </c>
      <c r="AI2" t="s">
        <v>3303</v>
      </c>
      <c r="AJ2" t="s">
        <v>3</v>
      </c>
      <c r="AK2" t="s">
        <v>3304</v>
      </c>
      <c r="AM2" t="s">
        <v>3302</v>
      </c>
      <c r="AN2" t="s">
        <v>668</v>
      </c>
      <c r="AO2" t="s">
        <v>17</v>
      </c>
      <c r="AP2" t="s">
        <v>3303</v>
      </c>
      <c r="AQ2" t="s">
        <v>3</v>
      </c>
      <c r="AR2" t="s">
        <v>3304</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3301</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3315</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3316</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3307</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3306</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3281</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3275</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3274</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3270</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3269</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3267</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3266</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3265</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3263</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3254</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3280</v>
      </c>
    </row>
    <row r="27" spans="1:44">
      <c r="I27" s="1292" t="s">
        <v>2727</v>
      </c>
    </row>
    <row r="29" spans="1:44" s="1834" customFormat="1" ht="12.75">
      <c r="B29" s="2749" t="s">
        <v>3278</v>
      </c>
      <c r="C29" s="2750"/>
      <c r="D29" s="2750"/>
      <c r="E29" s="2750"/>
      <c r="F29" s="2750"/>
      <c r="G29" s="2750"/>
      <c r="H29" s="2750"/>
      <c r="I29" s="2750"/>
      <c r="J29" s="2716"/>
      <c r="K29" s="2750" t="s">
        <v>2728</v>
      </c>
      <c r="L29" s="2750"/>
      <c r="M29" s="2750"/>
      <c r="N29" s="2750"/>
      <c r="O29" s="2750"/>
      <c r="P29" s="2750"/>
      <c r="Q29" s="2716"/>
      <c r="R29" s="3301" t="s">
        <v>2729</v>
      </c>
      <c r="S29" s="3302"/>
      <c r="T29" s="3302"/>
      <c r="U29" s="3302"/>
      <c r="V29" s="3302"/>
      <c r="W29" s="3302"/>
      <c r="X29" s="2716"/>
      <c r="Y29" s="3301" t="s">
        <v>2730</v>
      </c>
      <c r="Z29" s="3302"/>
      <c r="AA29" s="3302"/>
      <c r="AB29" s="3302"/>
      <c r="AC29" s="3302"/>
      <c r="AD29" s="3302"/>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3303</v>
      </c>
      <c r="AJ30"/>
      <c r="AK30" t="s">
        <v>3304</v>
      </c>
      <c r="AN30" t="s">
        <v>668</v>
      </c>
      <c r="AO30" t="s">
        <v>17</v>
      </c>
      <c r="AP30" t="s">
        <v>3303</v>
      </c>
      <c r="AQ30"/>
      <c r="AR30" t="s">
        <v>3304</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3301</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3317</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3316</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3305</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3306</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3272</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3276</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3273</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3271</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3269</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3268</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3266</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3265</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3264</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3254</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3279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6" t="s">
        <v>447</v>
      </c>
      <c r="C1" s="3306"/>
      <c r="D1" s="3306"/>
      <c r="E1" s="3306"/>
      <c r="F1" s="3306"/>
      <c r="G1" s="3302" t="s">
        <v>448</v>
      </c>
      <c r="H1" s="3302"/>
      <c r="I1" s="3302"/>
      <c r="J1" s="3302"/>
      <c r="K1" s="3302"/>
      <c r="L1" s="3302"/>
      <c r="N1" s="3302" t="s">
        <v>449</v>
      </c>
      <c r="O1" s="3302"/>
      <c r="P1" s="3302"/>
      <c r="Q1" s="3302"/>
      <c r="S1" s="3302" t="s">
        <v>450</v>
      </c>
      <c r="T1" s="3302"/>
      <c r="U1" s="3302"/>
      <c r="V1" s="3302"/>
      <c r="X1" s="3301" t="s">
        <v>451</v>
      </c>
      <c r="Y1" s="3302"/>
      <c r="Z1" s="3302"/>
      <c r="AA1" s="3302"/>
      <c r="AB1" s="3302"/>
      <c r="AD1" s="3301" t="s">
        <v>452</v>
      </c>
      <c r="AE1" s="3302"/>
      <c r="AF1" s="3302"/>
      <c r="AG1" s="3302"/>
      <c r="AH1" s="3302"/>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3262</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3259</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3260</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3261</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4">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4"/>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4"/>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1"/>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7">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4"/>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4"/>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1"/>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7">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4"/>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4"/>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5"/>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3">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4"/>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4"/>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5"/>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3">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4"/>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4"/>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5"/>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8">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09"/>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09"/>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0"/>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3">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4"/>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4"/>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5"/>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3">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4">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4">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5">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3">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4">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4">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5">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3">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4">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4">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5">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3">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4">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4">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5">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3">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4">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4">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5">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3">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4">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4">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5">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3">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4">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4">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5">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3">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4">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4">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5">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3">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4">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4">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5">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3">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4">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4">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5">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4" t="s">
        <v>2741</v>
      </c>
      <c r="B1" s="3314"/>
      <c r="C1" s="3314"/>
      <c r="D1" s="3314"/>
      <c r="E1" s="3314"/>
      <c r="F1" s="3314"/>
      <c r="G1" s="3315"/>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2"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3"/>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46091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922</v>
      </c>
      <c r="B2" s="3019" t="s">
        <v>923</v>
      </c>
      <c r="C2" s="3019" t="s">
        <v>924</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4"/>
      <c r="B3" s="3014"/>
      <c r="C3" s="3014"/>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4" t="s">
        <v>921</v>
      </c>
      <c r="B5" s="3014"/>
      <c r="C5" s="3014"/>
      <c r="D5" s="3014" t="e">
        <f ca="1">结果表!D119</f>
        <v>#REF!</v>
      </c>
      <c r="E5" s="3014"/>
      <c r="F5" s="3014" t="e">
        <f ca="1">结果表!F119</f>
        <v>#REF!</v>
      </c>
      <c r="G5" s="3014"/>
      <c r="H5" s="3014" t="e">
        <f ca="1">结果表!H119</f>
        <v>#REF!</v>
      </c>
      <c r="I5" s="3014"/>
    </row>
    <row r="6" spans="1:9" ht="15.75">
      <c r="A6" s="3013" t="str">
        <f>结果表!A120</f>
        <v>估价师知悉的法定优先受偿款</v>
      </c>
      <c r="B6" s="3013"/>
      <c r="C6" s="3013"/>
      <c r="D6" s="3013">
        <f>结果表!D120</f>
        <v>0</v>
      </c>
      <c r="E6" s="3013"/>
      <c r="F6" s="3013"/>
      <c r="G6" s="3013"/>
      <c r="H6" s="3013"/>
      <c r="I6" s="3013"/>
    </row>
    <row r="7" spans="1:9" ht="15">
      <c r="A7" s="3014" t="s">
        <v>921</v>
      </c>
      <c r="B7" s="3014"/>
      <c r="C7" s="3014"/>
      <c r="D7" s="3015" t="str">
        <f>结果表!D121</f>
        <v>零元整</v>
      </c>
      <c r="E7" s="3016"/>
      <c r="F7" s="3016"/>
      <c r="G7" s="3016"/>
      <c r="H7" s="3016"/>
      <c r="I7" s="3017"/>
    </row>
    <row r="8" spans="1:9" ht="15.75">
      <c r="A8" s="3013" t="str">
        <f>结果表!A122</f>
        <v>房地产抵押价值</v>
      </c>
      <c r="B8" s="3013"/>
      <c r="C8" s="3013"/>
      <c r="D8" s="3013" t="e">
        <f ca="1">结果表!D122</f>
        <v>#REF!</v>
      </c>
      <c r="E8" s="3013"/>
      <c r="F8" s="3013"/>
      <c r="G8" s="3013"/>
      <c r="H8" s="3013"/>
      <c r="I8" s="3013"/>
    </row>
    <row r="9" spans="1:9" ht="15">
      <c r="A9" s="3014" t="s">
        <v>921</v>
      </c>
      <c r="B9" s="3014"/>
      <c r="C9" s="3014"/>
      <c r="D9" s="3014" t="e">
        <f ca="1">结果表!D123</f>
        <v>#REF!</v>
      </c>
      <c r="E9" s="3014"/>
      <c r="F9" s="3014"/>
      <c r="G9" s="3014"/>
      <c r="H9" s="3014"/>
      <c r="I9" s="3014"/>
    </row>
    <row r="10" spans="1:9" ht="15.75">
      <c r="A10" s="3013" t="str">
        <f>结果表!A124</f>
        <v/>
      </c>
      <c r="B10" s="3013"/>
      <c r="C10" s="3013"/>
      <c r="D10" s="3013" t="str">
        <f>结果表!D124</f>
        <v>——</v>
      </c>
      <c r="E10" s="3013"/>
      <c r="F10" s="3013"/>
      <c r="G10" s="3013"/>
      <c r="H10" s="3013"/>
      <c r="I10" s="3013"/>
    </row>
    <row r="11" spans="1:9" ht="15">
      <c r="A11" s="3014" t="s">
        <v>921</v>
      </c>
      <c r="B11" s="3014"/>
      <c r="C11" s="3014"/>
      <c r="D11" s="3014" t="e">
        <f>结果表!D125</f>
        <v>#VALUE!</v>
      </c>
      <c r="E11" s="3014"/>
      <c r="F11" s="3014"/>
      <c r="G11" s="3014"/>
      <c r="H11" s="3014"/>
      <c r="I11" s="3014"/>
    </row>
    <row r="12" spans="1:9" ht="15.75">
      <c r="A12" s="3013" t="str">
        <f>结果表!A126</f>
        <v/>
      </c>
      <c r="B12" s="3013"/>
      <c r="C12" s="3013"/>
      <c r="D12" s="3013" t="str">
        <f>结果表!D126</f>
        <v>——</v>
      </c>
      <c r="E12" s="3013"/>
      <c r="F12" s="3013"/>
      <c r="G12" s="3013"/>
      <c r="H12" s="3013"/>
      <c r="I12" s="3013"/>
    </row>
    <row r="13" spans="1:9" ht="15.75" thickBot="1">
      <c r="A13" s="3011" t="s">
        <v>921</v>
      </c>
      <c r="B13" s="3011"/>
      <c r="C13" s="3011"/>
      <c r="D13" s="3011" t="e">
        <f>结果表!D127</f>
        <v>#VALUE!</v>
      </c>
      <c r="E13" s="3011"/>
      <c r="F13" s="3011"/>
      <c r="G13" s="3011"/>
      <c r="H13" s="3011"/>
      <c r="I13" s="3011"/>
    </row>
    <row r="14" spans="1:9" ht="15" thickTop="1">
      <c r="A14" s="3012" t="s">
        <v>926</v>
      </c>
      <c r="B14" s="3012"/>
      <c r="C14" s="3012"/>
      <c r="D14" s="3012"/>
      <c r="E14" s="3012"/>
      <c r="F14" s="3012"/>
      <c r="G14" s="3012"/>
      <c r="H14" s="3012"/>
      <c r="I14" s="3012"/>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6" t="s">
        <v>943</v>
      </c>
      <c r="B1" s="3026"/>
      <c r="C1" s="3026"/>
      <c r="D1" s="3026"/>
    </row>
    <row r="2" spans="1:4" ht="18">
      <c r="A2" s="3027" t="s">
        <v>927</v>
      </c>
      <c r="B2" s="3027"/>
      <c r="C2" s="3027"/>
      <c r="D2" s="3027"/>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7" t="s">
        <v>933</v>
      </c>
      <c r="B6" s="3027"/>
      <c r="C6" s="3027"/>
      <c r="D6" s="3027"/>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8" t="s">
        <v>936</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0" t="str">
        <f>IF(项目基本情况!B8="抵押","3.抵押双方在办理抵押登记手续时，应使用本公司出具的正式《房地产评估报告》，特提醒报告使用者注意。","——")</f>
        <v>——</v>
      </c>
      <c r="B13" s="3025"/>
      <c r="C13" s="3025"/>
      <c r="D13" s="3025"/>
    </row>
    <row r="14" spans="1:4" ht="15.75" customHeight="1">
      <c r="A14" s="3020" t="str">
        <f>IF(项目基本情况!B8="抵押","4.本次评估估价师所知悉的法定优先受偿款情况说明如下：","——")</f>
        <v>——</v>
      </c>
      <c r="B14" s="3025"/>
      <c r="C14" s="3025"/>
      <c r="D14" s="3025"/>
    </row>
    <row r="15" spans="1:4" ht="42" customHeight="1">
      <c r="A15" s="3020" t="str">
        <f>IF(项目基本情况!B8="抵押","（1）"&amp;CONCATENATE(项目基本情况!L20,项目基本情况!L21,项目基本情况!L22),"——")</f>
        <v>——</v>
      </c>
      <c r="B15" s="3020"/>
      <c r="C15" s="3020"/>
      <c r="D15" s="3020"/>
    </row>
    <row r="16" spans="1:4" ht="30" customHeight="1">
      <c r="A16" s="3022" t="s">
        <v>937</v>
      </c>
      <c r="B16" s="3022"/>
      <c r="C16" s="3022"/>
      <c r="D16" s="3022"/>
    </row>
    <row r="17" spans="1:4" ht="144" customHeight="1">
      <c r="A17" s="3022" t="s">
        <v>938</v>
      </c>
      <c r="B17" s="3022"/>
      <c r="C17" s="3022"/>
      <c r="D17" s="3022"/>
    </row>
    <row r="18" spans="1:4" ht="15.75" customHeight="1">
      <c r="A18" s="3020" t="str">
        <f>IF(项目基本情况!B8="抵押",结果表!K120,"——")</f>
        <v>——</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939</v>
      </c>
      <c r="B22" s="3024"/>
      <c r="C22" s="3024"/>
      <c r="D22" s="3024"/>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4" t="s">
        <v>950</v>
      </c>
      <c r="B15" s="3029" t="s">
        <v>104</v>
      </c>
      <c r="C15" s="3030"/>
    </row>
    <row r="16" spans="1:7" ht="13.5">
      <c r="A16" s="3035"/>
      <c r="B16" s="3029" t="s">
        <v>37</v>
      </c>
      <c r="C16" s="3030"/>
    </row>
    <row r="17" spans="1:3" ht="13.5">
      <c r="A17" s="3035"/>
      <c r="B17" s="3032" t="s">
        <v>951</v>
      </c>
      <c r="C17" s="1316" t="s">
        <v>950</v>
      </c>
    </row>
    <row r="18" spans="1:3" ht="13.5">
      <c r="A18" s="3035"/>
      <c r="B18" s="3032"/>
      <c r="C18" s="1316" t="s">
        <v>952</v>
      </c>
    </row>
    <row r="19" spans="1:3" ht="13.5">
      <c r="A19" s="3035"/>
      <c r="B19" s="3032"/>
      <c r="C19" s="1316" t="s">
        <v>953</v>
      </c>
    </row>
    <row r="20" spans="1:3" ht="13.5">
      <c r="A20" s="3036"/>
      <c r="B20" s="3031" t="s">
        <v>954</v>
      </c>
      <c r="C20" s="3030"/>
    </row>
    <row r="21" spans="1:3" ht="13.5">
      <c r="A21" s="1317" t="s">
        <v>955</v>
      </c>
      <c r="B21" s="1318"/>
      <c r="C21" s="1319"/>
    </row>
    <row r="22" spans="1:3" ht="13.5">
      <c r="A22" s="3033" t="s">
        <v>956</v>
      </c>
      <c r="B22" s="3031" t="s">
        <v>957</v>
      </c>
      <c r="C22" s="3030"/>
    </row>
    <row r="23" spans="1:3" ht="13.5">
      <c r="A23" s="3033"/>
      <c r="B23" s="3031" t="s">
        <v>958</v>
      </c>
      <c r="C23" s="3030"/>
    </row>
    <row r="24" spans="1:3" ht="13.5">
      <c r="A24" s="3033"/>
      <c r="B24" s="3031" t="s">
        <v>959</v>
      </c>
      <c r="C24" s="3030"/>
    </row>
    <row r="25" spans="1:3" ht="13.5">
      <c r="A25" s="3033"/>
      <c r="B25" s="3032" t="s">
        <v>960</v>
      </c>
      <c r="C25" s="1316" t="s">
        <v>961</v>
      </c>
    </row>
    <row r="26" spans="1:3" ht="13.5">
      <c r="A26" s="3033"/>
      <c r="B26" s="3032"/>
      <c r="C26" s="1316" t="s">
        <v>962</v>
      </c>
    </row>
    <row r="27" spans="1:3" ht="13.5">
      <c r="A27" s="3033"/>
      <c r="B27" s="3032"/>
      <c r="C27" s="1316" t="s">
        <v>963</v>
      </c>
    </row>
    <row r="28" spans="1:3" ht="13.5">
      <c r="A28" s="3033"/>
      <c r="B28" s="3032"/>
      <c r="C28" s="1316" t="s">
        <v>964</v>
      </c>
    </row>
    <row r="29" spans="1:3" ht="13.5">
      <c r="A29" s="3033"/>
      <c r="B29" s="3032"/>
      <c r="C29" s="1316" t="s">
        <v>965</v>
      </c>
    </row>
    <row r="30" spans="1:3" ht="13.5">
      <c r="A30" s="3033"/>
      <c r="B30" s="3032"/>
      <c r="C30" s="1316" t="s">
        <v>966</v>
      </c>
    </row>
    <row r="31" spans="1:3" ht="13.5">
      <c r="A31" s="3033"/>
      <c r="B31" s="3032"/>
      <c r="C31" s="1316" t="s">
        <v>967</v>
      </c>
    </row>
    <row r="32" spans="1:3" ht="13.5">
      <c r="A32" s="3033"/>
      <c r="B32" s="3032"/>
      <c r="C32" s="1316" t="s">
        <v>968</v>
      </c>
    </row>
    <row r="33" spans="1:3" ht="13.5">
      <c r="A33" s="3033"/>
      <c r="B33" s="3032"/>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46097</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7" t="s">
        <v>2062</v>
      </c>
      <c r="B17" s="3037"/>
      <c r="C17" s="3037"/>
      <c r="D17" s="3037"/>
      <c r="E17" s="3037"/>
      <c r="F17" s="3037"/>
      <c r="G17" s="3037"/>
      <c r="H17" s="3037"/>
    </row>
    <row r="18" spans="1:8" ht="24" customHeight="1">
      <c r="A18" s="3038" t="s">
        <v>2063</v>
      </c>
      <c r="B18" s="3038"/>
      <c r="C18" s="3038"/>
      <c r="D18" s="1984"/>
      <c r="E18" s="3039" t="s">
        <v>2064</v>
      </c>
      <c r="F18" s="3038"/>
      <c r="G18" s="3038"/>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48" priority="32" stopIfTrue="1" operator="equal">
      <formula>"已过期"</formula>
    </cfRule>
  </conditionalFormatting>
  <conditionalFormatting sqref="B4:B15">
    <cfRule type="cellIs" dxfId="147" priority="4" stopIfTrue="1" operator="equal">
      <formula>"已过期"</formula>
    </cfRule>
  </conditionalFormatting>
  <conditionalFormatting sqref="C7:C12">
    <cfRule type="expression" dxfId="146" priority="22">
      <formula>AND($C7-TODAY()&lt;30,TODAY()&lt;$C7)</formula>
    </cfRule>
    <cfRule type="cellIs" dxfId="145" priority="23" stopIfTrue="1" operator="lessThan">
      <formula>$B$2</formula>
    </cfRule>
  </conditionalFormatting>
  <conditionalFormatting sqref="C14:C15">
    <cfRule type="expression" dxfId="144" priority="7">
      <formula>AND($C14-TODAY()&lt;30,TODAY()&lt;$C14)</formula>
    </cfRule>
    <cfRule type="cellIs" dxfId="143" priority="8" stopIfTrue="1" operator="lessThan">
      <formula>$B$2</formula>
    </cfRule>
  </conditionalFormatting>
  <conditionalFormatting sqref="C4:D6 D14">
    <cfRule type="cellIs" dxfId="142" priority="50" stopIfTrue="1" operator="lessThan">
      <formula>$B$2</formula>
    </cfRule>
  </conditionalFormatting>
  <conditionalFormatting sqref="C12:D13">
    <cfRule type="expression" dxfId="141" priority="47">
      <formula>AND($C12-TODAY()&lt;30,TODAY()&lt;$C12)</formula>
    </cfRule>
  </conditionalFormatting>
  <conditionalFormatting sqref="C13:D14">
    <cfRule type="expression" dxfId="140" priority="18">
      <formula>AND($C13-TODAY()&lt;30,TODAY()&lt;$C13)</formula>
    </cfRule>
    <cfRule type="cellIs" dxfId="139" priority="19" stopIfTrue="1" operator="lessThan">
      <formula>$B$2</formula>
    </cfRule>
  </conditionalFormatting>
  <conditionalFormatting sqref="C15:D15">
    <cfRule type="expression" dxfId="138" priority="5">
      <formula>AND($C15-TODAY()&lt;30,TODAY()&lt;$C15)</formula>
    </cfRule>
    <cfRule type="cellIs" dxfId="137" priority="6" stopIfTrue="1" operator="lessThan">
      <formula>$B$2</formula>
    </cfRule>
  </conditionalFormatting>
  <conditionalFormatting sqref="C20:D20 C13:D13">
    <cfRule type="cellIs" dxfId="136" priority="54" stopIfTrue="1" operator="lessThan">
      <formula>$B$2</formula>
    </cfRule>
  </conditionalFormatting>
  <conditionalFormatting sqref="C20:D20">
    <cfRule type="expression" dxfId="135" priority="52">
      <formula>AND($C20-TODAY()&lt;30,TODAY()&lt;$C20)</formula>
    </cfRule>
  </conditionalFormatting>
  <conditionalFormatting sqref="D7:D12 D16">
    <cfRule type="expression" dxfId="134" priority="53">
      <formula>AND($C7-TODAY()&lt;30,TODAY()&lt;$C7)</formula>
    </cfRule>
  </conditionalFormatting>
  <conditionalFormatting sqref="D7:D12">
    <cfRule type="cellIs" dxfId="133" priority="48" stopIfTrue="1" operator="lessThan">
      <formula>$B$2</formula>
    </cfRule>
  </conditionalFormatting>
  <conditionalFormatting sqref="D14 C4:D6">
    <cfRule type="expression" dxfId="132" priority="49">
      <formula>AND($C4-TODAY()&lt;30,TODAY()&lt;$C4)</formula>
    </cfRule>
  </conditionalFormatting>
  <conditionalFormatting sqref="D15:D16">
    <cfRule type="expression" dxfId="131" priority="12">
      <formula>AND($C15-TODAY()&lt;30,TODAY()&lt;$C15)</formula>
    </cfRule>
    <cfRule type="cellIs" dxfId="130" priority="13" stopIfTrue="1" operator="lessThan">
      <formula>$B$2</formula>
    </cfRule>
  </conditionalFormatting>
  <conditionalFormatting sqref="E16:G16">
    <cfRule type="cellIs" dxfId="129" priority="31" stopIfTrue="1" operator="equal">
      <formula>"已过期"</formula>
    </cfRule>
  </conditionalFormatting>
  <conditionalFormatting sqref="F4:F15">
    <cfRule type="cellIs" dxfId="128" priority="9" stopIfTrue="1" operator="equal">
      <formula>"已过期"</formula>
    </cfRule>
  </conditionalFormatting>
  <conditionalFormatting sqref="G4:G15">
    <cfRule type="cellIs" dxfId="127" priority="3" stopIfTrue="1" operator="lessThan">
      <formula>$B$2</formula>
    </cfRule>
  </conditionalFormatting>
  <conditionalFormatting sqref="G20:G21">
    <cfRule type="expression" dxfId="126" priority="1" stopIfTrue="1">
      <formula>AND(#REF!-TODAY()&lt;30,TODAY()&lt;#REF!)</formula>
    </cfRule>
    <cfRule type="cellIs" dxfId="1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比较法-住宅</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'比较法-住宅'!住宅朝向</vt:lpstr>
      <vt:lpstr>'比较法-住宅'!住宅房型</vt:lpstr>
      <vt:lpstr>'比较法-住宅'!住宅公共部分装修</vt:lpstr>
      <vt:lpstr>'比较法-住宅'!住宅基础设施水平</vt:lpstr>
      <vt:lpstr>'比较法-住宅'!住宅建筑结构</vt:lpstr>
      <vt:lpstr>'比较法-住宅'!住宅建筑类型</vt:lpstr>
      <vt:lpstr>'比较法-住宅'!住宅建筑品质</vt:lpstr>
      <vt:lpstr>'比较法-住宅'!住宅交易情况</vt:lpstr>
      <vt:lpstr>'比较法-住宅'!住宅楼层</vt:lpstr>
      <vt:lpstr>'比较法-住宅'!住宅内部装修</vt:lpstr>
      <vt:lpstr>'比较法-住宅'!住宅物业管理</vt:lpstr>
      <vt:lpstr>'比较法-住宅'!住宅用途</vt:lpstr>
      <vt:lpstr>'比较法-住宅'!住宅主力户型面积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2026-03-16T07:07:04Z</dcterms:modified>
</cp:coreProperties>
</file>