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13_ncr:1_{298ACBE7-4B7F-416F-8EA8-FAC9EB2FC691}" xr6:coauthVersionLast="47" xr6:coauthVersionMax="47" xr10:uidLastSave="{00000000-0000-0000-0000-000000000000}"/>
  <bookViews>
    <workbookView xWindow="-120" yWindow="-120" windowWidth="38640" windowHeight="21240" xr2:uid="{00000000-000D-0000-FFFF-FFFF00000000}"/>
  </bookViews>
  <sheets>
    <sheet name="比较法-住宅" sheetId="3" r:id="rId1"/>
    <sheet name="Sheet2" sheetId="2" r:id="rId2"/>
  </sheets>
  <externalReferences>
    <externalReference r:id="rId3"/>
  </externalReferences>
  <definedNames>
    <definedName name="_xlnm._FilterDatabase" localSheetId="0" hidden="1">'比较法-住宅'!$A$1:$L$49</definedName>
    <definedName name="_xlnm.Print_Area" localSheetId="0">'比较法-住宅'!$A$1:$K$54,'比较法-住宅'!$A$57:$M$131</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'[1]比较法-车位'!$B$83:$M$83</definedName>
    <definedName name="车位交易情况">'[1]比较法-车位'!$A$51:$M$51</definedName>
    <definedName name="车位类型">'[1]比较法-车位'!$B$93:$M$93</definedName>
    <definedName name="车位楼层">'[1]比较法-车位'!$B$71:$M$71</definedName>
    <definedName name="车位配套类型">'[1]比较法-车位'!$B$79:$M$79</definedName>
    <definedName name="车位物业等级">'[1]比较法-车位'!$B$88:$M$88</definedName>
    <definedName name="车位用途">'[1]比较法-车位'!$B$53:$M$53</definedName>
    <definedName name="城镇土地纳税等级分级范围">'[1]数据-取费表'!$A$53:$A$63</definedName>
    <definedName name="单价内涵">[1]定义!$V$1:$V$3</definedName>
    <definedName name="地类判定">[1]定义!$H$1:$H$9</definedName>
    <definedName name="法定最高年限">[1]定义!$G$1:$G$6</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七通一平">[1]修正!$A$8:$A$16</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[1]修正!$C$73:$C$140</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是否封闭">'[1]比较法-仓储'!$B$89:$M$89</definedName>
    <definedName name="是否直接入户">'[1]比较法-车位'!$B$95:$M$95</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[1]估价师及机构信息!$A$3:$A$16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3" l="1"/>
  <c r="E47" i="3"/>
  <c r="I5" i="3"/>
  <c r="G5" i="3"/>
  <c r="E5" i="3"/>
  <c r="Y31" i="2"/>
  <c r="Y30" i="2"/>
  <c r="Y29" i="2"/>
  <c r="Y28" i="2"/>
  <c r="Y27" i="2"/>
  <c r="Y26" i="2"/>
  <c r="AF39" i="2"/>
  <c r="AF38" i="2"/>
  <c r="AF37" i="2"/>
  <c r="AF36" i="2"/>
  <c r="AF35" i="2"/>
  <c r="AF32" i="2"/>
  <c r="AF31" i="2"/>
  <c r="AF30" i="2"/>
  <c r="Y17" i="2"/>
  <c r="Y18" i="2"/>
  <c r="Y19" i="2"/>
  <c r="Y20" i="2"/>
  <c r="Y21" i="2"/>
  <c r="Y22" i="2"/>
  <c r="Y23" i="2"/>
  <c r="AF26" i="2"/>
  <c r="AF27" i="2"/>
  <c r="AF28" i="2"/>
  <c r="AF29" i="2"/>
  <c r="Y7" i="2"/>
  <c r="Y8" i="2"/>
  <c r="Y9" i="2"/>
  <c r="Y10" i="2"/>
  <c r="Y11" i="2"/>
  <c r="Y12" i="2"/>
  <c r="Y16" i="2"/>
  <c r="G47" i="3" s="1"/>
  <c r="C145" i="3"/>
  <c r="J142" i="3"/>
  <c r="J140" i="3"/>
  <c r="K145" i="3" s="1"/>
  <c r="K139" i="3"/>
  <c r="K141" i="3" s="1"/>
  <c r="B130" i="3"/>
  <c r="B128" i="3"/>
  <c r="B126" i="3"/>
  <c r="E125" i="3"/>
  <c r="F125" i="3" s="1"/>
  <c r="G125" i="3" s="1"/>
  <c r="D125" i="3"/>
  <c r="E123" i="3"/>
  <c r="F123" i="3" s="1"/>
  <c r="G123" i="3" s="1"/>
  <c r="H123" i="3" s="1"/>
  <c r="I123" i="3" s="1"/>
  <c r="J123" i="3" s="1"/>
  <c r="K123" i="3" s="1"/>
  <c r="L123" i="3" s="1"/>
  <c r="M123" i="3" s="1"/>
  <c r="D123" i="3"/>
  <c r="E119" i="3"/>
  <c r="F119" i="3" s="1"/>
  <c r="G119" i="3" s="1"/>
  <c r="H119" i="3" s="1"/>
  <c r="I119" i="3" s="1"/>
  <c r="J119" i="3" s="1"/>
  <c r="K119" i="3" s="1"/>
  <c r="L119" i="3" s="1"/>
  <c r="M119" i="3" s="1"/>
  <c r="D119" i="3"/>
  <c r="E117" i="3"/>
  <c r="F117" i="3" s="1"/>
  <c r="G117" i="3" s="1"/>
  <c r="D117" i="3"/>
  <c r="E115" i="3"/>
  <c r="F115" i="3" s="1"/>
  <c r="G115" i="3" s="1"/>
  <c r="H115" i="3" s="1"/>
  <c r="I115" i="3" s="1"/>
  <c r="J115" i="3" s="1"/>
  <c r="K115" i="3" s="1"/>
  <c r="L115" i="3" s="1"/>
  <c r="M115" i="3" s="1"/>
  <c r="D115" i="3"/>
  <c r="D113" i="3"/>
  <c r="E113" i="3" s="1"/>
  <c r="F113" i="3" s="1"/>
  <c r="G113" i="3" s="1"/>
  <c r="H113" i="3" s="1"/>
  <c r="H111" i="3"/>
  <c r="G111" i="3"/>
  <c r="F111" i="3"/>
  <c r="E111" i="3"/>
  <c r="D111" i="3"/>
  <c r="C111" i="3"/>
  <c r="D110" i="3"/>
  <c r="E110" i="3" s="1"/>
  <c r="F110" i="3" s="1"/>
  <c r="G110" i="3" s="1"/>
  <c r="H110" i="3" s="1"/>
  <c r="I110" i="3" s="1"/>
  <c r="J110" i="3" s="1"/>
  <c r="K110" i="3" s="1"/>
  <c r="L110" i="3" s="1"/>
  <c r="M110" i="3" s="1"/>
  <c r="D108" i="3"/>
  <c r="E108" i="3" s="1"/>
  <c r="F108" i="3" s="1"/>
  <c r="G108" i="3" s="1"/>
  <c r="H108" i="3" s="1"/>
  <c r="I108" i="3" s="1"/>
  <c r="J108" i="3" s="1"/>
  <c r="K108" i="3" s="1"/>
  <c r="L108" i="3" s="1"/>
  <c r="M108" i="3" s="1"/>
  <c r="D106" i="3"/>
  <c r="E106" i="3" s="1"/>
  <c r="F106" i="3" s="1"/>
  <c r="G106" i="3" s="1"/>
  <c r="H106" i="3" s="1"/>
  <c r="I106" i="3" s="1"/>
  <c r="J106" i="3" s="1"/>
  <c r="K106" i="3" s="1"/>
  <c r="L106" i="3" s="1"/>
  <c r="M106" i="3" s="1"/>
  <c r="M102" i="3"/>
  <c r="L102" i="3"/>
  <c r="K102" i="3"/>
  <c r="J102" i="3"/>
  <c r="I102" i="3"/>
  <c r="H102" i="3"/>
  <c r="G102" i="3"/>
  <c r="F102" i="3"/>
  <c r="E102" i="3"/>
  <c r="D102" i="3"/>
  <c r="C102" i="3"/>
  <c r="E101" i="3"/>
  <c r="F101" i="3" s="1"/>
  <c r="G101" i="3" s="1"/>
  <c r="H101" i="3" s="1"/>
  <c r="I101" i="3" s="1"/>
  <c r="J101" i="3" s="1"/>
  <c r="K101" i="3" s="1"/>
  <c r="L101" i="3" s="1"/>
  <c r="M101" i="3" s="1"/>
  <c r="D101" i="3"/>
  <c r="B98" i="3"/>
  <c r="B96" i="3"/>
  <c r="B94" i="3"/>
  <c r="B92" i="3"/>
  <c r="B90" i="3"/>
  <c r="D89" i="3"/>
  <c r="E89" i="3" s="1"/>
  <c r="F89" i="3" s="1"/>
  <c r="G89" i="3" s="1"/>
  <c r="H89" i="3" s="1"/>
  <c r="I89" i="3" s="1"/>
  <c r="J89" i="3" s="1"/>
  <c r="K89" i="3" s="1"/>
  <c r="L89" i="3" s="1"/>
  <c r="M89" i="3" s="1"/>
  <c r="M87" i="3"/>
  <c r="L87" i="3"/>
  <c r="K87" i="3"/>
  <c r="J87" i="3"/>
  <c r="I87" i="3"/>
  <c r="H87" i="3"/>
  <c r="G87" i="3"/>
  <c r="F87" i="3"/>
  <c r="E87" i="3"/>
  <c r="D87" i="3"/>
  <c r="D85" i="3"/>
  <c r="E85" i="3" s="1"/>
  <c r="F85" i="3" s="1"/>
  <c r="G85" i="3" s="1"/>
  <c r="D83" i="3"/>
  <c r="E83" i="3" s="1"/>
  <c r="F83" i="3" s="1"/>
  <c r="G83" i="3" s="1"/>
  <c r="D81" i="3"/>
  <c r="E81" i="3" s="1"/>
  <c r="F81" i="3" s="1"/>
  <c r="G81" i="3" s="1"/>
  <c r="D79" i="3"/>
  <c r="E79" i="3" s="1"/>
  <c r="F79" i="3" s="1"/>
  <c r="G79" i="3" s="1"/>
  <c r="D77" i="3"/>
  <c r="E77" i="3" s="1"/>
  <c r="F77" i="3" s="1"/>
  <c r="G77" i="3" s="1"/>
  <c r="B74" i="3"/>
  <c r="B72" i="3"/>
  <c r="B70" i="3"/>
  <c r="E69" i="3"/>
  <c r="F69" i="3" s="1"/>
  <c r="G69" i="3" s="1"/>
  <c r="H69" i="3" s="1"/>
  <c r="I69" i="3" s="1"/>
  <c r="J69" i="3" s="1"/>
  <c r="K69" i="3" s="1"/>
  <c r="L69" i="3" s="1"/>
  <c r="M69" i="3" s="1"/>
  <c r="D69" i="3"/>
  <c r="M67" i="3"/>
  <c r="L67" i="3"/>
  <c r="K67" i="3"/>
  <c r="J67" i="3"/>
  <c r="I67" i="3"/>
  <c r="H67" i="3"/>
  <c r="G67" i="3"/>
  <c r="F67" i="3"/>
  <c r="E67" i="3"/>
  <c r="D67" i="3"/>
  <c r="C67" i="3"/>
  <c r="C63" i="3"/>
  <c r="H59" i="3"/>
  <c r="G59" i="3"/>
  <c r="P49" i="3"/>
  <c r="P48" i="3"/>
  <c r="K48" i="3"/>
  <c r="P47" i="3"/>
  <c r="R47" i="3"/>
  <c r="Q46" i="3"/>
  <c r="Z46" i="3" s="1"/>
  <c r="J46" i="3"/>
  <c r="AC46" i="3" s="1"/>
  <c r="H46" i="3"/>
  <c r="AB46" i="3" s="1"/>
  <c r="F46" i="3"/>
  <c r="AA46" i="3" s="1"/>
  <c r="Q45" i="3"/>
  <c r="Z45" i="3" s="1"/>
  <c r="J45" i="3"/>
  <c r="AC45" i="3" s="1"/>
  <c r="H45" i="3"/>
  <c r="AB45" i="3" s="1"/>
  <c r="F45" i="3"/>
  <c r="AA45" i="3" s="1"/>
  <c r="Q44" i="3"/>
  <c r="Z44" i="3" s="1"/>
  <c r="J44" i="3"/>
  <c r="AC44" i="3" s="1"/>
  <c r="H44" i="3"/>
  <c r="AB44" i="3" s="1"/>
  <c r="F44" i="3"/>
  <c r="AA44" i="3" s="1"/>
  <c r="Q43" i="3"/>
  <c r="Z43" i="3" s="1"/>
  <c r="J43" i="3"/>
  <c r="AC43" i="3" s="1"/>
  <c r="H43" i="3"/>
  <c r="AB43" i="3" s="1"/>
  <c r="F43" i="3"/>
  <c r="AA43" i="3" s="1"/>
  <c r="Q42" i="3"/>
  <c r="Z42" i="3" s="1"/>
  <c r="J42" i="3"/>
  <c r="AC42" i="3" s="1"/>
  <c r="H42" i="3"/>
  <c r="AB42" i="3" s="1"/>
  <c r="F42" i="3"/>
  <c r="AA42" i="3" s="1"/>
  <c r="Q41" i="3"/>
  <c r="Z41" i="3" s="1"/>
  <c r="J41" i="3"/>
  <c r="AC41" i="3" s="1"/>
  <c r="H41" i="3"/>
  <c r="AB41" i="3" s="1"/>
  <c r="F41" i="3"/>
  <c r="AA41" i="3" s="1"/>
  <c r="Q40" i="3"/>
  <c r="Z40" i="3" s="1"/>
  <c r="J40" i="3"/>
  <c r="AC40" i="3" s="1"/>
  <c r="H40" i="3"/>
  <c r="AB40" i="3" s="1"/>
  <c r="F40" i="3"/>
  <c r="AA40" i="3" s="1"/>
  <c r="Q39" i="3"/>
  <c r="Z39" i="3" s="1"/>
  <c r="J39" i="3"/>
  <c r="AC39" i="3" s="1"/>
  <c r="H39" i="3"/>
  <c r="AB39" i="3" s="1"/>
  <c r="F39" i="3"/>
  <c r="AA39" i="3" s="1"/>
  <c r="Q38" i="3"/>
  <c r="Z38" i="3" s="1"/>
  <c r="J38" i="3"/>
  <c r="AC38" i="3" s="1"/>
  <c r="H38" i="3"/>
  <c r="AB38" i="3" s="1"/>
  <c r="F38" i="3"/>
  <c r="AA38" i="3" s="1"/>
  <c r="Q37" i="3"/>
  <c r="Z37" i="3" s="1"/>
  <c r="G37" i="3"/>
  <c r="H37" i="3" s="1"/>
  <c r="E37" i="3"/>
  <c r="F37" i="3" s="1"/>
  <c r="Q36" i="3"/>
  <c r="Z36" i="3" s="1"/>
  <c r="J36" i="3"/>
  <c r="AC36" i="3" s="1"/>
  <c r="H36" i="3"/>
  <c r="AB36" i="3" s="1"/>
  <c r="F36" i="3"/>
  <c r="AA36" i="3" s="1"/>
  <c r="Q35" i="3"/>
  <c r="Z35" i="3" s="1"/>
  <c r="J35" i="3"/>
  <c r="AC35" i="3" s="1"/>
  <c r="H35" i="3"/>
  <c r="AB35" i="3" s="1"/>
  <c r="F35" i="3"/>
  <c r="AA35" i="3" s="1"/>
  <c r="Q34" i="3"/>
  <c r="Z34" i="3" s="1"/>
  <c r="J34" i="3"/>
  <c r="AC34" i="3" s="1"/>
  <c r="H34" i="3"/>
  <c r="AB34" i="3" s="1"/>
  <c r="F34" i="3"/>
  <c r="AA34" i="3" s="1"/>
  <c r="Q33" i="3"/>
  <c r="Z33" i="3" s="1"/>
  <c r="J33" i="3"/>
  <c r="AC33" i="3" s="1"/>
  <c r="F33" i="3"/>
  <c r="H33" i="3"/>
  <c r="Q32" i="3"/>
  <c r="Z32" i="3" s="1"/>
  <c r="J32" i="3"/>
  <c r="AC32" i="3" s="1"/>
  <c r="H32" i="3"/>
  <c r="AB32" i="3" s="1"/>
  <c r="F32" i="3"/>
  <c r="AA32" i="3" s="1"/>
  <c r="Q31" i="3"/>
  <c r="Z31" i="3" s="1"/>
  <c r="J31" i="3"/>
  <c r="AC31" i="3" s="1"/>
  <c r="H31" i="3"/>
  <c r="AB31" i="3" s="1"/>
  <c r="F31" i="3"/>
  <c r="S31" i="3" s="1"/>
  <c r="Z30" i="3"/>
  <c r="Q30" i="3"/>
  <c r="J30" i="3"/>
  <c r="AC30" i="3" s="1"/>
  <c r="H30" i="3"/>
  <c r="AB30" i="3" s="1"/>
  <c r="F30" i="3"/>
  <c r="AA30" i="3" s="1"/>
  <c r="Q29" i="3"/>
  <c r="Z29" i="3" s="1"/>
  <c r="J29" i="3"/>
  <c r="AC29" i="3" s="1"/>
  <c r="H29" i="3"/>
  <c r="AB29" i="3" s="1"/>
  <c r="F29" i="3"/>
  <c r="AA29" i="3" s="1"/>
  <c r="U28" i="3"/>
  <c r="Q28" i="3"/>
  <c r="Z28" i="3" s="1"/>
  <c r="J28" i="3"/>
  <c r="AC28" i="3" s="1"/>
  <c r="H28" i="3"/>
  <c r="AB28" i="3" s="1"/>
  <c r="F28" i="3"/>
  <c r="AA28" i="3" s="1"/>
  <c r="AA27" i="3"/>
  <c r="Q27" i="3"/>
  <c r="Z27" i="3" s="1"/>
  <c r="J27" i="3"/>
  <c r="AC27" i="3" s="1"/>
  <c r="H27" i="3"/>
  <c r="AB27" i="3" s="1"/>
  <c r="F27" i="3"/>
  <c r="S27" i="3" s="1"/>
  <c r="Q26" i="3"/>
  <c r="Z26" i="3" s="1"/>
  <c r="J26" i="3"/>
  <c r="AC26" i="3" s="1"/>
  <c r="H26" i="3"/>
  <c r="AB26" i="3" s="1"/>
  <c r="F26" i="3"/>
  <c r="AA26" i="3" s="1"/>
  <c r="AC25" i="3"/>
  <c r="Q25" i="3"/>
  <c r="Z25" i="3" s="1"/>
  <c r="J25" i="3"/>
  <c r="W25" i="3" s="1"/>
  <c r="H25" i="3"/>
  <c r="AB25" i="3" s="1"/>
  <c r="F25" i="3"/>
  <c r="AA25" i="3" s="1"/>
  <c r="Q23" i="3"/>
  <c r="Z23" i="3" s="1"/>
  <c r="J23" i="3"/>
  <c r="AC23" i="3" s="1"/>
  <c r="H23" i="3"/>
  <c r="U23" i="3" s="1"/>
  <c r="F23" i="3"/>
  <c r="AA23" i="3" s="1"/>
  <c r="C23" i="3"/>
  <c r="Q21" i="3"/>
  <c r="Z21" i="3" s="1"/>
  <c r="J21" i="3"/>
  <c r="AC21" i="3" s="1"/>
  <c r="H21" i="3"/>
  <c r="AB21" i="3" s="1"/>
  <c r="F21" i="3"/>
  <c r="C21" i="3"/>
  <c r="Q19" i="3"/>
  <c r="Z19" i="3" s="1"/>
  <c r="J19" i="3"/>
  <c r="W19" i="3" s="1"/>
  <c r="H19" i="3"/>
  <c r="U19" i="3" s="1"/>
  <c r="F19" i="3"/>
  <c r="S19" i="3" s="1"/>
  <c r="C19" i="3"/>
  <c r="Q17" i="3"/>
  <c r="Z17" i="3" s="1"/>
  <c r="J17" i="3"/>
  <c r="AC17" i="3" s="1"/>
  <c r="H17" i="3"/>
  <c r="U17" i="3" s="1"/>
  <c r="F17" i="3"/>
  <c r="S17" i="3" s="1"/>
  <c r="C17" i="3"/>
  <c r="Q15" i="3"/>
  <c r="Z15" i="3" s="1"/>
  <c r="J15" i="3"/>
  <c r="W15" i="3" s="1"/>
  <c r="H15" i="3"/>
  <c r="AB15" i="3" s="1"/>
  <c r="F15" i="3"/>
  <c r="S15" i="3" s="1"/>
  <c r="C15" i="3"/>
  <c r="Q14" i="3"/>
  <c r="Z14" i="3" s="1"/>
  <c r="J14" i="3"/>
  <c r="AC14" i="3" s="1"/>
  <c r="H14" i="3"/>
  <c r="AB14" i="3" s="1"/>
  <c r="F14" i="3"/>
  <c r="AA14" i="3" s="1"/>
  <c r="Q13" i="3"/>
  <c r="Z13" i="3" s="1"/>
  <c r="J13" i="3"/>
  <c r="AC13" i="3" s="1"/>
  <c r="H13" i="3"/>
  <c r="AB13" i="3" s="1"/>
  <c r="F13" i="3"/>
  <c r="AA13" i="3" s="1"/>
  <c r="Q12" i="3"/>
  <c r="Z12" i="3" s="1"/>
  <c r="J12" i="3"/>
  <c r="AC12" i="3" s="1"/>
  <c r="H12" i="3"/>
  <c r="AB12" i="3" s="1"/>
  <c r="F12" i="3"/>
  <c r="AA12" i="3" s="1"/>
  <c r="Q11" i="3"/>
  <c r="Z11" i="3" s="1"/>
  <c r="J11" i="3"/>
  <c r="AC11" i="3" s="1"/>
  <c r="H11" i="3"/>
  <c r="AB11" i="3" s="1"/>
  <c r="F11" i="3"/>
  <c r="AA11" i="3" s="1"/>
  <c r="Q10" i="3"/>
  <c r="Z10" i="3" s="1"/>
  <c r="J10" i="3"/>
  <c r="AC10" i="3" s="1"/>
  <c r="H10" i="3"/>
  <c r="AB10" i="3" s="1"/>
  <c r="F10" i="3"/>
  <c r="AA10" i="3" s="1"/>
  <c r="Q9" i="3"/>
  <c r="Z9" i="3" s="1"/>
  <c r="J9" i="3"/>
  <c r="AC9" i="3" s="1"/>
  <c r="H9" i="3"/>
  <c r="AB9" i="3" s="1"/>
  <c r="F9" i="3"/>
  <c r="AA9" i="3" s="1"/>
  <c r="J8" i="3"/>
  <c r="AC8" i="3" s="1"/>
  <c r="H8" i="3"/>
  <c r="U8" i="3" s="1"/>
  <c r="F8" i="3"/>
  <c r="S8" i="3" s="1"/>
  <c r="C58" i="3"/>
  <c r="D58" i="3" s="1"/>
  <c r="E58" i="3" s="1"/>
  <c r="F58" i="3" s="1"/>
  <c r="G58" i="3" s="1"/>
  <c r="H58" i="3" s="1"/>
  <c r="I58" i="3" s="1"/>
  <c r="J58" i="3" s="1"/>
  <c r="K58" i="3" s="1"/>
  <c r="L58" i="3" s="1"/>
  <c r="M58" i="3" s="1"/>
  <c r="N58" i="3" s="1"/>
  <c r="O58" i="3" s="1"/>
  <c r="D3" i="3"/>
  <c r="Y6" i="2"/>
  <c r="D2" i="3"/>
  <c r="G54" i="3" l="1"/>
  <c r="H54" i="3" s="1"/>
  <c r="V47" i="3"/>
  <c r="J7" i="3"/>
  <c r="W7" i="3" s="1"/>
  <c r="H7" i="3"/>
  <c r="U7" i="3" s="1"/>
  <c r="F7" i="3"/>
  <c r="AA7" i="3" s="1"/>
  <c r="W8" i="3"/>
  <c r="S9" i="3"/>
  <c r="U10" i="3"/>
  <c r="W11" i="3"/>
  <c r="S13" i="3"/>
  <c r="U14" i="3"/>
  <c r="U15" i="3"/>
  <c r="AC15" i="3"/>
  <c r="W17" i="3"/>
  <c r="AA19" i="3"/>
  <c r="AA21" i="3"/>
  <c r="S21" i="3"/>
  <c r="U21" i="3"/>
  <c r="AB23" i="3"/>
  <c r="W29" i="3"/>
  <c r="AA31" i="3"/>
  <c r="AA8" i="3"/>
  <c r="U9" i="3"/>
  <c r="W10" i="3"/>
  <c r="S12" i="3"/>
  <c r="U13" i="3"/>
  <c r="W14" i="3"/>
  <c r="AA17" i="3"/>
  <c r="AB19" i="3"/>
  <c r="U32" i="3"/>
  <c r="AA33" i="3"/>
  <c r="S33" i="3"/>
  <c r="AB8" i="3"/>
  <c r="W9" i="3"/>
  <c r="S11" i="3"/>
  <c r="U12" i="3"/>
  <c r="W13" i="3"/>
  <c r="AA15" i="3"/>
  <c r="AB17" i="3"/>
  <c r="AC19" i="3"/>
  <c r="AA37" i="3"/>
  <c r="S37" i="3"/>
  <c r="S10" i="3"/>
  <c r="U11" i="3"/>
  <c r="W12" i="3"/>
  <c r="S14" i="3"/>
  <c r="AB33" i="3"/>
  <c r="U33" i="3"/>
  <c r="AB37" i="3"/>
  <c r="U37" i="3"/>
  <c r="W33" i="3"/>
  <c r="S35" i="3"/>
  <c r="U36" i="3"/>
  <c r="S38" i="3"/>
  <c r="U39" i="3"/>
  <c r="W40" i="3"/>
  <c r="S42" i="3"/>
  <c r="U43" i="3"/>
  <c r="W44" i="3"/>
  <c r="S46" i="3"/>
  <c r="T47" i="3"/>
  <c r="K143" i="3"/>
  <c r="W21" i="3"/>
  <c r="W23" i="3"/>
  <c r="S26" i="3"/>
  <c r="U27" i="3"/>
  <c r="W28" i="3"/>
  <c r="S30" i="3"/>
  <c r="U31" i="3"/>
  <c r="W32" i="3"/>
  <c r="S34" i="3"/>
  <c r="U35" i="3"/>
  <c r="W36" i="3"/>
  <c r="U38" i="3"/>
  <c r="W39" i="3"/>
  <c r="S41" i="3"/>
  <c r="U42" i="3"/>
  <c r="W43" i="3"/>
  <c r="S45" i="3"/>
  <c r="U46" i="3"/>
  <c r="K144" i="3"/>
  <c r="S25" i="3"/>
  <c r="U26" i="3"/>
  <c r="W27" i="3"/>
  <c r="S29" i="3"/>
  <c r="U30" i="3"/>
  <c r="W31" i="3"/>
  <c r="U34" i="3"/>
  <c r="W35" i="3"/>
  <c r="I37" i="3"/>
  <c r="J37" i="3" s="1"/>
  <c r="W38" i="3"/>
  <c r="S40" i="3"/>
  <c r="U41" i="3"/>
  <c r="W42" i="3"/>
  <c r="S44" i="3"/>
  <c r="U45" i="3"/>
  <c r="W46" i="3"/>
  <c r="E54" i="3"/>
  <c r="F54" i="3" s="1"/>
  <c r="I54" i="3"/>
  <c r="J54" i="3" s="1"/>
  <c r="S23" i="3"/>
  <c r="U25" i="3"/>
  <c r="W26" i="3"/>
  <c r="S28" i="3"/>
  <c r="U29" i="3"/>
  <c r="W30" i="3"/>
  <c r="S32" i="3"/>
  <c r="W34" i="3"/>
  <c r="S36" i="3"/>
  <c r="S39" i="3"/>
  <c r="U40" i="3"/>
  <c r="W41" i="3"/>
  <c r="S43" i="3"/>
  <c r="U44" i="3"/>
  <c r="W45" i="3"/>
  <c r="R48" i="3" l="1"/>
  <c r="E48" i="3" s="1"/>
  <c r="AC7" i="3"/>
  <c r="V48" i="3" s="1"/>
  <c r="I48" i="3" s="1"/>
  <c r="I52" i="3" s="1"/>
  <c r="J52" i="3" s="1"/>
  <c r="T48" i="3"/>
  <c r="G48" i="3" s="1"/>
  <c r="G52" i="3" s="1"/>
  <c r="H52" i="3" s="1"/>
  <c r="AB7" i="3"/>
  <c r="S7" i="3"/>
  <c r="AC37" i="3"/>
  <c r="W37" i="3"/>
  <c r="G53" i="3" l="1"/>
  <c r="H53" i="3" s="1"/>
  <c r="R49" i="3"/>
  <c r="C49" i="3" s="1"/>
  <c r="E53" i="3"/>
  <c r="F53" i="3" s="1"/>
  <c r="E52" i="3"/>
  <c r="F52" i="3" s="1"/>
  <c r="I53" i="3"/>
  <c r="J53" i="3" s="1"/>
  <c r="C48" i="3" l="1"/>
  <c r="B2"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4BFC3D6B-498E-425B-9BA2-CC731C73F9C9}">
      <text>
        <r>
          <rPr>
            <b/>
            <sz val="9"/>
            <color indexed="81"/>
            <rFont val="宋体"/>
            <family val="3"/>
            <charset val="134"/>
          </rPr>
          <t>权重验证</t>
        </r>
        <r>
          <rPr>
            <sz val="9"/>
            <color indexed="81"/>
            <rFont val="宋体"/>
            <family val="3"/>
            <charset val="134"/>
          </rPr>
          <t xml:space="preserve">
</t>
        </r>
      </text>
    </comment>
    <comment ref="C58" authorId="1" shapeId="0" xr:uid="{6986E806-1467-40CD-9435-16D95D12FD7B}">
      <text>
        <r>
          <rPr>
            <b/>
            <sz val="12"/>
            <color indexed="81"/>
            <rFont val="宋体"/>
            <family val="3"/>
            <charset val="134"/>
          </rPr>
          <t>价值时点所在月度</t>
        </r>
        <r>
          <rPr>
            <sz val="12"/>
            <color indexed="81"/>
            <rFont val="宋体"/>
            <family val="3"/>
            <charset val="134"/>
          </rPr>
          <t xml:space="preserve">
</t>
        </r>
      </text>
    </comment>
    <comment ref="B102" authorId="1" shapeId="0" xr:uid="{633A4139-1A91-4B05-9451-326ACB2132E9}">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<sst xmlns="http://schemas.openxmlformats.org/spreadsheetml/2006/main" count="396" uniqueCount="138">
  <si>
    <t>西城天铸</t>
    <phoneticPr fontId="1" type="noConversion"/>
  </si>
  <si>
    <t>益丰苑</t>
    <phoneticPr fontId="1" type="noConversion"/>
  </si>
  <si>
    <t>玉璞家园</t>
    <phoneticPr fontId="1" type="noConversion"/>
  </si>
  <si>
    <t>泰禾西府玉苑</t>
    <phoneticPr fontId="1" type="noConversion"/>
  </si>
  <si>
    <t>保利百合</t>
    <phoneticPr fontId="1" type="noConversion"/>
  </si>
  <si>
    <t>南北</t>
  </si>
  <si>
    <t>南北</t>
    <phoneticPr fontId="1" type="noConversion"/>
  </si>
  <si>
    <t>2居室</t>
    <phoneticPr fontId="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</si>
  <si>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</si>
  <si>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</si>
  <si>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rFont val="宋体"/>
        <family val="3"/>
        <charset val="134"/>
      </rPr>
      <t>─</t>
    </r>
    <phoneticPr fontId="5" type="noConversion"/>
  </si>
  <si>
    <t>住宅</t>
  </si>
  <si>
    <t>单套模式</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</si>
  <si>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5" type="noConversion"/>
  </si>
  <si>
    <r>
      <rPr>
        <b/>
        <sz val="12"/>
        <rFont val="宋体"/>
        <family val="3"/>
        <charset val="134"/>
      </rPr>
      <t>总价</t>
    </r>
    <phoneticPr fontId="5" type="noConversion"/>
  </si>
  <si>
    <t>——</t>
  </si>
  <si>
    <r>
      <rPr>
        <b/>
        <sz val="12"/>
        <rFont val="宋体"/>
        <family val="3"/>
        <charset val="134"/>
      </rPr>
      <t>万元</t>
    </r>
    <phoneticPr fontId="5" type="noConversion"/>
  </si>
  <si>
    <r>
      <rPr>
        <b/>
        <sz val="12"/>
        <rFont val="宋体"/>
        <family val="3"/>
        <charset val="134"/>
      </rPr>
      <t>楼面单价</t>
    </r>
    <phoneticPr fontId="5" type="noConversion"/>
  </si>
  <si>
    <r>
      <rPr>
        <b/>
        <sz val="12"/>
        <rFont val="宋体"/>
        <family val="3"/>
        <charset val="134"/>
      </rPr>
      <t>建筑面积</t>
    </r>
    <phoneticPr fontId="5"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</si>
  <si>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</si>
  <si>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</si>
  <si>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</si>
  <si>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</si>
  <si>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</si>
  <si>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</si>
  <si>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</si>
  <si>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</si>
  <si>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</si>
  <si>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</si>
  <si>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t>100/</t>
    <phoneticPr fontId="5" type="noConversion"/>
  </si>
  <si>
    <r>
      <rPr>
        <b/>
        <sz val="11"/>
        <color indexed="8"/>
        <rFont val="宋体"/>
        <family val="3"/>
        <charset val="134"/>
      </rPr>
      <t>交易情况</t>
    </r>
    <phoneticPr fontId="5" type="noConversion"/>
  </si>
  <si>
    <t>正常</t>
  </si>
  <si>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</si>
  <si>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</si>
  <si>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</si>
  <si>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t>住宅</t>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</si>
  <si>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</si>
  <si>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</si>
  <si>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</si>
  <si>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</si>
  <si>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</si>
  <si>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color indexed="8"/>
        <rFont val="宋体"/>
        <family val="3"/>
        <charset val="134"/>
      </rPr>
      <t>居住社区成熟度</t>
    </r>
  </si>
  <si>
    <r>
      <rPr>
        <sz val="11"/>
        <rFont val="宋体"/>
        <family val="3"/>
        <charset val="134"/>
      </rPr>
      <t>区位状况</t>
    </r>
    <phoneticPr fontId="5" type="noConversion"/>
  </si>
  <si>
    <t>较好</t>
  </si>
  <si>
    <r>
      <rPr>
        <sz val="11"/>
        <color indexed="8"/>
        <rFont val="宋体"/>
        <family val="3"/>
        <charset val="134"/>
      </rPr>
      <t>交通便捷度</t>
    </r>
  </si>
  <si>
    <r>
      <rPr>
        <sz val="11"/>
        <color indexed="8"/>
        <rFont val="宋体"/>
        <family val="3"/>
        <charset val="134"/>
      </rPr>
      <t>公共配套设施</t>
    </r>
    <phoneticPr fontId="5" type="noConversion"/>
  </si>
  <si>
    <r>
      <rPr>
        <sz val="11"/>
        <color indexed="8"/>
        <rFont val="宋体"/>
        <family val="3"/>
        <charset val="134"/>
      </rPr>
      <t>基础设施水平</t>
    </r>
    <phoneticPr fontId="5" type="noConversion"/>
  </si>
  <si>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</si>
  <si>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</si>
  <si>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</si>
  <si>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</si>
  <si>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</si>
  <si>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</si>
  <si>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</si>
  <si>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</si>
  <si>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</si>
  <si>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</si>
  <si>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</si>
  <si>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</si>
  <si>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</si>
  <si>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</si>
  <si>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phoneticPr fontId="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</si>
  <si>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</si>
  <si>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</si>
  <si>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</si>
  <si>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t>普通装修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</si>
  <si>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</si>
  <si>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</si>
  <si>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t>——</t>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</si>
  <si>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</si>
  <si>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</si>
  <si>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</si>
  <si>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</si>
  <si>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</si>
  <si>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</si>
  <si>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</si>
  <si>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5" type="noConversion"/>
  </si>
  <si>
    <r>
      <rPr>
        <sz val="11"/>
        <color indexed="8"/>
        <rFont val="宋体"/>
        <family val="3"/>
        <charset val="134"/>
      </rPr>
      <t>正常</t>
    </r>
    <phoneticPr fontId="5" type="noConversion"/>
  </si>
  <si>
    <r>
      <rPr>
        <b/>
        <sz val="11"/>
        <rFont val="宋体"/>
        <family val="3"/>
        <charset val="134"/>
      </rPr>
      <t>权益状况</t>
    </r>
    <phoneticPr fontId="5"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</si>
  <si>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</si>
  <si>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</si>
  <si>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</si>
  <si>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</si>
  <si>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</si>
  <si>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</si>
  <si>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</si>
  <si>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</si>
  <si>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</si>
  <si>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</si>
  <si>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</si>
  <si>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</si>
  <si>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</si>
  <si>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朝向</t>
    </r>
    <phoneticPr fontId="5" type="noConversion"/>
  </si>
  <si>
    <t>南北</t>
    <phoneticPr fontId="5" type="noConversion"/>
  </si>
  <si>
    <r>
      <rPr>
        <sz val="11"/>
        <color indexed="8"/>
        <rFont val="宋体"/>
        <family val="3"/>
        <charset val="134"/>
      </rPr>
      <t>建筑类型</t>
    </r>
    <phoneticPr fontId="5" type="noConversion"/>
  </si>
  <si>
    <t>独栋</t>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</si>
  <si>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</si>
  <si>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</si>
  <si>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t>钢混</t>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</si>
  <si>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</si>
  <si>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</si>
  <si>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</si>
  <si>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</si>
  <si>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t>物业公司管理</t>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</si>
  <si>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</si>
  <si>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</si>
  <si>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t>精装修</t>
    <phoneticPr fontId="5" type="noConversion"/>
  </si>
  <si>
    <t>普通装修</t>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</si>
  <si>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</si>
  <si>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5" type="noConversion"/>
  </si>
  <si>
    <r>
      <rPr>
        <sz val="11"/>
        <color theme="1"/>
        <rFont val="宋体"/>
        <family val="3"/>
        <charset val="134"/>
      </rPr>
      <t>多层</t>
    </r>
    <phoneticPr fontId="5" type="noConversion"/>
  </si>
  <si>
    <r>
      <rPr>
        <sz val="11"/>
        <color theme="1"/>
        <rFont val="宋体"/>
        <family val="3"/>
        <charset val="134"/>
      </rPr>
      <t>高层</t>
    </r>
    <phoneticPr fontId="5" type="noConversion"/>
  </si>
  <si>
    <r>
      <rPr>
        <sz val="11"/>
        <color theme="1"/>
        <rFont val="宋体"/>
        <family val="3"/>
        <charset val="134"/>
      </rPr>
      <t>无电梯</t>
    </r>
    <phoneticPr fontId="5" type="noConversion"/>
  </si>
  <si>
    <r>
      <rPr>
        <sz val="11"/>
        <color theme="1"/>
        <rFont val="宋体"/>
        <family val="3"/>
        <charset val="134"/>
      </rPr>
      <t>增值项</t>
    </r>
    <phoneticPr fontId="5" type="noConversion"/>
  </si>
  <si>
    <r>
      <rPr>
        <sz val="11"/>
        <color theme="1"/>
        <rFont val="宋体"/>
        <family val="3"/>
        <charset val="134"/>
      </rPr>
      <t>系数</t>
    </r>
    <phoneticPr fontId="5" type="noConversion"/>
  </si>
  <si>
    <r>
      <rPr>
        <sz val="11"/>
        <color theme="1"/>
        <rFont val="宋体"/>
        <family val="3"/>
        <charset val="134"/>
      </rPr>
      <t>有电梯</t>
    </r>
    <phoneticPr fontId="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</si>
  <si>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5" type="noConversion"/>
  </si>
  <si>
    <r>
      <rPr>
        <sz val="11"/>
        <color theme="1"/>
        <rFont val="宋体"/>
        <family val="3"/>
        <charset val="134"/>
      </rPr>
      <t>层差</t>
    </r>
    <r>
      <rPr>
        <sz val="11"/>
        <color theme="1"/>
        <rFont val="Arial"/>
        <family val="2"/>
      </rPr>
      <t>/</t>
    </r>
    <r>
      <rPr>
        <sz val="11"/>
        <color theme="1"/>
        <rFont val="宋体"/>
        <family val="3"/>
        <charset val="134"/>
      </rPr>
      <t>系数</t>
    </r>
    <phoneticPr fontId="5" type="noConversion"/>
  </si>
  <si>
    <r>
      <rPr>
        <sz val="11"/>
        <color theme="1"/>
        <rFont val="宋体"/>
        <family val="3"/>
        <charset val="134"/>
      </rPr>
      <t>露台</t>
    </r>
    <phoneticPr fontId="5" type="noConversion"/>
  </si>
  <si>
    <r>
      <rPr>
        <sz val="11"/>
        <color theme="1"/>
        <rFont val="宋体"/>
        <family val="3"/>
        <charset val="134"/>
      </rPr>
      <t>总层数</t>
    </r>
    <phoneticPr fontId="5" type="noConversion"/>
  </si>
  <si>
    <r>
      <rPr>
        <sz val="11"/>
        <color theme="1"/>
        <rFont val="宋体"/>
        <family val="3"/>
        <charset val="134"/>
      </rPr>
      <t>中间层</t>
    </r>
    <phoneticPr fontId="5" type="noConversion"/>
  </si>
  <si>
    <r>
      <rPr>
        <sz val="11"/>
        <color theme="1"/>
        <rFont val="宋体"/>
        <family val="3"/>
        <charset val="134"/>
      </rPr>
      <t>首层</t>
    </r>
    <phoneticPr fontId="5" type="noConversion"/>
  </si>
  <si>
    <r>
      <rPr>
        <sz val="11"/>
        <color theme="1"/>
        <rFont val="宋体"/>
        <family val="3"/>
        <charset val="134"/>
      </rPr>
      <t>顶层</t>
    </r>
    <phoneticPr fontId="5" type="noConversion"/>
  </si>
  <si>
    <r>
      <rPr>
        <sz val="11"/>
        <color theme="1"/>
        <rFont val="宋体"/>
        <family val="3"/>
        <charset val="134"/>
      </rPr>
      <t>所在楼层</t>
    </r>
    <phoneticPr fontId="5" type="noConversion"/>
  </si>
  <si>
    <r>
      <rPr>
        <sz val="11"/>
        <color theme="1"/>
        <rFont val="宋体"/>
        <family val="3"/>
        <charset val="134"/>
      </rPr>
      <t>花园</t>
    </r>
    <phoneticPr fontId="5" type="noConversion"/>
  </si>
  <si>
    <r>
      <rPr>
        <sz val="11"/>
        <color theme="1"/>
        <rFont val="宋体"/>
        <family val="3"/>
        <charset val="134"/>
      </rPr>
      <t>最高最低差</t>
    </r>
    <phoneticPr fontId="5" type="noConversion"/>
  </si>
  <si>
    <r>
      <rPr>
        <sz val="12"/>
        <rFont val="宋体"/>
        <family val="3"/>
        <charset val="134"/>
      </rPr>
      <t>注意于无电梯多层的价值匹配</t>
    </r>
    <phoneticPr fontId="5" type="noConversion"/>
  </si>
  <si>
    <r>
      <rPr>
        <sz val="11"/>
        <color rgb="FFFF0000"/>
        <rFont val="宋体"/>
        <family val="3"/>
        <charset val="134"/>
      </rPr>
      <t>修正体系描述方式：</t>
    </r>
    <phoneticPr fontId="5"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</si>
  <si>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5" type="noConversion"/>
  </si>
  <si>
    <t>租金</t>
  </si>
  <si>
    <t>东南北</t>
    <phoneticPr fontId="1" type="noConversion"/>
  </si>
  <si>
    <t>3居室</t>
    <phoneticPr fontId="1" type="noConversion"/>
  </si>
  <si>
    <t>南</t>
    <phoneticPr fontId="1" type="noConversion"/>
  </si>
  <si>
    <t>1居室</t>
    <phoneticPr fontId="1" type="noConversion"/>
  </si>
  <si>
    <t>西</t>
    <phoneticPr fontId="1" type="noConversion"/>
  </si>
  <si>
    <t>西南</t>
    <phoneticPr fontId="1" type="noConversion"/>
  </si>
  <si>
    <t>琢玉园</t>
    <phoneticPr fontId="5" type="noConversion"/>
  </si>
  <si>
    <r>
      <rPr>
        <sz val="11"/>
        <rFont val="宋体"/>
        <family val="3"/>
        <charset val="134"/>
      </rPr>
      <t>项目位置</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</si>
</sst>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
    <numFmt numFmtId="178" formatCode="0.0000_ "/>
    <numFmt numFmtId="179" formatCode="yyyy&quot;年&quot;m&quot;月&quot;d&quot;日&quot;;@"/>
    <numFmt numFmtId="180" formatCode="0.000_);[Red]\(0.000\)"/>
    <numFmt numFmtId="181" formatCode="0.00_);[Red]\(0.00\)"/>
    <numFmt numFmtId="182" formatCode="yyyy&quot;年&quot;m&quot;月&quot;;@"/>
    <numFmt numFmtId="183" formatCode="0.0_ "/>
  </numFmts>
  <fonts count="43" x14ac:knownFonts="1">
    <font>
      <sz val="11"/>
      <color theme="1"/>
      <name val="等线"/>
      <family val="2"/>
      <scheme val="minor"/>
    </font>
    <font>
      <sz val="9"/>
      <name val="等线"/>
      <family val="3"/>
      <charset val="134"/>
      <scheme val="minor"/>
    </font>
    <font>
      <sz val="11"/>
      <color theme="1"/>
      <name val="等线"/>
      <family val="3"/>
      <charset val="134"/>
      <scheme val="minor"/>
    </font>
    <font>
      <b/>
      <sz val="16"/>
      <color rgb="FFFF0000"/>
      <name val="Arial"/>
      <family val="2"/>
    </font>
    <font>
      <b/>
      <sz val="16"/>
      <color rgb="FFFF0000"/>
      <name val="宋体"/>
      <family val="3"/>
      <charset val="134"/>
    </font>
    <font>
      <sz val="9"/>
      <name val="宋体"/>
      <family val="3"/>
      <charset val="134"/>
    </font>
    <font>
      <b/>
      <sz val="16"/>
      <name val="Arial"/>
      <family val="2"/>
    </font>
    <font>
      <b/>
      <sz val="16"/>
      <name val="宋体"/>
      <family val="3"/>
      <charset val="134"/>
    </font>
    <font>
      <b/>
      <sz val="16"/>
      <color indexed="10"/>
      <name val="Arial"/>
      <family val="2"/>
    </font>
    <font>
      <b/>
      <sz val="16"/>
      <color indexed="10"/>
      <name val="宋体"/>
      <family val="3"/>
      <charset val="134"/>
    </font>
    <font>
      <sz val="16"/>
      <name val="Arial"/>
      <family val="2"/>
    </font>
    <font>
      <b/>
      <sz val="12"/>
      <name val="Arial"/>
      <family val="2"/>
    </font>
    <font>
      <b/>
      <sz val="12"/>
      <name val="宋体"/>
      <family val="3"/>
      <charset val="134"/>
    </font>
    <font>
      <b/>
      <sz val="10"/>
      <name val="Arial"/>
      <family val="2"/>
    </font>
    <font>
      <sz val="12"/>
      <name val="Arial"/>
      <family val="2"/>
    </font>
    <font>
      <b/>
      <sz val="12"/>
      <color indexed="10"/>
      <name val="Arial"/>
      <family val="2"/>
    </font>
    <font>
      <b/>
      <sz val="11"/>
      <name val="Arial"/>
      <family val="2"/>
    </font>
    <font>
      <b/>
      <sz val="11"/>
      <name val="宋体"/>
      <family val="3"/>
      <charset val="134"/>
    </font>
    <font>
      <sz val="11"/>
      <name val="Arial"/>
      <family val="2"/>
    </font>
    <font>
      <sz val="11"/>
      <name val="宋体"/>
      <family val="3"/>
      <charset val="134"/>
    </font>
    <font>
      <sz val="11"/>
      <color indexed="8"/>
      <name val="Arial"/>
      <family val="2"/>
    </font>
    <font>
      <sz val="11"/>
      <color indexed="8"/>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6"/>
      <color indexed="8"/>
      <name val="Arial"/>
      <family val="2"/>
    </font>
    <font>
      <b/>
      <sz val="16"/>
      <color indexed="8"/>
      <name val="宋体"/>
      <family val="3"/>
      <charset val="134"/>
    </font>
    <font>
      <sz val="11"/>
      <color theme="1"/>
      <name val="Arial"/>
      <family val="2"/>
    </font>
    <font>
      <sz val="11"/>
      <color rgb="FFFF0000"/>
      <name val="Arial"/>
      <family val="2"/>
    </font>
    <font>
      <sz val="11"/>
      <color rgb="FFFF0000"/>
      <name val="宋体"/>
      <family val="3"/>
      <charset val="134"/>
    </font>
    <font>
      <sz val="11"/>
      <color theme="1"/>
      <name val="宋体"/>
      <family val="3"/>
      <charset val="134"/>
    </font>
    <font>
      <sz val="12"/>
      <name val="宋体"/>
      <family val="3"/>
      <charset val="134"/>
    </font>
    <font>
      <b/>
      <sz val="9"/>
      <color indexed="81"/>
      <name val="宋体"/>
      <family val="3"/>
      <charset val="134"/>
    </font>
    <font>
      <sz val="9"/>
      <color indexed="81"/>
      <name val="宋体"/>
      <family val="3"/>
      <charset val="134"/>
    </font>
    <font>
      <b/>
      <sz val="12"/>
      <color indexed="81"/>
      <name val="宋体"/>
      <family val="3"/>
      <charset val="134"/>
    </font>
    <font>
      <sz val="12"/>
      <color indexed="81"/>
      <name val="宋体"/>
      <family val="3"/>
      <charset val="134"/>
    </font>
  </fonts>
  <fills count="8">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theme="9" tint="-0.249977111117893"/>
        <bgColor indexed="64"/>
      </patternFill>
    </fill>
  </fills>
  <borders count="8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Dashed">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lignment vertical="center"/>
    </xf>
  </cellStyleXfs>
  <cellXfs count="394">
    <xf numFmtId="0" fontId="0" fillId="0" borderId="0" xfId="0"/>
    <xf numFmtId="0" fontId="3" fillId="2" borderId="1" xfId="1" applyFont="1" applyFill="1" applyBorder="1">
      <alignment vertical="center"/>
    </xf>
    <xf numFmtId="0" fontId="6" fillId="2" borderId="1" xfId="1" applyFont="1" applyFill="1" applyBorder="1" applyAlignment="1">
      <alignment horizontal="right" vertical="center"/>
    </xf>
    <xf numFmtId="0" fontId="6" fillId="2" borderId="2" xfId="1" applyFont="1" applyFill="1" applyBorder="1" applyAlignment="1">
      <alignment horizontal="center" vertical="center"/>
    </xf>
    <xf numFmtId="0" fontId="6" fillId="3" borderId="2" xfId="1" applyFont="1" applyFill="1" applyBorder="1" applyProtection="1">
      <alignment vertical="center"/>
      <protection locked="0"/>
    </xf>
    <xf numFmtId="0" fontId="6" fillId="4" borderId="3" xfId="1" applyFont="1" applyFill="1" applyBorder="1" applyProtection="1">
      <alignment vertical="center"/>
      <protection locked="0"/>
    </xf>
    <xf numFmtId="0" fontId="6" fillId="4" borderId="4" xfId="1" applyFont="1" applyFill="1" applyBorder="1" applyAlignment="1" applyProtection="1">
      <alignment horizontal="center" vertical="center"/>
      <protection locked="0"/>
    </xf>
    <xf numFmtId="0" fontId="8" fillId="2" borderId="2" xfId="1" applyFont="1" applyFill="1" applyBorder="1">
      <alignment vertical="center"/>
    </xf>
    <xf numFmtId="0" fontId="6" fillId="2" borderId="2" xfId="1" applyFont="1" applyFill="1" applyBorder="1">
      <alignment vertical="center"/>
    </xf>
    <xf numFmtId="176" fontId="6" fillId="2" borderId="2" xfId="1" applyNumberFormat="1" applyFont="1" applyFill="1" applyBorder="1" applyAlignment="1">
      <alignment horizontal="center" vertical="center"/>
    </xf>
    <xf numFmtId="177" fontId="6" fillId="2" borderId="2" xfId="1" applyNumberFormat="1" applyFont="1" applyFill="1" applyBorder="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10" fillId="2" borderId="6" xfId="1" applyFont="1" applyFill="1" applyBorder="1" applyAlignment="1">
      <alignment horizontal="center" vertical="center"/>
    </xf>
    <xf numFmtId="0" fontId="10" fillId="0" borderId="6" xfId="1" applyFont="1" applyBorder="1" applyAlignment="1" applyProtection="1">
      <alignment horizontal="center" vertical="center"/>
      <protection locked="0"/>
    </xf>
    <xf numFmtId="0" fontId="11" fillId="2" borderId="7" xfId="1" applyFont="1" applyFill="1" applyBorder="1">
      <alignment vertical="center"/>
    </xf>
    <xf numFmtId="178" fontId="11" fillId="2" borderId="7" xfId="1" applyNumberFormat="1" applyFont="1" applyFill="1" applyBorder="1" applyAlignment="1">
      <alignment horizontal="right" vertical="center"/>
    </xf>
    <xf numFmtId="0" fontId="13" fillId="4" borderId="8" xfId="1" applyFont="1" applyFill="1" applyBorder="1" applyProtection="1">
      <alignment vertical="center"/>
      <protection locked="0"/>
    </xf>
    <xf numFmtId="0" fontId="11" fillId="2" borderId="0" xfId="1" applyFont="1" applyFill="1">
      <alignment vertical="center"/>
    </xf>
    <xf numFmtId="0" fontId="11" fillId="2" borderId="9" xfId="1" applyFont="1" applyFill="1" applyBorder="1" applyProtection="1">
      <alignment vertical="center"/>
      <protection locked="0"/>
    </xf>
    <xf numFmtId="0" fontId="11" fillId="4" borderId="7" xfId="1" applyFont="1" applyFill="1" applyBorder="1" applyProtection="1">
      <alignment vertical="center"/>
      <protection locked="0"/>
    </xf>
    <xf numFmtId="0" fontId="11" fillId="2" borderId="0" xfId="1" applyFont="1" applyFill="1" applyProtection="1">
      <alignment vertical="center"/>
      <protection locked="0"/>
    </xf>
    <xf numFmtId="176" fontId="11" fillId="2" borderId="0" xfId="1" applyNumberFormat="1" applyFont="1" applyFill="1" applyAlignment="1" applyProtection="1">
      <alignment horizontal="center" vertical="center"/>
      <protection locked="0"/>
    </xf>
    <xf numFmtId="177" fontId="11" fillId="5" borderId="0" xfId="1" applyNumberFormat="1" applyFont="1" applyFill="1" applyProtection="1">
      <alignment vertical="center"/>
      <protection locked="0"/>
    </xf>
    <xf numFmtId="0" fontId="11" fillId="5" borderId="0" xfId="1" applyFont="1" applyFill="1" applyAlignment="1" applyProtection="1">
      <alignment horizontal="center" vertical="center"/>
      <protection locked="0"/>
    </xf>
    <xf numFmtId="0" fontId="11" fillId="2" borderId="10" xfId="1" applyFont="1" applyFill="1" applyBorder="1" applyAlignment="1">
      <alignment horizontal="center" vertical="center"/>
    </xf>
    <xf numFmtId="0" fontId="11" fillId="2" borderId="0" xfId="1" applyFont="1" applyFill="1" applyAlignment="1">
      <alignment horizontal="center" vertical="center"/>
    </xf>
    <xf numFmtId="0" fontId="14" fillId="2" borderId="0" xfId="1" applyFont="1" applyFill="1" applyAlignment="1">
      <alignment horizontal="center" vertical="center"/>
    </xf>
    <xf numFmtId="0" fontId="14" fillId="0" borderId="0" xfId="1" applyFont="1" applyAlignment="1" applyProtection="1">
      <alignment horizontal="center" vertical="center"/>
      <protection locked="0"/>
    </xf>
    <xf numFmtId="0" fontId="11" fillId="2" borderId="11" xfId="1" applyFont="1" applyFill="1" applyBorder="1">
      <alignment vertical="center"/>
    </xf>
    <xf numFmtId="0" fontId="11" fillId="2" borderId="11" xfId="1" applyFont="1" applyFill="1" applyBorder="1" applyAlignment="1">
      <alignment horizontal="right" vertical="center"/>
    </xf>
    <xf numFmtId="0" fontId="11" fillId="2" borderId="11" xfId="1" applyFont="1" applyFill="1" applyBorder="1" applyAlignment="1">
      <alignment horizontal="center" vertical="center"/>
    </xf>
    <xf numFmtId="0" fontId="15" fillId="2" borderId="0" xfId="1" applyFont="1" applyFill="1" applyProtection="1">
      <alignment vertical="center"/>
      <protection locked="0"/>
    </xf>
    <xf numFmtId="0" fontId="16" fillId="2" borderId="12" xfId="1" applyFont="1" applyFill="1" applyBorder="1" applyAlignment="1">
      <alignment vertical="center" wrapText="1"/>
    </xf>
    <xf numFmtId="0" fontId="16" fillId="2" borderId="13" xfId="1" applyFont="1" applyFill="1" applyBorder="1" applyAlignment="1">
      <alignment vertical="center" wrapText="1"/>
    </xf>
    <xf numFmtId="0" fontId="18" fillId="2" borderId="14"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7" xfId="1" applyFont="1" applyFill="1" applyBorder="1" applyAlignment="1">
      <alignment horizontal="center" vertical="center" wrapText="1"/>
    </xf>
    <xf numFmtId="176" fontId="20" fillId="2" borderId="18" xfId="1" applyNumberFormat="1" applyFont="1" applyFill="1" applyBorder="1" applyAlignment="1">
      <alignment horizontal="center" vertical="center" wrapText="1"/>
    </xf>
    <xf numFmtId="177" fontId="20" fillId="5" borderId="0" xfId="1" applyNumberFormat="1" applyFont="1" applyFill="1" applyAlignment="1" applyProtection="1">
      <alignment vertical="center" wrapText="1"/>
      <protection locked="0"/>
    </xf>
    <xf numFmtId="0" fontId="18" fillId="5" borderId="0" xfId="1" applyFont="1" applyFill="1" applyAlignment="1" applyProtection="1">
      <alignment horizontal="center" vertical="center"/>
      <protection locked="0"/>
    </xf>
    <xf numFmtId="0" fontId="18" fillId="2" borderId="19" xfId="1" applyFont="1" applyFill="1" applyBorder="1" applyAlignment="1">
      <alignment horizontal="center" vertical="center" wrapText="1"/>
    </xf>
    <xf numFmtId="0" fontId="18" fillId="2" borderId="20" xfId="1" applyFont="1" applyFill="1" applyBorder="1" applyAlignment="1">
      <alignment horizontal="center" vertical="center" wrapText="1"/>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11" xfId="1" applyFont="1" applyFill="1" applyBorder="1" applyAlignment="1">
      <alignment horizontal="center" vertical="center"/>
    </xf>
    <xf numFmtId="0" fontId="18" fillId="0" borderId="0" xfId="1" applyFont="1" applyAlignment="1" applyProtection="1">
      <alignment horizontal="center" vertical="center"/>
      <protection locked="0"/>
    </xf>
    <xf numFmtId="0" fontId="16" fillId="2" borderId="10" xfId="1" applyFont="1" applyFill="1" applyBorder="1" applyAlignment="1">
      <alignment vertical="center" wrapText="1"/>
    </xf>
    <xf numFmtId="0" fontId="16" fillId="2" borderId="0" xfId="1" applyFont="1" applyFill="1" applyAlignment="1">
      <alignment vertical="center" wrapText="1"/>
    </xf>
    <xf numFmtId="176" fontId="20" fillId="2" borderId="25" xfId="1" applyNumberFormat="1" applyFont="1" applyFill="1" applyBorder="1" applyAlignment="1">
      <alignment horizontal="center" vertical="center" wrapText="1"/>
    </xf>
    <xf numFmtId="0" fontId="18" fillId="2" borderId="26" xfId="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8" fillId="2" borderId="26" xfId="1" applyFont="1" applyFill="1" applyBorder="1" applyAlignment="1">
      <alignment horizontal="center" vertical="center"/>
    </xf>
    <xf numFmtId="0" fontId="18" fillId="2" borderId="27" xfId="1" applyFont="1" applyFill="1" applyBorder="1" applyAlignment="1">
      <alignment horizontal="center" vertical="center"/>
    </xf>
    <xf numFmtId="0" fontId="18" fillId="2" borderId="22" xfId="1" applyFont="1" applyFill="1" applyBorder="1" applyAlignment="1">
      <alignment horizontal="center" vertical="center"/>
    </xf>
    <xf numFmtId="0" fontId="16" fillId="2" borderId="28" xfId="1" applyFont="1" applyFill="1" applyBorder="1" applyAlignment="1">
      <alignment vertical="center" wrapText="1"/>
    </xf>
    <xf numFmtId="0" fontId="16" fillId="2" borderId="29" xfId="1" applyFont="1" applyFill="1" applyBorder="1" applyAlignment="1">
      <alignment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8"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7" xfId="1" applyFont="1" applyFill="1" applyBorder="1" applyAlignment="1">
      <alignment horizontal="center" vertical="center"/>
    </xf>
    <xf numFmtId="0" fontId="22" fillId="2" borderId="32" xfId="1" applyFont="1" applyFill="1" applyBorder="1" applyAlignment="1">
      <alignment vertical="center" wrapText="1"/>
    </xf>
    <xf numFmtId="0" fontId="22" fillId="2" borderId="33" xfId="1" applyFont="1" applyFill="1" applyBorder="1" applyAlignment="1">
      <alignment vertical="center" wrapText="1"/>
    </xf>
    <xf numFmtId="179" fontId="20" fillId="2" borderId="34" xfId="1" applyNumberFormat="1" applyFont="1" applyFill="1" applyBorder="1" applyAlignment="1">
      <alignment horizontal="center" vertical="center" wrapText="1"/>
    </xf>
    <xf numFmtId="0" fontId="20" fillId="2" borderId="35" xfId="1" applyFont="1" applyFill="1" applyBorder="1" applyAlignment="1">
      <alignment horizontal="center" vertical="center" wrapText="1"/>
    </xf>
    <xf numFmtId="179" fontId="20" fillId="0" borderId="36" xfId="1" applyNumberFormat="1" applyFont="1" applyBorder="1" applyAlignment="1" applyProtection="1">
      <alignment horizontal="center" vertical="center" wrapText="1"/>
      <protection locked="0"/>
    </xf>
    <xf numFmtId="0" fontId="20" fillId="2" borderId="37" xfId="1" applyFont="1" applyFill="1" applyBorder="1" applyAlignment="1">
      <alignment horizontal="center" vertical="center" wrapText="1"/>
    </xf>
    <xf numFmtId="0" fontId="20" fillId="2" borderId="25" xfId="1" applyFont="1" applyFill="1" applyBorder="1" applyAlignment="1">
      <alignment horizontal="center" vertical="center" wrapText="1"/>
    </xf>
    <xf numFmtId="177" fontId="20" fillId="5" borderId="0" xfId="1" applyNumberFormat="1" applyFont="1" applyFill="1" applyAlignment="1" applyProtection="1">
      <alignment horizontal="center" vertical="center" wrapText="1"/>
      <protection locked="0"/>
    </xf>
    <xf numFmtId="0" fontId="20" fillId="5" borderId="0" xfId="1" applyFont="1" applyFill="1" applyAlignment="1" applyProtection="1">
      <alignment horizontal="center" vertical="center"/>
      <protection locked="0"/>
    </xf>
    <xf numFmtId="0" fontId="20" fillId="2" borderId="38" xfId="1" applyFont="1" applyFill="1" applyBorder="1" applyAlignment="1">
      <alignment horizontal="center" vertical="center"/>
    </xf>
    <xf numFmtId="0" fontId="20" fillId="2" borderId="39" xfId="1" applyFont="1" applyFill="1" applyBorder="1" applyAlignment="1">
      <alignment horizontal="center" vertical="center"/>
    </xf>
    <xf numFmtId="180" fontId="20" fillId="2" borderId="38" xfId="1" applyNumberFormat="1" applyFont="1" applyFill="1" applyBorder="1" applyAlignment="1">
      <alignment horizontal="center" vertical="center"/>
    </xf>
    <xf numFmtId="49" fontId="20" fillId="2" borderId="40" xfId="1" applyNumberFormat="1" applyFont="1" applyFill="1" applyBorder="1" applyAlignment="1">
      <alignment horizontal="center" vertical="center"/>
    </xf>
    <xf numFmtId="0" fontId="20" fillId="2" borderId="22"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21" xfId="1" applyFont="1" applyFill="1" applyBorder="1" applyAlignment="1">
      <alignment horizontal="center" vertical="center"/>
    </xf>
    <xf numFmtId="0" fontId="20" fillId="0" borderId="0" xfId="1" applyFont="1" applyAlignment="1" applyProtection="1">
      <alignment horizontal="center" vertical="center"/>
      <protection locked="0"/>
    </xf>
    <xf numFmtId="49" fontId="20" fillId="3" borderId="34" xfId="1" applyNumberFormat="1" applyFont="1" applyFill="1" applyBorder="1" applyAlignment="1" applyProtection="1">
      <alignment horizontal="center" vertical="center" wrapText="1"/>
      <protection locked="0"/>
    </xf>
    <xf numFmtId="49" fontId="20" fillId="3" borderId="36" xfId="1" applyNumberFormat="1" applyFont="1" applyFill="1" applyBorder="1" applyAlignment="1" applyProtection="1">
      <alignment horizontal="center" vertical="center" wrapText="1"/>
      <protection locked="0"/>
    </xf>
    <xf numFmtId="0" fontId="22" fillId="2" borderId="41" xfId="1" applyFont="1" applyFill="1" applyBorder="1" applyAlignment="1">
      <alignment vertical="center" wrapText="1"/>
    </xf>
    <xf numFmtId="0" fontId="20" fillId="2" borderId="17" xfId="1" applyFont="1" applyFill="1" applyBorder="1" applyAlignment="1">
      <alignment horizontal="center" vertical="center" wrapText="1"/>
    </xf>
    <xf numFmtId="0" fontId="21" fillId="0" borderId="42" xfId="1" applyFont="1" applyBorder="1" applyAlignment="1" applyProtection="1">
      <alignment horizontal="center" vertical="center" wrapText="1"/>
      <protection locked="0"/>
    </xf>
    <xf numFmtId="0" fontId="20" fillId="2" borderId="15" xfId="1" applyFont="1" applyFill="1" applyBorder="1" applyAlignment="1">
      <alignment horizontal="center" vertical="center" wrapText="1"/>
    </xf>
    <xf numFmtId="49" fontId="20" fillId="3" borderId="16" xfId="1" applyNumberFormat="1" applyFont="1" applyFill="1" applyBorder="1" applyAlignment="1" applyProtection="1">
      <alignment horizontal="center" vertical="center" wrapText="1"/>
      <protection locked="0"/>
    </xf>
    <xf numFmtId="0" fontId="18" fillId="2" borderId="23"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4" fillId="2" borderId="43" xfId="1" applyFont="1" applyFill="1" applyBorder="1" applyAlignment="1">
      <alignment vertical="center" wrapText="1"/>
    </xf>
    <xf numFmtId="0" fontId="20" fillId="2" borderId="38" xfId="1" applyFont="1" applyFill="1" applyBorder="1" applyAlignment="1">
      <alignment horizontal="center" vertical="center" wrapText="1"/>
    </xf>
    <xf numFmtId="181" fontId="20" fillId="0" borderId="23" xfId="1" applyNumberFormat="1" applyFont="1" applyBorder="1" applyAlignment="1" applyProtection="1">
      <alignment horizontal="center" vertical="center" wrapText="1"/>
      <protection locked="0"/>
    </xf>
    <xf numFmtId="0" fontId="20" fillId="2" borderId="24" xfId="1" applyFont="1" applyFill="1" applyBorder="1" applyAlignment="1">
      <alignment horizontal="center" vertical="center" wrapText="1"/>
    </xf>
    <xf numFmtId="181" fontId="20" fillId="0" borderId="40" xfId="1" applyNumberFormat="1" applyFont="1" applyBorder="1" applyAlignment="1" applyProtection="1">
      <alignment horizontal="center" vertical="center" wrapText="1"/>
      <protection locked="0"/>
    </xf>
    <xf numFmtId="177" fontId="25" fillId="5" borderId="0" xfId="1" applyNumberFormat="1" applyFont="1" applyFill="1" applyAlignment="1" applyProtection="1">
      <alignment horizontal="center" vertical="center" wrapText="1"/>
      <protection locked="0"/>
    </xf>
    <xf numFmtId="0" fontId="25" fillId="5" borderId="0" xfId="1" applyFont="1" applyFill="1" applyAlignment="1" applyProtection="1">
      <alignment horizontal="center" vertical="center"/>
      <protection locked="0"/>
    </xf>
    <xf numFmtId="0" fontId="25" fillId="0" borderId="0" xfId="1" applyFont="1" applyAlignment="1" applyProtection="1">
      <alignment horizontal="center" vertical="center"/>
      <protection locked="0"/>
    </xf>
    <xf numFmtId="0" fontId="16" fillId="2" borderId="43" xfId="1" applyFont="1" applyFill="1" applyBorder="1" applyAlignment="1">
      <alignment vertical="center" wrapText="1"/>
    </xf>
    <xf numFmtId="0" fontId="20" fillId="0" borderId="23" xfId="1" applyFont="1" applyBorder="1" applyAlignment="1" applyProtection="1">
      <alignment horizontal="center" vertical="center" wrapText="1"/>
      <protection locked="0"/>
    </xf>
    <xf numFmtId="0" fontId="20" fillId="0" borderId="40" xfId="1" applyFont="1" applyBorder="1" applyAlignment="1" applyProtection="1">
      <alignment horizontal="center" vertical="center" wrapText="1"/>
      <protection locked="0"/>
    </xf>
    <xf numFmtId="0" fontId="14" fillId="0" borderId="25" xfId="1" applyFont="1" applyBorder="1" applyAlignment="1" applyProtection="1">
      <alignment horizontal="center" vertical="center" wrapText="1"/>
      <protection locked="0"/>
    </xf>
    <xf numFmtId="177" fontId="26" fillId="5" borderId="0" xfId="1" applyNumberFormat="1" applyFont="1" applyFill="1" applyAlignment="1" applyProtection="1">
      <alignment horizontal="center" vertical="center" wrapText="1"/>
      <protection locked="0"/>
    </xf>
    <xf numFmtId="0" fontId="22" fillId="2" borderId="43" xfId="1" applyFont="1" applyFill="1" applyBorder="1" applyAlignment="1">
      <alignment vertical="center" wrapText="1"/>
    </xf>
    <xf numFmtId="0" fontId="20" fillId="0" borderId="19" xfId="1" applyFont="1" applyBorder="1" applyAlignment="1" applyProtection="1">
      <alignment horizontal="center" vertical="center" wrapText="1"/>
      <protection locked="0"/>
    </xf>
    <xf numFmtId="0" fontId="20" fillId="0" borderId="44" xfId="1" applyFont="1" applyBorder="1" applyAlignment="1" applyProtection="1">
      <alignment horizontal="center" vertical="center" wrapText="1"/>
      <protection locked="0"/>
    </xf>
    <xf numFmtId="0" fontId="20" fillId="2" borderId="45"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8" fillId="0" borderId="46" xfId="1" applyFont="1" applyBorder="1" applyAlignment="1" applyProtection="1">
      <alignment horizontal="center" vertical="center" wrapText="1"/>
      <protection locked="0"/>
    </xf>
    <xf numFmtId="0" fontId="18" fillId="2" borderId="24" xfId="1" applyFont="1" applyFill="1" applyBorder="1" applyAlignment="1">
      <alignment horizontal="center" vertical="center" wrapText="1"/>
    </xf>
    <xf numFmtId="177" fontId="27" fillId="5" borderId="0" xfId="1" applyNumberFormat="1" applyFont="1" applyFill="1" applyAlignment="1" applyProtection="1">
      <alignment horizontal="center" vertical="center" wrapText="1"/>
      <protection locked="0"/>
    </xf>
    <xf numFmtId="0" fontId="16" fillId="2" borderId="47" xfId="1" applyFont="1" applyFill="1" applyBorder="1" applyAlignment="1">
      <alignment vertical="center" wrapText="1"/>
    </xf>
    <xf numFmtId="0" fontId="20" fillId="0" borderId="48" xfId="1" applyFont="1" applyBorder="1" applyAlignment="1" applyProtection="1">
      <alignment horizontal="center" vertical="center" wrapText="1"/>
      <protection locked="0"/>
    </xf>
    <xf numFmtId="0" fontId="18" fillId="0" borderId="49" xfId="1" applyFont="1" applyBorder="1" applyAlignment="1" applyProtection="1">
      <alignment horizontal="center" vertical="center" wrapText="1"/>
      <protection locked="0"/>
    </xf>
    <xf numFmtId="0" fontId="18" fillId="2" borderId="50" xfId="1" applyFont="1" applyFill="1" applyBorder="1" applyAlignment="1">
      <alignment horizontal="center" vertical="center" wrapText="1"/>
    </xf>
    <xf numFmtId="0" fontId="18" fillId="2" borderId="48" xfId="1" applyFont="1" applyFill="1" applyBorder="1" applyAlignment="1">
      <alignment horizontal="center" vertical="center" wrapText="1"/>
    </xf>
    <xf numFmtId="0" fontId="16" fillId="2" borderId="41" xfId="1" applyFont="1" applyFill="1" applyBorder="1" applyAlignment="1">
      <alignment vertical="center" wrapText="1"/>
    </xf>
    <xf numFmtId="0" fontId="20" fillId="2" borderId="51" xfId="1" applyFont="1" applyFill="1" applyBorder="1" applyAlignment="1">
      <alignment horizontal="center" vertical="center" wrapText="1"/>
    </xf>
    <xf numFmtId="49" fontId="18" fillId="2" borderId="41" xfId="1" applyNumberFormat="1" applyFont="1" applyFill="1" applyBorder="1" applyAlignment="1">
      <alignment horizontal="center" vertical="center" wrapText="1"/>
    </xf>
    <xf numFmtId="0" fontId="18" fillId="2" borderId="52" xfId="1" applyFont="1" applyFill="1" applyBorder="1" applyAlignment="1">
      <alignment horizontal="center" vertical="center" wrapText="1"/>
    </xf>
    <xf numFmtId="49" fontId="18" fillId="0" borderId="41" xfId="1" applyNumberFormat="1" applyFont="1" applyBorder="1" applyAlignment="1" applyProtection="1">
      <alignment horizontal="center" vertical="center" wrapText="1"/>
      <protection locked="0"/>
    </xf>
    <xf numFmtId="49" fontId="18" fillId="0" borderId="53" xfId="1" applyNumberFormat="1" applyFont="1" applyBorder="1" applyAlignment="1" applyProtection="1">
      <alignment horizontal="center" vertical="center" wrapText="1"/>
      <protection locked="0"/>
    </xf>
    <xf numFmtId="0" fontId="14" fillId="0" borderId="54" xfId="1" applyFont="1" applyBorder="1" applyAlignment="1" applyProtection="1">
      <alignment horizontal="center" vertical="center" wrapText="1"/>
      <protection locked="0"/>
    </xf>
    <xf numFmtId="0" fontId="18" fillId="2" borderId="30" xfId="1" applyFont="1" applyFill="1" applyBorder="1" applyAlignment="1">
      <alignment horizontal="center" vertical="center" wrapText="1"/>
    </xf>
    <xf numFmtId="0" fontId="18" fillId="2" borderId="21" xfId="1" applyFont="1" applyFill="1" applyBorder="1" applyAlignment="1">
      <alignment horizontal="center" vertical="center" wrapText="1"/>
    </xf>
    <xf numFmtId="180" fontId="18" fillId="2" borderId="38" xfId="1" applyNumberFormat="1" applyFont="1" applyFill="1" applyBorder="1" applyAlignment="1">
      <alignment horizontal="center" vertical="center"/>
    </xf>
    <xf numFmtId="49" fontId="18" fillId="2" borderId="40" xfId="1" applyNumberFormat="1" applyFont="1" applyFill="1" applyBorder="1" applyAlignment="1">
      <alignment horizontal="center" vertical="center"/>
    </xf>
    <xf numFmtId="0" fontId="18" fillId="2" borderId="11" xfId="1" applyFont="1" applyFill="1" applyBorder="1" applyAlignment="1">
      <alignment horizontal="center" vertical="center" wrapText="1"/>
    </xf>
    <xf numFmtId="0" fontId="18" fillId="2" borderId="21" xfId="1" applyFont="1" applyFill="1" applyBorder="1" applyAlignment="1">
      <alignment horizontal="center" vertical="center"/>
    </xf>
    <xf numFmtId="0" fontId="18" fillId="2" borderId="0" xfId="1" applyFont="1" applyFill="1" applyAlignment="1">
      <alignment horizontal="center" vertical="center"/>
    </xf>
    <xf numFmtId="0" fontId="18" fillId="3" borderId="44" xfId="1" applyFont="1" applyFill="1" applyBorder="1" applyAlignment="1" applyProtection="1">
      <alignment horizontal="center" vertical="center" wrapText="1"/>
      <protection locked="0"/>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8" fillId="2" borderId="43"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20" fillId="2" borderId="19" xfId="1" applyFont="1" applyFill="1" applyBorder="1" applyAlignment="1">
      <alignment horizontal="center" vertical="center" wrapText="1"/>
    </xf>
    <xf numFmtId="0" fontId="18" fillId="2" borderId="30" xfId="1" applyFont="1" applyFill="1" applyBorder="1" applyAlignment="1">
      <alignment horizontal="center" vertical="center" wrapText="1"/>
    </xf>
    <xf numFmtId="49" fontId="18" fillId="0" borderId="43" xfId="1" applyNumberFormat="1" applyFont="1" applyBorder="1" applyAlignment="1" applyProtection="1">
      <alignment horizontal="center" vertical="center" wrapText="1"/>
      <protection locked="0"/>
    </xf>
    <xf numFmtId="49" fontId="18" fillId="0" borderId="27" xfId="1" applyNumberFormat="1" applyFont="1" applyBorder="1" applyAlignment="1" applyProtection="1">
      <alignment horizontal="center" vertical="center" wrapText="1"/>
      <protection locked="0"/>
    </xf>
    <xf numFmtId="0" fontId="18" fillId="2" borderId="31"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18" fillId="3" borderId="43" xfId="1" applyFont="1" applyFill="1" applyBorder="1" applyAlignment="1" applyProtection="1">
      <alignment horizontal="center" vertical="center" wrapText="1"/>
      <protection locked="0"/>
    </xf>
    <xf numFmtId="49" fontId="18" fillId="0" borderId="30" xfId="1" applyNumberFormat="1" applyFont="1" applyBorder="1" applyAlignment="1" applyProtection="1">
      <alignment horizontal="center" vertical="center" wrapText="1"/>
      <protection locked="0"/>
    </xf>
    <xf numFmtId="49" fontId="18" fillId="0" borderId="20" xfId="1" applyNumberFormat="1" applyFont="1" applyBorder="1" applyAlignment="1" applyProtection="1">
      <alignment horizontal="center" vertical="center" wrapText="1"/>
      <protection locked="0"/>
    </xf>
    <xf numFmtId="0" fontId="20" fillId="2" borderId="26"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8" fillId="3" borderId="23" xfId="1" applyFont="1" applyFill="1" applyBorder="1" applyAlignment="1" applyProtection="1">
      <alignment horizontal="center" vertical="center" wrapText="1"/>
      <protection locked="0"/>
    </xf>
    <xf numFmtId="49" fontId="18" fillId="3" borderId="23" xfId="1" applyNumberFormat="1" applyFont="1" applyFill="1" applyBorder="1" applyAlignment="1" applyProtection="1">
      <alignment horizontal="center" vertical="center" wrapText="1"/>
      <protection locked="0"/>
    </xf>
    <xf numFmtId="49" fontId="18" fillId="3" borderId="40" xfId="1" applyNumberFormat="1" applyFont="1" applyFill="1" applyBorder="1" applyAlignment="1" applyProtection="1">
      <alignment horizontal="center" vertical="center" wrapText="1"/>
      <protection locked="0"/>
    </xf>
    <xf numFmtId="0" fontId="20" fillId="0" borderId="38" xfId="1" applyFont="1" applyBorder="1" applyAlignment="1" applyProtection="1">
      <alignment horizontal="center" vertical="center" wrapText="1"/>
      <protection locked="0"/>
    </xf>
    <xf numFmtId="0" fontId="20" fillId="2" borderId="55" xfId="1" applyFont="1" applyFill="1" applyBorder="1" applyAlignment="1">
      <alignment horizontal="center" vertical="center" wrapText="1"/>
    </xf>
    <xf numFmtId="49" fontId="20" fillId="0" borderId="44" xfId="1" applyNumberFormat="1" applyFont="1" applyBorder="1" applyAlignment="1" applyProtection="1">
      <alignment horizontal="center" vertical="center" wrapText="1"/>
      <protection locked="0"/>
    </xf>
    <xf numFmtId="49" fontId="20" fillId="0" borderId="9" xfId="1" applyNumberFormat="1" applyFont="1" applyBorder="1" applyAlignment="1" applyProtection="1">
      <alignment horizontal="center" vertical="center" wrapText="1"/>
      <protection locked="0"/>
    </xf>
    <xf numFmtId="0" fontId="18" fillId="0" borderId="39" xfId="1" applyFont="1" applyBorder="1" applyAlignment="1" applyProtection="1">
      <alignment horizontal="center" vertical="center" wrapText="1"/>
      <protection locked="0"/>
    </xf>
    <xf numFmtId="0" fontId="18" fillId="0" borderId="59" xfId="1" applyFont="1" applyBorder="1" applyAlignment="1" applyProtection="1">
      <alignment horizontal="center" vertical="center" wrapText="1"/>
      <protection locked="0"/>
    </xf>
    <xf numFmtId="0" fontId="18" fillId="3" borderId="14" xfId="1" applyFont="1" applyFill="1" applyBorder="1" applyAlignment="1" applyProtection="1">
      <alignment horizontal="center" vertical="center" wrapText="1"/>
      <protection locked="0"/>
    </xf>
    <xf numFmtId="0" fontId="18" fillId="2" borderId="15" xfId="1" applyFont="1" applyFill="1" applyBorder="1" applyAlignment="1">
      <alignment horizontal="center" vertical="center" wrapText="1"/>
    </xf>
    <xf numFmtId="0" fontId="18" fillId="2" borderId="38" xfId="1" applyFont="1" applyFill="1" applyBorder="1" applyAlignment="1">
      <alignment horizontal="center" vertical="center" wrapText="1"/>
    </xf>
    <xf numFmtId="0" fontId="18" fillId="2" borderId="30" xfId="1" applyFont="1" applyFill="1" applyBorder="1" applyAlignment="1">
      <alignment horizontal="center" vertical="center" textRotation="255" wrapText="1"/>
    </xf>
    <xf numFmtId="0" fontId="18" fillId="2" borderId="22" xfId="1" applyFont="1" applyFill="1" applyBorder="1" applyAlignment="1">
      <alignment horizontal="center" vertical="center" textRotation="255" wrapText="1"/>
    </xf>
    <xf numFmtId="0" fontId="28" fillId="2" borderId="43" xfId="1" applyFont="1" applyFill="1" applyBorder="1" applyAlignment="1">
      <alignment vertical="center" textRotation="255" wrapText="1"/>
    </xf>
    <xf numFmtId="0" fontId="20" fillId="0" borderId="46" xfId="1" applyFont="1" applyBorder="1" applyAlignment="1" applyProtection="1">
      <alignment horizontal="center" vertical="center" wrapText="1"/>
      <protection locked="0"/>
    </xf>
    <xf numFmtId="0" fontId="26" fillId="5" borderId="0" xfId="1" applyFont="1" applyFill="1" applyAlignment="1" applyProtection="1">
      <alignment horizontal="center" vertical="center"/>
      <protection locked="0"/>
    </xf>
    <xf numFmtId="0" fontId="18" fillId="2" borderId="43" xfId="1" applyFont="1" applyFill="1" applyBorder="1" applyAlignment="1">
      <alignment horizontal="center" vertical="center" textRotation="255" wrapText="1"/>
    </xf>
    <xf numFmtId="0" fontId="26" fillId="2" borderId="21" xfId="1" applyFont="1" applyFill="1" applyBorder="1" applyAlignment="1">
      <alignment horizontal="center" vertical="center" wrapText="1"/>
    </xf>
    <xf numFmtId="180" fontId="26" fillId="2" borderId="38" xfId="1" applyNumberFormat="1" applyFont="1" applyFill="1" applyBorder="1" applyAlignment="1">
      <alignment horizontal="center" vertical="center"/>
    </xf>
    <xf numFmtId="49" fontId="26" fillId="2" borderId="40" xfId="1" applyNumberFormat="1" applyFont="1" applyFill="1" applyBorder="1" applyAlignment="1">
      <alignment horizontal="center" vertical="center"/>
    </xf>
    <xf numFmtId="0" fontId="26" fillId="2" borderId="22" xfId="1" applyFont="1" applyFill="1" applyBorder="1" applyAlignment="1">
      <alignment horizontal="center" vertical="center"/>
    </xf>
    <xf numFmtId="0" fontId="26" fillId="2" borderId="21" xfId="1" applyFont="1" applyFill="1" applyBorder="1" applyAlignment="1">
      <alignment horizontal="center" vertical="center"/>
    </xf>
    <xf numFmtId="0" fontId="26" fillId="0" borderId="0" xfId="1" applyFont="1" applyAlignment="1" applyProtection="1">
      <alignment horizontal="center" vertical="center"/>
      <protection locked="0"/>
    </xf>
    <xf numFmtId="0" fontId="16" fillId="2" borderId="43" xfId="1" applyFont="1" applyFill="1" applyBorder="1" applyAlignment="1">
      <alignment vertical="center" textRotation="255" wrapText="1"/>
    </xf>
    <xf numFmtId="0" fontId="18" fillId="3" borderId="40" xfId="1" applyFont="1" applyFill="1" applyBorder="1" applyAlignment="1" applyProtection="1">
      <alignment horizontal="center" vertical="center" wrapText="1"/>
      <protection locked="0"/>
    </xf>
    <xf numFmtId="0" fontId="22" fillId="2" borderId="43" xfId="1" applyFont="1" applyFill="1" applyBorder="1" applyAlignment="1">
      <alignment vertical="center" textRotation="255" wrapText="1"/>
    </xf>
    <xf numFmtId="9" fontId="20" fillId="0" borderId="46" xfId="1" applyNumberFormat="1" applyFont="1" applyBorder="1" applyAlignment="1" applyProtection="1">
      <alignment horizontal="center" vertical="center" wrapText="1"/>
      <protection locked="0"/>
    </xf>
    <xf numFmtId="9" fontId="20" fillId="0" borderId="23" xfId="1" applyNumberFormat="1" applyFont="1" applyBorder="1" applyAlignment="1" applyProtection="1">
      <alignment horizontal="center" vertical="center" wrapText="1"/>
      <protection locked="0"/>
    </xf>
    <xf numFmtId="9" fontId="20" fillId="0" borderId="40" xfId="1" applyNumberFormat="1" applyFont="1" applyBorder="1" applyAlignment="1" applyProtection="1">
      <alignment horizontal="center" vertical="center" wrapText="1"/>
      <protection locked="0"/>
    </xf>
    <xf numFmtId="0" fontId="18" fillId="0" borderId="40" xfId="1" applyFont="1" applyBorder="1" applyAlignment="1" applyProtection="1">
      <alignment horizontal="center" vertical="center" wrapText="1"/>
      <protection locked="0"/>
    </xf>
    <xf numFmtId="0" fontId="16" fillId="2" borderId="47" xfId="1" applyFont="1" applyFill="1" applyBorder="1" applyAlignment="1">
      <alignment vertical="center" textRotation="255" wrapText="1"/>
    </xf>
    <xf numFmtId="0" fontId="18" fillId="2" borderId="44" xfId="1" applyFont="1" applyFill="1" applyBorder="1" applyAlignment="1">
      <alignment horizontal="center" vertical="center" textRotation="255" wrapText="1"/>
    </xf>
    <xf numFmtId="0" fontId="18" fillId="2" borderId="7" xfId="1" applyFont="1" applyFill="1" applyBorder="1" applyAlignment="1">
      <alignment horizontal="center" vertical="center" textRotation="255" wrapText="1"/>
    </xf>
    <xf numFmtId="49" fontId="16" fillId="2" borderId="42" xfId="1" applyNumberFormat="1" applyFont="1" applyFill="1" applyBorder="1">
      <alignment vertical="center"/>
    </xf>
    <xf numFmtId="49" fontId="16" fillId="2" borderId="60" xfId="1" applyNumberFormat="1" applyFont="1" applyFill="1" applyBorder="1">
      <alignment vertical="center"/>
    </xf>
    <xf numFmtId="0" fontId="16" fillId="2" borderId="42" xfId="1" applyFont="1" applyFill="1" applyBorder="1" applyAlignment="1">
      <alignment horizontal="right" vertical="center" wrapText="1"/>
    </xf>
    <xf numFmtId="0" fontId="16" fillId="2" borderId="18" xfId="1" applyFont="1" applyFill="1" applyBorder="1" applyAlignment="1">
      <alignment vertical="center" wrapText="1"/>
    </xf>
    <xf numFmtId="0" fontId="29" fillId="6" borderId="60" xfId="1" applyFont="1" applyFill="1" applyBorder="1" applyAlignment="1" applyProtection="1">
      <alignment vertical="center" wrapText="1"/>
      <protection locked="0"/>
    </xf>
    <xf numFmtId="0" fontId="29" fillId="2" borderId="60" xfId="1" applyFont="1" applyFill="1" applyBorder="1" applyAlignment="1">
      <alignment vertical="center" wrapText="1"/>
    </xf>
    <xf numFmtId="0" fontId="29" fillId="6" borderId="42" xfId="1" applyFont="1" applyFill="1" applyBorder="1" applyAlignment="1" applyProtection="1">
      <alignment vertical="center" wrapText="1"/>
      <protection locked="0"/>
    </xf>
    <xf numFmtId="0" fontId="29" fillId="2" borderId="18" xfId="1" applyFont="1" applyFill="1" applyBorder="1" applyAlignment="1">
      <alignment vertical="center" wrapText="1"/>
    </xf>
    <xf numFmtId="176" fontId="18" fillId="2" borderId="25" xfId="1" applyNumberFormat="1" applyFont="1" applyFill="1" applyBorder="1" applyAlignment="1">
      <alignment horizontal="center" vertical="center"/>
    </xf>
    <xf numFmtId="177" fontId="18" fillId="5" borderId="0" xfId="1" applyNumberFormat="1" applyFont="1" applyFill="1" applyAlignment="1" applyProtection="1">
      <alignment vertical="center" wrapText="1"/>
      <protection locked="0"/>
    </xf>
    <xf numFmtId="0" fontId="18" fillId="2" borderId="21" xfId="1" applyFont="1" applyFill="1" applyBorder="1" applyAlignment="1">
      <alignment horizontal="center" vertical="center" wrapText="1"/>
    </xf>
    <xf numFmtId="0" fontId="18" fillId="2" borderId="7" xfId="1" applyFont="1" applyFill="1" applyBorder="1" applyAlignment="1">
      <alignment vertical="center" textRotation="255" wrapText="1"/>
    </xf>
    <xf numFmtId="49" fontId="16" fillId="2" borderId="49" xfId="1" applyNumberFormat="1" applyFont="1" applyFill="1" applyBorder="1">
      <alignment vertical="center"/>
    </xf>
    <xf numFmtId="49" fontId="16" fillId="2" borderId="59" xfId="1" applyNumberFormat="1" applyFont="1" applyFill="1" applyBorder="1">
      <alignment vertical="center"/>
    </xf>
    <xf numFmtId="0" fontId="16" fillId="2" borderId="49" xfId="1" applyFont="1" applyFill="1" applyBorder="1" applyAlignment="1">
      <alignment vertical="center" wrapText="1"/>
    </xf>
    <xf numFmtId="0" fontId="13" fillId="7" borderId="61" xfId="1" applyFont="1" applyFill="1" applyBorder="1" applyAlignment="1" applyProtection="1">
      <alignment horizontal="left" vertical="center" wrapText="1"/>
      <protection locked="0"/>
    </xf>
    <xf numFmtId="0" fontId="16" fillId="2" borderId="59" xfId="1" applyFont="1" applyFill="1" applyBorder="1" applyAlignment="1">
      <alignment vertical="center" wrapText="1"/>
    </xf>
    <xf numFmtId="177" fontId="16" fillId="7" borderId="61" xfId="1" applyNumberFormat="1" applyFont="1" applyFill="1" applyBorder="1" applyAlignment="1" applyProtection="1">
      <alignment horizontal="left" vertical="center" wrapText="1"/>
      <protection locked="0"/>
    </xf>
    <xf numFmtId="181" fontId="18" fillId="7" borderId="25" xfId="1" applyNumberFormat="1" applyFont="1" applyFill="1" applyBorder="1" applyAlignment="1">
      <alignment horizontal="left" vertical="center" wrapText="1"/>
    </xf>
    <xf numFmtId="49" fontId="16" fillId="0" borderId="28" xfId="1" applyNumberFormat="1" applyFont="1" applyBorder="1" applyProtection="1">
      <alignment vertical="center"/>
      <protection locked="0"/>
    </xf>
    <xf numFmtId="49" fontId="16" fillId="0" borderId="62" xfId="1" applyNumberFormat="1" applyFont="1" applyBorder="1" applyProtection="1">
      <alignment vertical="center"/>
      <protection locked="0"/>
    </xf>
    <xf numFmtId="0" fontId="16" fillId="2" borderId="29" xfId="1" applyFont="1" applyFill="1" applyBorder="1" applyAlignment="1" applyProtection="1">
      <alignment vertical="center" wrapText="1"/>
      <protection locked="0"/>
    </xf>
    <xf numFmtId="176" fontId="18" fillId="2" borderId="50" xfId="1" applyNumberFormat="1" applyFont="1" applyFill="1" applyBorder="1" applyAlignment="1">
      <alignment horizontal="center" vertical="center" wrapText="1"/>
    </xf>
    <xf numFmtId="0" fontId="18" fillId="2" borderId="38"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6" fillId="7" borderId="21" xfId="1" applyFont="1" applyFill="1" applyBorder="1" applyAlignment="1">
      <alignment horizontal="center" vertical="center"/>
    </xf>
    <xf numFmtId="9" fontId="18" fillId="5" borderId="0" xfId="1" applyNumberFormat="1" applyFont="1" applyFill="1" applyAlignment="1" applyProtection="1">
      <alignment horizontal="center" vertical="center"/>
      <protection locked="0"/>
    </xf>
    <xf numFmtId="176" fontId="18" fillId="5" borderId="0" xfId="1" applyNumberFormat="1" applyFont="1" applyFill="1" applyAlignment="1" applyProtection="1">
      <alignment horizontal="center" vertical="center"/>
      <protection locked="0"/>
    </xf>
    <xf numFmtId="177" fontId="18" fillId="5" borderId="0" xfId="1" applyNumberFormat="1" applyFont="1" applyFill="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6" fillId="2" borderId="21" xfId="1" applyFont="1" applyFill="1" applyBorder="1" applyAlignment="1">
      <alignment horizontal="left" vertical="center"/>
    </xf>
    <xf numFmtId="0" fontId="16" fillId="2" borderId="21" xfId="1" applyFont="1" applyFill="1" applyBorder="1" applyAlignment="1">
      <alignment horizontal="center" vertical="center" wrapText="1"/>
    </xf>
    <xf numFmtId="177" fontId="18" fillId="2" borderId="38" xfId="1" applyNumberFormat="1" applyFont="1" applyFill="1" applyBorder="1" applyAlignment="1">
      <alignment horizontal="center" vertical="center"/>
    </xf>
    <xf numFmtId="177" fontId="18" fillId="2" borderId="40" xfId="1" applyNumberFormat="1" applyFont="1" applyFill="1" applyBorder="1">
      <alignment vertical="center"/>
    </xf>
    <xf numFmtId="0" fontId="16" fillId="2" borderId="40" xfId="1" applyFont="1" applyFill="1" applyBorder="1" applyAlignment="1">
      <alignment horizontal="center" vertical="center" wrapText="1"/>
    </xf>
    <xf numFmtId="0" fontId="27" fillId="5" borderId="0" xfId="1" applyFont="1" applyFill="1" applyAlignment="1" applyProtection="1">
      <alignment horizontal="center" vertical="center"/>
      <protection locked="0"/>
    </xf>
    <xf numFmtId="176" fontId="27" fillId="5" borderId="0" xfId="1" applyNumberFormat="1" applyFont="1" applyFill="1" applyAlignment="1" applyProtection="1">
      <alignment horizontal="center" vertical="center"/>
      <protection locked="0"/>
    </xf>
    <xf numFmtId="177" fontId="27" fillId="5" borderId="0" xfId="1" applyNumberFormat="1" applyFont="1" applyFill="1" applyAlignment="1" applyProtection="1">
      <alignment horizontal="center" vertical="center"/>
      <protection locked="0"/>
    </xf>
    <xf numFmtId="0" fontId="27" fillId="0" borderId="10" xfId="1" applyFont="1" applyBorder="1" applyAlignment="1" applyProtection="1">
      <alignment horizontal="center" vertical="center"/>
      <protection locked="0"/>
    </xf>
    <xf numFmtId="0" fontId="27" fillId="0" borderId="0" xfId="1" applyFont="1" applyAlignment="1" applyProtection="1">
      <alignment horizontal="center" vertical="center"/>
      <protection locked="0"/>
    </xf>
    <xf numFmtId="14" fontId="18" fillId="5" borderId="0" xfId="1" applyNumberFormat="1" applyFont="1" applyFill="1" applyAlignment="1" applyProtection="1">
      <alignment horizontal="center" vertical="center"/>
      <protection locked="0"/>
    </xf>
    <xf numFmtId="181" fontId="18" fillId="5" borderId="0" xfId="1" applyNumberFormat="1" applyFont="1" applyFill="1" applyAlignment="1" applyProtection="1">
      <alignment horizontal="center" vertical="center"/>
      <protection locked="0"/>
    </xf>
    <xf numFmtId="0" fontId="32" fillId="2" borderId="0" xfId="1" applyFont="1" applyFill="1" applyAlignment="1"/>
    <xf numFmtId="0" fontId="18" fillId="2" borderId="0" xfId="1" applyFont="1" applyFill="1" applyAlignment="1"/>
    <xf numFmtId="0" fontId="18" fillId="2" borderId="0" xfId="1" applyFont="1" applyFill="1" applyAlignment="1">
      <alignment horizontal="center"/>
    </xf>
    <xf numFmtId="176" fontId="18" fillId="2" borderId="0" xfId="1" applyNumberFormat="1" applyFont="1" applyFill="1" applyAlignment="1" applyProtection="1">
      <alignment horizontal="center"/>
      <protection locked="0"/>
    </xf>
    <xf numFmtId="177" fontId="18" fillId="2" borderId="0" xfId="1" applyNumberFormat="1" applyFont="1" applyFill="1" applyAlignment="1" applyProtection="1">
      <protection locked="0"/>
    </xf>
    <xf numFmtId="0" fontId="18" fillId="2" borderId="0" xfId="1" applyFont="1" applyFill="1" applyAlignment="1" applyProtection="1">
      <protection locked="0"/>
    </xf>
    <xf numFmtId="0" fontId="18" fillId="0" borderId="10" xfId="1" applyFont="1" applyBorder="1" applyAlignment="1" applyProtection="1">
      <protection locked="0"/>
    </xf>
    <xf numFmtId="9" fontId="20" fillId="0" borderId="0" xfId="1" applyNumberFormat="1" applyFont="1" applyAlignment="1" applyProtection="1">
      <alignment horizontal="center" vertical="center" wrapText="1"/>
      <protection locked="0"/>
    </xf>
    <xf numFmtId="0" fontId="22" fillId="2" borderId="12" xfId="1" applyFont="1" applyFill="1" applyBorder="1" applyAlignment="1">
      <alignment vertical="center" wrapText="1"/>
    </xf>
    <xf numFmtId="0" fontId="22" fillId="2" borderId="53" xfId="1" applyFont="1" applyFill="1" applyBorder="1" applyAlignment="1">
      <alignment vertical="center" wrapText="1"/>
    </xf>
    <xf numFmtId="182" fontId="20" fillId="2" borderId="53" xfId="1" applyNumberFormat="1" applyFont="1" applyFill="1" applyBorder="1" applyAlignment="1">
      <alignment horizontal="center" vertical="center" wrapText="1"/>
    </xf>
    <xf numFmtId="182" fontId="20" fillId="2" borderId="63" xfId="1" applyNumberFormat="1" applyFont="1" applyFill="1" applyBorder="1" applyAlignment="1">
      <alignment horizontal="center" vertical="center" wrapText="1"/>
    </xf>
    <xf numFmtId="49" fontId="20" fillId="0" borderId="10" xfId="1" applyNumberFormat="1" applyFont="1" applyBorder="1" applyAlignment="1" applyProtection="1">
      <alignment horizontal="center" vertical="center"/>
      <protection locked="0"/>
    </xf>
    <xf numFmtId="49" fontId="20" fillId="0" borderId="0" xfId="1" applyNumberFormat="1" applyFont="1" applyAlignment="1" applyProtection="1">
      <alignment horizontal="center" vertical="center"/>
      <protection locked="0"/>
    </xf>
    <xf numFmtId="0" fontId="22" fillId="2" borderId="10" xfId="1" applyFont="1" applyFill="1" applyBorder="1" applyAlignment="1">
      <alignment vertical="center" wrapText="1"/>
    </xf>
    <xf numFmtId="0" fontId="22" fillId="2" borderId="0" xfId="1" applyFont="1" applyFill="1" applyAlignment="1">
      <alignment vertical="center" wrapText="1"/>
    </xf>
    <xf numFmtId="0" fontId="18" fillId="2" borderId="11" xfId="1" applyFont="1" applyFill="1" applyBorder="1" applyAlignment="1" applyProtection="1">
      <alignment horizontal="center" vertical="center" wrapText="1"/>
      <protection locked="0"/>
    </xf>
    <xf numFmtId="0" fontId="20" fillId="0" borderId="20" xfId="1" applyFont="1" applyBorder="1" applyAlignment="1" applyProtection="1">
      <alignment horizontal="center" vertical="center" wrapText="1"/>
      <protection locked="0"/>
    </xf>
    <xf numFmtId="0" fontId="20" fillId="0" borderId="11" xfId="1" applyFont="1" applyBorder="1" applyAlignment="1" applyProtection="1">
      <alignment horizontal="center" vertical="center" wrapText="1"/>
      <protection locked="0"/>
    </xf>
    <xf numFmtId="9" fontId="20" fillId="0" borderId="10" xfId="1" applyNumberFormat="1" applyFont="1" applyBorder="1" applyAlignment="1" applyProtection="1">
      <alignment horizontal="center" vertical="center" wrapText="1"/>
      <protection locked="0"/>
    </xf>
    <xf numFmtId="0" fontId="22" fillId="2" borderId="28" xfId="1" applyFont="1" applyFill="1" applyBorder="1">
      <alignment vertical="center"/>
    </xf>
    <xf numFmtId="0" fontId="22" fillId="2" borderId="64" xfId="1" applyFont="1" applyFill="1" applyBorder="1" applyAlignment="1">
      <alignment vertical="center" wrapText="1"/>
    </xf>
    <xf numFmtId="0" fontId="20" fillId="0" borderId="64" xfId="1" applyFont="1" applyBorder="1" applyAlignment="1" applyProtection="1">
      <alignment horizontal="center" vertical="center" wrapText="1"/>
      <protection locked="0"/>
    </xf>
    <xf numFmtId="0" fontId="20" fillId="0" borderId="65" xfId="1" applyFont="1" applyBorder="1" applyAlignment="1" applyProtection="1">
      <alignment horizontal="center" vertical="center" wrapText="1"/>
      <protection locked="0"/>
    </xf>
    <xf numFmtId="0" fontId="20" fillId="0" borderId="66" xfId="1" applyFont="1" applyBorder="1" applyAlignment="1" applyProtection="1">
      <alignment horizontal="center" vertical="center" wrapText="1"/>
      <protection locked="0"/>
    </xf>
    <xf numFmtId="0" fontId="22" fillId="2" borderId="26" xfId="1" applyFont="1" applyFill="1" applyBorder="1" applyAlignment="1">
      <alignment vertical="center" wrapText="1"/>
    </xf>
    <xf numFmtId="0" fontId="22" fillId="2" borderId="27" xfId="1" applyFont="1" applyFill="1" applyBorder="1" applyAlignment="1">
      <alignment vertical="center" wrapText="1"/>
    </xf>
    <xf numFmtId="0" fontId="20" fillId="2" borderId="9" xfId="1" applyFont="1" applyFill="1" applyBorder="1" applyAlignment="1">
      <alignment horizontal="center" vertical="center" wrapText="1"/>
    </xf>
    <xf numFmtId="0" fontId="20" fillId="0" borderId="7" xfId="1" applyFont="1" applyBorder="1" applyAlignment="1" applyProtection="1">
      <alignment horizontal="center" vertical="center" wrapText="1"/>
      <protection locked="0"/>
    </xf>
    <xf numFmtId="0" fontId="20" fillId="0" borderId="7" xfId="1" applyFont="1" applyBorder="1" applyAlignment="1" applyProtection="1">
      <alignment horizontal="left" vertical="center" wrapText="1"/>
      <protection locked="0"/>
    </xf>
    <xf numFmtId="0" fontId="20" fillId="0" borderId="55" xfId="1" applyFont="1" applyBorder="1" applyAlignment="1" applyProtection="1">
      <alignment horizontal="center" vertical="center" wrapText="1"/>
      <protection locked="0"/>
    </xf>
    <xf numFmtId="0" fontId="20" fillId="2" borderId="0" xfId="1" applyFont="1" applyFill="1" applyAlignment="1" applyProtection="1">
      <alignment horizontal="center" vertical="center" wrapText="1"/>
      <protection locked="0"/>
    </xf>
    <xf numFmtId="0" fontId="34" fillId="0" borderId="10" xfId="1" applyFont="1" applyBorder="1" applyProtection="1">
      <alignment vertical="center"/>
      <protection locked="0"/>
    </xf>
    <xf numFmtId="0" fontId="20" fillId="0" borderId="31" xfId="1" applyFont="1" applyBorder="1" applyAlignment="1" applyProtection="1">
      <alignment horizontal="center" vertical="center" wrapText="1"/>
      <protection locked="0"/>
    </xf>
    <xf numFmtId="0" fontId="20" fillId="2" borderId="67" xfId="1" applyFont="1" applyFill="1" applyBorder="1" applyAlignment="1">
      <alignment horizontal="center" vertical="center" wrapText="1"/>
    </xf>
    <xf numFmtId="0" fontId="18" fillId="2" borderId="63" xfId="1" applyFont="1" applyFill="1" applyBorder="1" applyAlignment="1">
      <alignment horizontal="center" vertical="center" wrapText="1"/>
    </xf>
    <xf numFmtId="0" fontId="18" fillId="0" borderId="63" xfId="1" applyFont="1" applyBorder="1" applyAlignment="1" applyProtection="1">
      <alignment horizontal="center" vertical="center" wrapText="1"/>
      <protection locked="0"/>
    </xf>
    <xf numFmtId="0" fontId="27" fillId="0" borderId="63" xfId="1" applyFont="1" applyBorder="1" applyAlignment="1" applyProtection="1">
      <alignment horizontal="center" vertical="center" wrapText="1"/>
      <protection locked="0"/>
    </xf>
    <xf numFmtId="0" fontId="27" fillId="0" borderId="63" xfId="1" applyFont="1" applyBorder="1" applyAlignment="1" applyProtection="1">
      <alignment horizontal="left" vertical="center" wrapText="1"/>
      <protection locked="0"/>
    </xf>
    <xf numFmtId="0" fontId="27" fillId="0" borderId="15" xfId="1" applyFont="1" applyBorder="1" applyAlignment="1" applyProtection="1">
      <alignment horizontal="center" vertical="center" wrapText="1"/>
      <protection locked="0"/>
    </xf>
    <xf numFmtId="0" fontId="27" fillId="2" borderId="0" xfId="1" applyFont="1" applyFill="1" applyAlignment="1" applyProtection="1">
      <alignment horizontal="center" vertical="center" wrapText="1"/>
      <protection locked="0"/>
    </xf>
    <xf numFmtId="0" fontId="20" fillId="0" borderId="10" xfId="1" applyFont="1" applyBorder="1" applyAlignment="1" applyProtection="1">
      <alignment horizontal="center" vertical="center" wrapText="1"/>
      <protection locked="0"/>
    </xf>
    <xf numFmtId="0" fontId="26" fillId="2" borderId="68" xfId="1" applyFont="1" applyFill="1" applyBorder="1" applyAlignment="1">
      <alignment horizontal="center" vertical="center" wrapText="1"/>
    </xf>
    <xf numFmtId="0" fontId="18" fillId="0" borderId="4" xfId="1" applyFont="1" applyBorder="1" applyAlignment="1" applyProtection="1">
      <alignment horizontal="center" vertical="center" wrapText="1"/>
      <protection locked="0"/>
    </xf>
    <xf numFmtId="0" fontId="18" fillId="0" borderId="69" xfId="1" applyFont="1" applyBorder="1" applyAlignment="1" applyProtection="1">
      <alignment horizontal="center" vertical="center" wrapText="1"/>
      <protection locked="0"/>
    </xf>
    <xf numFmtId="0" fontId="18" fillId="2" borderId="0" xfId="1" applyFont="1" applyFill="1" applyAlignment="1" applyProtection="1">
      <alignment horizontal="center" vertical="center" wrapText="1"/>
      <protection locked="0"/>
    </xf>
    <xf numFmtId="0" fontId="20" fillId="2" borderId="70" xfId="1" applyFont="1" applyFill="1" applyBorder="1" applyAlignment="1">
      <alignment horizontal="center" vertical="center" wrapText="1"/>
    </xf>
    <xf numFmtId="0" fontId="18" fillId="0" borderId="71" xfId="1" applyFont="1" applyBorder="1" applyAlignment="1" applyProtection="1">
      <alignment horizontal="center" vertical="center" wrapText="1"/>
      <protection locked="0"/>
    </xf>
    <xf numFmtId="0" fontId="20" fillId="2" borderId="68"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18"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left" vertical="center" wrapText="1"/>
      <protection locked="0"/>
    </xf>
    <xf numFmtId="0" fontId="27" fillId="0" borderId="24" xfId="1" applyFont="1" applyBorder="1" applyAlignment="1" applyProtection="1">
      <alignment horizontal="center" vertical="center" wrapText="1"/>
      <protection locked="0"/>
    </xf>
    <xf numFmtId="0" fontId="18" fillId="2" borderId="4" xfId="1" applyFont="1" applyFill="1" applyBorder="1" applyAlignment="1">
      <alignment horizontal="center" vertical="center" wrapText="1"/>
    </xf>
    <xf numFmtId="0" fontId="18" fillId="2" borderId="69" xfId="1" applyFont="1" applyFill="1" applyBorder="1" applyAlignment="1">
      <alignment horizontal="center" vertical="center" wrapText="1"/>
    </xf>
    <xf numFmtId="0" fontId="28" fillId="2" borderId="43" xfId="1" applyFont="1" applyFill="1" applyBorder="1" applyAlignment="1">
      <alignment vertical="center" wrapText="1"/>
    </xf>
    <xf numFmtId="0" fontId="20" fillId="0" borderId="71" xfId="1" applyFont="1" applyBorder="1" applyAlignment="1" applyProtection="1">
      <alignment horizontal="center" vertical="center" wrapText="1"/>
      <protection locked="0"/>
    </xf>
    <xf numFmtId="0" fontId="26" fillId="0" borderId="71" xfId="1" applyFont="1" applyBorder="1" applyAlignment="1" applyProtection="1">
      <alignment horizontal="center" vertical="center" wrapText="1"/>
      <protection locked="0"/>
    </xf>
    <xf numFmtId="0" fontId="26" fillId="0" borderId="71" xfId="1" applyFont="1" applyBorder="1" applyAlignment="1" applyProtection="1">
      <alignment horizontal="left" vertical="center" wrapText="1"/>
      <protection locked="0"/>
    </xf>
    <xf numFmtId="0" fontId="26" fillId="0" borderId="72" xfId="1" applyFont="1" applyBorder="1" applyAlignment="1" applyProtection="1">
      <alignment horizontal="center" vertical="center" wrapText="1"/>
      <protection locked="0"/>
    </xf>
    <xf numFmtId="0" fontId="26" fillId="2" borderId="0" xfId="1" applyFont="1" applyFill="1" applyAlignment="1" applyProtection="1">
      <alignment horizontal="center" vertical="center" wrapText="1"/>
      <protection locked="0"/>
    </xf>
    <xf numFmtId="0" fontId="26" fillId="0" borderId="10" xfId="1" applyFont="1" applyBorder="1" applyAlignment="1" applyProtection="1">
      <alignment horizontal="center" vertical="center" wrapText="1"/>
      <protection locked="0"/>
    </xf>
    <xf numFmtId="9" fontId="26" fillId="0" borderId="0" xfId="1" applyNumberFormat="1" applyFont="1" applyAlignment="1" applyProtection="1">
      <alignment horizontal="center" vertical="center" wrapText="1"/>
      <protection locked="0"/>
    </xf>
    <xf numFmtId="0" fontId="20" fillId="0" borderId="4" xfId="1" applyFont="1" applyBorder="1" applyAlignment="1" applyProtection="1">
      <alignment horizontal="center" vertical="center" wrapText="1"/>
      <protection locked="0"/>
    </xf>
    <xf numFmtId="0" fontId="26" fillId="0" borderId="10" xfId="1" applyFont="1" applyBorder="1" applyAlignment="1" applyProtection="1">
      <alignment horizontal="center" vertical="center"/>
      <protection locked="0"/>
    </xf>
    <xf numFmtId="9" fontId="26" fillId="0" borderId="0" xfId="1" applyNumberFormat="1" applyFont="1" applyAlignment="1" applyProtection="1">
      <alignment horizontal="center" vertical="center"/>
      <protection locked="0"/>
    </xf>
    <xf numFmtId="0" fontId="26" fillId="0" borderId="4" xfId="1" applyFont="1" applyBorder="1" applyAlignment="1" applyProtection="1">
      <alignment horizontal="center" vertical="center" wrapText="1"/>
      <protection locked="0"/>
    </xf>
    <xf numFmtId="0" fontId="26" fillId="0" borderId="69" xfId="1" applyFont="1" applyBorder="1" applyAlignment="1" applyProtection="1">
      <alignment horizontal="center" vertical="center" wrapText="1"/>
      <protection locked="0"/>
    </xf>
    <xf numFmtId="0" fontId="26" fillId="0" borderId="7" xfId="1" applyFont="1" applyBorder="1" applyAlignment="1" applyProtection="1">
      <alignment horizontal="center" vertical="center" wrapText="1"/>
      <protection locked="0"/>
    </xf>
    <xf numFmtId="0" fontId="26" fillId="0" borderId="7" xfId="1" applyFont="1" applyBorder="1" applyAlignment="1" applyProtection="1">
      <alignment horizontal="left" vertical="center" wrapText="1"/>
      <protection locked="0"/>
    </xf>
    <xf numFmtId="0" fontId="26" fillId="0" borderId="55" xfId="1" applyFont="1" applyBorder="1" applyAlignment="1" applyProtection="1">
      <alignment horizontal="center" vertical="center" wrapText="1"/>
      <protection locked="0"/>
    </xf>
    <xf numFmtId="0" fontId="26" fillId="0" borderId="10" xfId="1" applyFont="1" applyBorder="1" applyAlignment="1" applyProtection="1">
      <alignment vertical="center" wrapText="1"/>
      <protection locked="0"/>
    </xf>
    <xf numFmtId="0" fontId="28" fillId="2" borderId="47" xfId="1" applyFont="1" applyFill="1" applyBorder="1" applyAlignment="1">
      <alignment vertical="center" wrapText="1"/>
    </xf>
    <xf numFmtId="0" fontId="20" fillId="2" borderId="65" xfId="1" applyFont="1" applyFill="1" applyBorder="1" applyAlignment="1">
      <alignment horizontal="center" vertical="center" wrapText="1"/>
    </xf>
    <xf numFmtId="0" fontId="20" fillId="0" borderId="73" xfId="1" applyFont="1" applyBorder="1" applyAlignment="1" applyProtection="1">
      <alignment horizontal="center" vertical="center" wrapText="1"/>
      <protection locked="0"/>
    </xf>
    <xf numFmtId="0" fontId="26" fillId="0" borderId="73" xfId="1" applyFont="1" applyBorder="1" applyAlignment="1" applyProtection="1">
      <alignment horizontal="center" vertical="center" wrapText="1"/>
      <protection locked="0"/>
    </xf>
    <xf numFmtId="0" fontId="26" fillId="0" borderId="50" xfId="1" applyFont="1" applyBorder="1" applyAlignment="1" applyProtection="1">
      <alignment horizontal="center" vertical="center" wrapText="1"/>
      <protection locked="0"/>
    </xf>
    <xf numFmtId="0" fontId="20" fillId="2" borderId="63" xfId="1" applyFont="1" applyFill="1" applyBorder="1" applyAlignment="1">
      <alignment horizontal="center" vertical="center" wrapText="1"/>
    </xf>
    <xf numFmtId="0" fontId="27" fillId="2" borderId="63" xfId="1" applyFont="1" applyFill="1" applyBorder="1" applyAlignment="1">
      <alignment horizontal="center" vertical="center" wrapText="1"/>
    </xf>
    <xf numFmtId="0" fontId="27" fillId="2" borderId="63" xfId="1" applyFont="1" applyFill="1" applyBorder="1" applyAlignment="1">
      <alignment horizontal="left" vertical="center" wrapText="1"/>
    </xf>
    <xf numFmtId="0" fontId="27" fillId="2" borderId="15" xfId="1" applyFont="1" applyFill="1" applyBorder="1" applyAlignment="1">
      <alignment horizontal="center" vertical="center" wrapText="1"/>
    </xf>
    <xf numFmtId="0" fontId="20" fillId="0" borderId="10" xfId="1" applyFont="1" applyBorder="1" applyAlignment="1" applyProtection="1">
      <alignment vertical="center" wrapText="1"/>
      <protection locked="0"/>
    </xf>
    <xf numFmtId="0" fontId="20" fillId="2" borderId="71" xfId="1" applyFont="1" applyFill="1" applyBorder="1" applyAlignment="1">
      <alignment horizontal="center" vertical="center" wrapText="1"/>
    </xf>
    <xf numFmtId="0" fontId="18" fillId="2" borderId="71" xfId="1" applyFont="1" applyFill="1" applyBorder="1" applyAlignment="1">
      <alignment horizontal="center" vertical="center" wrapText="1"/>
    </xf>
    <xf numFmtId="0" fontId="27" fillId="2" borderId="71" xfId="1" applyFont="1" applyFill="1" applyBorder="1" applyAlignment="1">
      <alignment horizontal="center" vertical="center" wrapText="1"/>
    </xf>
    <xf numFmtId="0" fontId="27" fillId="2" borderId="71" xfId="1" applyFont="1" applyFill="1" applyBorder="1" applyAlignment="1">
      <alignment horizontal="left" vertical="center" wrapText="1"/>
    </xf>
    <xf numFmtId="0" fontId="27" fillId="2" borderId="72" xfId="1" applyFont="1" applyFill="1" applyBorder="1" applyAlignment="1">
      <alignment horizontal="center" vertical="center" wrapText="1"/>
    </xf>
    <xf numFmtId="0" fontId="18" fillId="2" borderId="72"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20" fillId="0" borderId="71" xfId="1" applyFont="1" applyBorder="1" applyAlignment="1" applyProtection="1">
      <alignment horizontal="left" vertical="center" wrapText="1"/>
      <protection locked="0"/>
    </xf>
    <xf numFmtId="0" fontId="20" fillId="0" borderId="72" xfId="1" applyFont="1" applyBorder="1" applyAlignment="1" applyProtection="1">
      <alignment horizontal="center" vertical="center" wrapText="1"/>
      <protection locked="0"/>
    </xf>
    <xf numFmtId="0" fontId="20" fillId="2" borderId="4" xfId="1" applyFont="1" applyFill="1" applyBorder="1" applyAlignment="1">
      <alignment horizontal="center" vertical="center" wrapText="1"/>
    </xf>
    <xf numFmtId="0" fontId="21" fillId="0" borderId="71" xfId="1" applyFont="1" applyBorder="1" applyAlignment="1" applyProtection="1">
      <alignment horizontal="center" vertical="center" wrapText="1"/>
      <protection locked="0"/>
    </xf>
    <xf numFmtId="0" fontId="20" fillId="0" borderId="74" xfId="1" applyFont="1" applyBorder="1" applyAlignment="1" applyProtection="1">
      <alignment horizontal="center" vertical="center"/>
      <protection locked="0"/>
    </xf>
    <xf numFmtId="0" fontId="27" fillId="0" borderId="71" xfId="1" applyFont="1" applyBorder="1" applyAlignment="1" applyProtection="1">
      <alignment horizontal="center" vertical="center" wrapText="1"/>
      <protection locked="0"/>
    </xf>
    <xf numFmtId="0" fontId="27" fillId="0" borderId="71" xfId="1" applyFont="1" applyBorder="1" applyAlignment="1" applyProtection="1">
      <alignment horizontal="left" vertical="center" wrapText="1"/>
      <protection locked="0"/>
    </xf>
    <xf numFmtId="0" fontId="27" fillId="0" borderId="72" xfId="1" applyFont="1" applyBorder="1" applyAlignment="1" applyProtection="1">
      <alignment horizontal="center" vertical="center" wrapText="1"/>
      <protection locked="0"/>
    </xf>
    <xf numFmtId="0" fontId="18" fillId="0" borderId="7" xfId="1" applyFont="1" applyBorder="1" applyAlignment="1" applyProtection="1">
      <alignment horizontal="center" vertical="center" wrapText="1"/>
      <protection locked="0"/>
    </xf>
    <xf numFmtId="0" fontId="27" fillId="0" borderId="7" xfId="1" applyFont="1" applyBorder="1" applyAlignment="1" applyProtection="1">
      <alignment horizontal="center" vertical="center" wrapText="1"/>
      <protection locked="0"/>
    </xf>
    <xf numFmtId="0" fontId="27" fillId="0" borderId="7" xfId="1" applyFont="1" applyBorder="1" applyAlignment="1" applyProtection="1">
      <alignment horizontal="left" vertical="center" wrapText="1"/>
      <protection locked="0"/>
    </xf>
    <xf numFmtId="0" fontId="27" fillId="0" borderId="55" xfId="1" applyFont="1" applyBorder="1" applyAlignment="1" applyProtection="1">
      <alignment horizontal="center" vertical="center" wrapText="1"/>
      <protection locked="0"/>
    </xf>
    <xf numFmtId="0" fontId="18" fillId="0" borderId="73" xfId="1" applyFont="1" applyBorder="1" applyAlignment="1" applyProtection="1">
      <alignment horizontal="center" vertical="center" wrapText="1"/>
      <protection locked="0"/>
    </xf>
    <xf numFmtId="0" fontId="18" fillId="0" borderId="50" xfId="1" applyFont="1" applyBorder="1" applyAlignment="1" applyProtection="1">
      <alignment horizontal="center" vertical="center" wrapText="1"/>
      <protection locked="0"/>
    </xf>
    <xf numFmtId="0" fontId="19" fillId="0" borderId="63" xfId="1" applyFont="1" applyBorder="1" applyAlignment="1" applyProtection="1">
      <alignment horizontal="center" vertical="center" wrapText="1"/>
      <protection locked="0"/>
    </xf>
    <xf numFmtId="0" fontId="20" fillId="2" borderId="26" xfId="1" applyFont="1" applyFill="1" applyBorder="1" applyAlignment="1">
      <alignment horizontal="center" vertical="center"/>
    </xf>
    <xf numFmtId="0" fontId="20" fillId="0" borderId="21" xfId="1" applyFont="1" applyBorder="1" applyAlignment="1" applyProtection="1">
      <alignment horizontal="center" vertical="center" wrapText="1"/>
      <protection locked="0"/>
    </xf>
    <xf numFmtId="0" fontId="26" fillId="0" borderId="21" xfId="1" applyFont="1" applyBorder="1" applyAlignment="1" applyProtection="1">
      <alignment horizontal="center" vertical="center" wrapText="1"/>
      <protection locked="0"/>
    </xf>
    <xf numFmtId="0" fontId="26" fillId="0" borderId="21" xfId="1" applyFont="1" applyBorder="1" applyAlignment="1" applyProtection="1">
      <alignment horizontal="left" vertical="center" wrapText="1"/>
      <protection locked="0"/>
    </xf>
    <xf numFmtId="0" fontId="26" fillId="0" borderId="24" xfId="1" applyFont="1" applyBorder="1" applyAlignment="1" applyProtection="1">
      <alignment horizontal="center" vertical="center" wrapText="1"/>
      <protection locked="0"/>
    </xf>
    <xf numFmtId="0" fontId="26" fillId="2" borderId="71" xfId="1" applyFont="1" applyFill="1" applyBorder="1" applyAlignment="1">
      <alignment horizontal="center" vertical="center" wrapText="1"/>
    </xf>
    <xf numFmtId="0" fontId="26" fillId="2" borderId="71" xfId="1" applyFont="1" applyFill="1" applyBorder="1" applyAlignment="1">
      <alignment horizontal="left" vertical="center" wrapText="1"/>
    </xf>
    <xf numFmtId="0" fontId="26" fillId="2" borderId="72" xfId="1" applyFont="1" applyFill="1" applyBorder="1" applyAlignment="1">
      <alignment horizontal="center" vertical="center" wrapText="1"/>
    </xf>
    <xf numFmtId="0" fontId="26" fillId="2" borderId="21" xfId="1" applyFont="1" applyFill="1" applyBorder="1" applyAlignment="1">
      <alignment horizontal="left" vertical="center" wrapText="1"/>
    </xf>
    <xf numFmtId="0" fontId="26" fillId="2" borderId="24" xfId="1" applyFont="1" applyFill="1" applyBorder="1" applyAlignment="1">
      <alignment horizontal="center" vertical="center" wrapText="1"/>
    </xf>
    <xf numFmtId="0" fontId="26" fillId="2" borderId="4" xfId="1" applyFont="1" applyFill="1" applyBorder="1" applyAlignment="1">
      <alignment horizontal="center" vertical="center" wrapText="1"/>
    </xf>
    <xf numFmtId="0" fontId="26" fillId="2" borderId="69" xfId="1" applyFont="1" applyFill="1" applyBorder="1" applyAlignment="1">
      <alignment horizontal="center" vertical="center" wrapText="1"/>
    </xf>
    <xf numFmtId="0" fontId="35" fillId="0" borderId="0" xfId="1" applyFont="1" applyAlignment="1" applyProtection="1">
      <alignment horizontal="left" vertical="center"/>
      <protection locked="0"/>
    </xf>
    <xf numFmtId="176" fontId="18" fillId="0" borderId="0" xfId="1" applyNumberFormat="1" applyFont="1" applyAlignment="1" applyProtection="1">
      <alignment horizontal="center" vertical="center"/>
      <protection locked="0"/>
    </xf>
    <xf numFmtId="177" fontId="18" fillId="0" borderId="0" xfId="1" applyNumberFormat="1" applyFont="1" applyAlignment="1" applyProtection="1">
      <alignment horizontal="center" vertical="center"/>
      <protection locked="0"/>
    </xf>
    <xf numFmtId="0" fontId="3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8" fillId="2" borderId="13" xfId="1" applyFont="1" applyFill="1" applyBorder="1" applyAlignment="1">
      <alignment horizontal="center" vertical="center"/>
    </xf>
    <xf numFmtId="0" fontId="18" fillId="2" borderId="75" xfId="1" applyFont="1" applyFill="1" applyBorder="1" applyAlignment="1">
      <alignment horizontal="center" vertical="center"/>
    </xf>
    <xf numFmtId="0" fontId="34" fillId="2" borderId="13" xfId="1" applyFont="1" applyFill="1" applyBorder="1" applyAlignment="1">
      <alignment horizontal="center" vertical="center"/>
    </xf>
    <xf numFmtId="0" fontId="14" fillId="2" borderId="75" xfId="1" applyFont="1" applyFill="1" applyBorder="1" applyAlignment="1">
      <alignment horizontal="center" vertical="center"/>
    </xf>
    <xf numFmtId="0" fontId="14" fillId="2" borderId="76" xfId="1" applyFont="1" applyFill="1" applyBorder="1">
      <alignment vertical="center"/>
    </xf>
    <xf numFmtId="0" fontId="34" fillId="2" borderId="21" xfId="1" applyFont="1" applyFill="1" applyBorder="1" applyAlignment="1">
      <alignment horizontal="center" vertical="center"/>
    </xf>
    <xf numFmtId="0" fontId="34" fillId="2" borderId="38" xfId="1" applyFont="1" applyFill="1" applyBorder="1" applyAlignment="1">
      <alignment horizontal="center" vertical="center"/>
    </xf>
    <xf numFmtId="0" fontId="34" fillId="2" borderId="77" xfId="1" applyFont="1" applyFill="1" applyBorder="1" applyAlignment="1">
      <alignment horizontal="center" vertical="center"/>
    </xf>
    <xf numFmtId="0" fontId="34" fillId="2" borderId="24" xfId="1" applyFont="1" applyFill="1" applyBorder="1" applyAlignment="1">
      <alignment horizontal="center" vertical="center"/>
    </xf>
    <xf numFmtId="0" fontId="14" fillId="2" borderId="78" xfId="1" applyFont="1" applyFill="1" applyBorder="1" applyAlignment="1">
      <alignment horizontal="center" vertical="center"/>
    </xf>
    <xf numFmtId="0" fontId="14" fillId="2" borderId="44" xfId="1" applyFont="1" applyFill="1" applyBorder="1" applyAlignment="1">
      <alignment horizontal="center" vertical="center"/>
    </xf>
    <xf numFmtId="0" fontId="14" fillId="0" borderId="7" xfId="1" applyFont="1" applyBorder="1" applyAlignment="1" applyProtection="1">
      <alignment horizontal="center" vertical="center"/>
      <protection locked="0"/>
    </xf>
    <xf numFmtId="0" fontId="34" fillId="0" borderId="7"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79" xfId="1" applyFont="1" applyBorder="1" applyAlignment="1" applyProtection="1">
      <alignment horizontal="center" vertical="center"/>
      <protection locked="0"/>
    </xf>
    <xf numFmtId="0" fontId="14" fillId="0" borderId="55" xfId="1" applyFont="1" applyBorder="1" applyAlignment="1" applyProtection="1">
      <alignment horizontal="center" vertical="center"/>
      <protection locked="0"/>
    </xf>
    <xf numFmtId="0" fontId="34" fillId="2" borderId="9" xfId="1" applyFont="1" applyFill="1" applyBorder="1" applyAlignment="1">
      <alignment horizontal="center" vertical="center"/>
    </xf>
    <xf numFmtId="178" fontId="14" fillId="2" borderId="55" xfId="1" applyNumberFormat="1" applyFont="1" applyFill="1" applyBorder="1" applyAlignment="1">
      <alignment horizontal="center" vertical="center"/>
    </xf>
    <xf numFmtId="0" fontId="14" fillId="2" borderId="23" xfId="1" applyFont="1" applyFill="1" applyBorder="1" applyAlignment="1">
      <alignment horizontal="center" vertical="center"/>
    </xf>
    <xf numFmtId="0" fontId="14" fillId="0" borderId="21" xfId="1" applyFont="1" applyBorder="1" applyAlignment="1" applyProtection="1">
      <alignment horizontal="center" vertical="center"/>
      <protection locked="0"/>
    </xf>
    <xf numFmtId="0" fontId="14" fillId="0" borderId="38" xfId="1" applyFont="1" applyBorder="1" applyAlignment="1" applyProtection="1">
      <alignment horizontal="center" vertical="center"/>
      <protection locked="0"/>
    </xf>
    <xf numFmtId="0" fontId="14" fillId="0" borderId="77"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34" fillId="2" borderId="4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4" xfId="1" applyFont="1" applyFill="1" applyBorder="1" applyAlignment="1">
      <alignment horizontal="center" vertical="center"/>
    </xf>
    <xf numFmtId="183" fontId="14" fillId="2" borderId="24" xfId="1" applyNumberFormat="1" applyFont="1" applyFill="1" applyBorder="1" applyAlignment="1">
      <alignment horizontal="center" vertical="center"/>
    </xf>
    <xf numFmtId="183" fontId="14" fillId="0" borderId="24" xfId="1" applyNumberFormat="1" applyFont="1" applyBorder="1" applyAlignment="1" applyProtection="1">
      <alignment horizontal="center" vertical="center"/>
      <protection locked="0"/>
    </xf>
    <xf numFmtId="0" fontId="34" fillId="0" borderId="21" xfId="1" applyFont="1" applyBorder="1" applyAlignment="1" applyProtection="1">
      <alignment horizontal="center" vertical="center"/>
      <protection locked="0"/>
    </xf>
    <xf numFmtId="0" fontId="34" fillId="0" borderId="77" xfId="1" applyFont="1" applyBorder="1" applyAlignment="1" applyProtection="1">
      <alignment horizontal="center" vertical="center"/>
      <protection locked="0"/>
    </xf>
    <xf numFmtId="0" fontId="34" fillId="2" borderId="80" xfId="1" applyFont="1" applyFill="1" applyBorder="1" applyAlignment="1">
      <alignment horizontal="center" vertical="center"/>
    </xf>
    <xf numFmtId="0" fontId="14" fillId="2" borderId="73"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81" xfId="1" applyFont="1" applyFill="1" applyBorder="1" applyAlignment="1">
      <alignment horizontal="left" vertical="center"/>
    </xf>
    <xf numFmtId="0" fontId="18" fillId="2" borderId="29" xfId="1" applyFont="1" applyFill="1" applyBorder="1" applyAlignment="1">
      <alignment horizontal="center" vertical="center"/>
    </xf>
    <xf numFmtId="0" fontId="18" fillId="2" borderId="62" xfId="1" applyFont="1" applyFill="1" applyBorder="1" applyAlignment="1">
      <alignment horizontal="center" vertical="center"/>
    </xf>
    <xf numFmtId="0" fontId="34" fillId="2" borderId="82" xfId="1" applyFont="1" applyFill="1" applyBorder="1" applyAlignment="1">
      <alignment horizontal="center" vertical="center"/>
    </xf>
    <xf numFmtId="0" fontId="14" fillId="0" borderId="73" xfId="1" applyFont="1" applyBorder="1" applyAlignment="1" applyProtection="1">
      <alignment horizontal="center" vertical="center"/>
      <protection locked="0"/>
    </xf>
    <xf numFmtId="183" fontId="14" fillId="2" borderId="50" xfId="1" applyNumberFormat="1" applyFont="1" applyFill="1" applyBorder="1" applyAlignment="1">
      <alignment horizontal="center" vertical="center"/>
    </xf>
    <xf numFmtId="0" fontId="19" fillId="0" borderId="23" xfId="1" applyFont="1" applyBorder="1" applyAlignment="1" applyProtection="1">
      <alignment horizontal="center" vertical="center" wrapText="1"/>
      <protection locked="0"/>
    </xf>
    <xf numFmtId="0" fontId="18" fillId="0" borderId="24" xfId="1" applyFont="1" applyBorder="1" applyAlignment="1" applyProtection="1">
      <alignment horizontal="center" vertical="center" wrapText="1"/>
      <protection locked="0"/>
    </xf>
    <xf numFmtId="0" fontId="18" fillId="0" borderId="30" xfId="1" applyFont="1" applyBorder="1" applyAlignment="1" applyProtection="1">
      <alignment horizontal="center" vertical="center" wrapText="1"/>
      <protection locked="0"/>
    </xf>
    <xf numFmtId="0" fontId="18" fillId="0" borderId="31" xfId="1" applyFont="1" applyBorder="1" applyAlignment="1" applyProtection="1">
      <alignment horizontal="center" vertical="center" wrapText="1"/>
      <protection locked="0"/>
    </xf>
    <xf numFmtId="0" fontId="18" fillId="0" borderId="20" xfId="1" applyFont="1" applyBorder="1" applyAlignment="1" applyProtection="1">
      <alignment horizontal="center" vertical="center" wrapText="1"/>
      <protection locked="0"/>
    </xf>
    <xf numFmtId="0" fontId="18" fillId="0" borderId="19" xfId="1" applyFont="1" applyBorder="1" applyAlignment="1" applyProtection="1">
      <alignment horizontal="center" vertical="center" wrapText="1"/>
      <protection locked="0"/>
    </xf>
  </cellXfs>
  <cellStyles count="2">
    <cellStyle name="常规" xfId="0" builtinId="0"/>
    <cellStyle name="常规 2" xfId="1" xr:uid="{49CDE8BB-FC65-45BA-A4D6-1D27A44F9C1D}"/>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161925</xdr:colOff>
      <xdr:row>37</xdr:row>
      <xdr:rowOff>69752</xdr:rowOff>
    </xdr:to>
    <xdr:pic>
      <xdr:nvPicPr>
        <xdr:cNvPr id="2" name="图片 1">
          <a:extLst>
            <a:ext uri="{FF2B5EF4-FFF2-40B4-BE49-F238E27FC236}">
              <a16:creationId xmlns:a16="http://schemas.microsoft.com/office/drawing/2014/main" id="{6FD1DE1A-9C2E-0F19-39FA-BA0F005D1BC4}"/>
            </a:ext>
          </a:extLst>
        </xdr:cNvPr>
        <xdr:cNvPicPr>
          <a:picLocks noChangeAspect="1"/>
        </xdr:cNvPicPr>
      </xdr:nvPicPr>
      <xdr:blipFill>
        <a:blip xmlns:r="http://schemas.openxmlformats.org/officeDocument/2006/relationships" r:embed="rId1"/>
        <a:stretch>
          <a:fillRect/>
        </a:stretch>
      </xdr:blipFill>
      <xdr:spPr>
        <a:xfrm>
          <a:off x="0" y="0"/>
          <a:ext cx="7705725" cy="6765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496;&#27861;-&#20016;&#33862;&#36335;98&#21495;\&#27979;&#31639;-&#20013;&#28023;&#20061;&#21495;&#20844;&#39302;.xlsx" TargetMode="External"/><Relationship Id="rId1" Type="http://schemas.openxmlformats.org/officeDocument/2006/relationships/externalLinkPath" Target="&#21496;&#27861;-&#20016;&#33862;&#36335;98&#21495;/&#27979;&#31639;-&#20013;&#28023;&#20061;&#21495;&#20844;&#39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比较法-住宅"/>
      <sheetName val="收益法 (元)"/>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比较法-住宅租金"/>
      <sheetName val="成本法 (元)"/>
      <sheetName val="基准地价修正"/>
      <sheetName val="Sheet1"/>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3">
          <cell r="E3">
            <v>209.06</v>
          </cell>
        </row>
        <row r="17">
          <cell r="C17" t="str">
            <v>项目类型</v>
          </cell>
        </row>
        <row r="19">
          <cell r="C19" t="str">
            <v>住宅</v>
          </cell>
          <cell r="E19">
            <v>209.06</v>
          </cell>
        </row>
        <row r="20">
          <cell r="E20">
            <v>0</v>
          </cell>
        </row>
        <row r="21">
          <cell r="E21">
            <v>0</v>
          </cell>
        </row>
        <row r="22">
          <cell r="E22">
            <v>0</v>
          </cell>
        </row>
        <row r="23">
          <cell r="E23">
            <v>0</v>
          </cell>
        </row>
        <row r="24">
          <cell r="E24">
            <v>0</v>
          </cell>
        </row>
        <row r="25">
          <cell r="E25">
            <v>0</v>
          </cell>
        </row>
        <row r="26">
          <cell r="E26">
            <v>0</v>
          </cell>
        </row>
        <row r="27">
          <cell r="C27" t="str">
            <v>小计</v>
          </cell>
          <cell r="E27">
            <v>209.06</v>
          </cell>
        </row>
        <row r="28">
          <cell r="C28" t="str">
            <v>设备及其他</v>
          </cell>
          <cell r="E28">
            <v>0</v>
          </cell>
        </row>
        <row r="29">
          <cell r="C29" t="str">
            <v>公共配套及物业（住宅）</v>
          </cell>
          <cell r="E29">
            <v>0</v>
          </cell>
        </row>
        <row r="30">
          <cell r="C30" t="str">
            <v>小计</v>
          </cell>
          <cell r="E30">
            <v>0</v>
          </cell>
        </row>
        <row r="31">
          <cell r="C31" t="str">
            <v>合计</v>
          </cell>
          <cell r="E31">
            <v>209.06</v>
          </cell>
        </row>
        <row r="32">
          <cell r="E32">
            <v>209.06</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3">
          <cell r="C3" t="str">
            <v>估价对象周边有CBD玲珑墅、朗悦家园、朝丰家园等住宅小区，居住社区发展完善程度较高，居住社区成熟度较好。</v>
          </cell>
        </row>
        <row r="6">
          <cell r="C6" t="str">
            <v>估价对象距离地铁7号线郎辛庄站约100米，周边有411路、457路、专170、专171等公交通过并设站，综合评价交通便捷度较好。</v>
          </cell>
        </row>
        <row r="7">
          <cell r="C7" t="str">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ell>
        </row>
        <row r="8">
          <cell r="C8" t="str">
            <v>估价对象所在区域基础设施水平</v>
          </cell>
        </row>
        <row r="9">
          <cell r="C9" t="str">
            <v>周边有通惠河灌渠、马家湾湿地公园、聿博文体公园等自然人文环境，综合评价环境状况较好。</v>
          </cell>
        </row>
      </sheetData>
      <sheetData sheetId="16"/>
      <sheetData sheetId="17"/>
      <sheetData sheetId="18"/>
      <sheetData sheetId="19"/>
      <sheetData sheetId="20"/>
      <sheetData sheetId="21"/>
      <sheetData sheetId="22"/>
      <sheetData sheetId="23"/>
      <sheetData sheetId="24"/>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3"/>
      <sheetData sheetId="34"/>
      <sheetData sheetId="35"/>
      <sheetData sheetId="36"/>
      <sheetData sheetId="37"/>
      <sheetData sheetId="38">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73">
          <cell r="C73" t="str">
            <v>商业街名称</v>
          </cell>
        </row>
        <row r="74">
          <cell r="C74" t="str">
            <v>不临65条商业街</v>
          </cell>
        </row>
        <row r="75">
          <cell r="C75" t="str">
            <v>东长安街</v>
          </cell>
        </row>
        <row r="76">
          <cell r="C76" t="str">
            <v>王府井商业街（王府井大街）</v>
          </cell>
        </row>
        <row r="77">
          <cell r="C77" t="str">
            <v>前门商业街（前门大街）</v>
          </cell>
        </row>
        <row r="78">
          <cell r="C78" t="str">
            <v>建国门内大街</v>
          </cell>
        </row>
        <row r="79">
          <cell r="C79" t="str">
            <v>王府井大街</v>
          </cell>
        </row>
        <row r="80">
          <cell r="C80" t="str">
            <v>东单北大街</v>
          </cell>
        </row>
        <row r="81">
          <cell r="C81" t="str">
            <v>南锣鼓巷</v>
          </cell>
        </row>
        <row r="82">
          <cell r="C82" t="str">
            <v>东四南大街</v>
          </cell>
        </row>
        <row r="83">
          <cell r="C83" t="str">
            <v>簋街（东直门内大街）</v>
          </cell>
        </row>
        <row r="84">
          <cell r="C84" t="str">
            <v>东四十条</v>
          </cell>
        </row>
        <row r="85">
          <cell r="C85" t="str">
            <v>张自忠路</v>
          </cell>
        </row>
        <row r="86">
          <cell r="C86" t="str">
            <v>地安门东大街</v>
          </cell>
        </row>
        <row r="87">
          <cell r="C87" t="str">
            <v>崇文门外大街</v>
          </cell>
        </row>
        <row r="88">
          <cell r="C88" t="str">
            <v>广渠门内大街</v>
          </cell>
        </row>
        <row r="89">
          <cell r="C89" t="str">
            <v>珠市口东大街</v>
          </cell>
        </row>
        <row r="90">
          <cell r="C90" t="str">
            <v>鲜鱼口老字号美食街</v>
          </cell>
        </row>
        <row r="91">
          <cell r="C91" t="str">
            <v>五道营胡同</v>
          </cell>
        </row>
        <row r="92">
          <cell r="C92" t="str">
            <v>西长安街</v>
          </cell>
        </row>
        <row r="93">
          <cell r="C93" t="str">
            <v>西单商业街（西单北大街）</v>
          </cell>
        </row>
        <row r="94">
          <cell r="C94" t="str">
            <v>复兴门内大街</v>
          </cell>
        </row>
        <row r="95">
          <cell r="C95" t="str">
            <v>西四大街</v>
          </cell>
        </row>
        <row r="96">
          <cell r="C96" t="str">
            <v>大栅栏商业街</v>
          </cell>
        </row>
        <row r="97">
          <cell r="C97" t="str">
            <v>琉璃厂古文化街（琉璃厂西街、琉璃厂东街）</v>
          </cell>
        </row>
        <row r="98">
          <cell r="C98" t="str">
            <v>复兴门外大街</v>
          </cell>
        </row>
        <row r="99">
          <cell r="C99" t="str">
            <v>新街口大街</v>
          </cell>
        </row>
        <row r="100">
          <cell r="C100" t="str">
            <v>地安门西大街</v>
          </cell>
        </row>
        <row r="101">
          <cell r="C101" t="str">
            <v>平安里西大街</v>
          </cell>
        </row>
        <row r="102">
          <cell r="C102" t="str">
            <v>珠市口西大街</v>
          </cell>
        </row>
        <row r="103">
          <cell r="C103" t="str">
            <v>骡马市大街</v>
          </cell>
        </row>
        <row r="104">
          <cell r="C104" t="str">
            <v>广安门内大街</v>
          </cell>
        </row>
        <row r="105">
          <cell r="C105" t="str">
            <v>马连道茶叶街（马连道路）</v>
          </cell>
        </row>
        <row r="106">
          <cell r="C106" t="str">
            <v>烟袋斜街</v>
          </cell>
        </row>
        <row r="107">
          <cell r="C107" t="str">
            <v>护国寺街</v>
          </cell>
        </row>
        <row r="108">
          <cell r="C108" t="str">
            <v>什刹海茶艺酒吧街</v>
          </cell>
        </row>
        <row r="109">
          <cell r="C109" t="str">
            <v>三里屯路</v>
          </cell>
        </row>
        <row r="110">
          <cell r="C110" t="str">
            <v>建国门外大街</v>
          </cell>
        </row>
        <row r="111">
          <cell r="C111" t="str">
            <v>建国路</v>
          </cell>
        </row>
        <row r="112">
          <cell r="C112" t="str">
            <v>朝阳门外大街</v>
          </cell>
        </row>
        <row r="113">
          <cell r="C113" t="str">
            <v>十里河家具大道</v>
          </cell>
        </row>
        <row r="114">
          <cell r="C114" t="str">
            <v xml:space="preserve">大羊坊路         </v>
          </cell>
        </row>
        <row r="115">
          <cell r="C115" t="str">
            <v>中关村大街</v>
          </cell>
        </row>
        <row r="116">
          <cell r="C116" t="str">
            <v>复兴路</v>
          </cell>
        </row>
        <row r="117">
          <cell r="C117" t="str">
            <v>丹棱街</v>
          </cell>
        </row>
        <row r="118">
          <cell r="C118" t="str">
            <v>丽泽路</v>
          </cell>
        </row>
        <row r="119">
          <cell r="C119" t="str">
            <v>方庄商业街（蒲芳路）</v>
          </cell>
        </row>
        <row r="120">
          <cell r="C120" t="str">
            <v>政达路</v>
          </cell>
        </row>
        <row r="121">
          <cell r="C121" t="str">
            <v>北京台湾街</v>
          </cell>
        </row>
        <row r="122">
          <cell r="C122" t="str">
            <v>新桥大街</v>
          </cell>
        </row>
        <row r="123">
          <cell r="C123" t="str">
            <v>金安路</v>
          </cell>
        </row>
        <row r="124">
          <cell r="C124" t="str">
            <v>南关大街</v>
          </cell>
        </row>
        <row r="125">
          <cell r="C125" t="str">
            <v>拱辰大街</v>
          </cell>
        </row>
        <row r="126">
          <cell r="C126" t="str">
            <v>新华大街</v>
          </cell>
        </row>
        <row r="127">
          <cell r="C127" t="str">
            <v>云景东路</v>
          </cell>
        </row>
        <row r="128">
          <cell r="C128" t="str">
            <v>新顺大街</v>
          </cell>
        </row>
        <row r="129">
          <cell r="C129" t="str">
            <v>鼓楼东、西街</v>
          </cell>
        </row>
        <row r="130">
          <cell r="C130" t="str">
            <v>鼓楼南、北街</v>
          </cell>
        </row>
        <row r="131">
          <cell r="C131" t="str">
            <v>回龙观西大街</v>
          </cell>
        </row>
        <row r="132">
          <cell r="C132" t="str">
            <v>兴华大街</v>
          </cell>
        </row>
        <row r="133">
          <cell r="C133" t="str">
            <v>新源大街</v>
          </cell>
        </row>
        <row r="134">
          <cell r="C134" t="str">
            <v>商业街</v>
          </cell>
        </row>
        <row r="135">
          <cell r="C135" t="str">
            <v>青春路</v>
          </cell>
        </row>
        <row r="136">
          <cell r="C136" t="str">
            <v>步行街</v>
          </cell>
        </row>
        <row r="137">
          <cell r="C137" t="str">
            <v>鼓楼东、西大街</v>
          </cell>
        </row>
        <row r="138">
          <cell r="C138" t="str">
            <v>鼓楼南北大街</v>
          </cell>
        </row>
        <row r="139">
          <cell r="C139" t="str">
            <v>东外大街</v>
          </cell>
        </row>
      </sheetData>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2217-9CCC-45B2-894F-4CD366A54845}">
  <sheetPr>
    <tabColor rgb="FF92D050"/>
    <pageSetUpPr fitToPage="1"/>
  </sheetPr>
  <dimension ref="A1:AC148"/>
  <sheetViews>
    <sheetView tabSelected="1" view="pageBreakPreview" topLeftCell="B19" zoomScaleNormal="60" zoomScaleSheetLayoutView="100" workbookViewId="0">
      <selection activeCell="I48" sqref="I48"/>
    </sheetView>
  </sheetViews>
  <sheetFormatPr defaultColWidth="9" defaultRowHeight="14.25" x14ac:dyDescent="0.2"/>
  <cols>
    <col min="1" max="1" width="10.5" style="49" customWidth="1"/>
    <col min="2" max="3" width="15.75" style="49" customWidth="1"/>
    <col min="4" max="4" width="12.25" style="49" customWidth="1"/>
    <col min="5" max="5" width="17.125" style="49" customWidth="1"/>
    <col min="6" max="6" width="12.25" style="49" customWidth="1"/>
    <col min="7" max="7" width="16.5" style="49" customWidth="1"/>
    <col min="8" max="8" width="12.25" style="49" customWidth="1"/>
    <col min="9" max="9" width="15.625" style="49" customWidth="1"/>
    <col min="10" max="10" width="12.25" style="49" customWidth="1"/>
    <col min="11" max="11" width="12.25" style="345" customWidth="1"/>
    <col min="12" max="12" width="12.25" style="346" customWidth="1"/>
    <col min="13" max="15" width="12.25" style="49" customWidth="1"/>
    <col min="16" max="16" width="4.75" style="212" customWidth="1"/>
    <col min="17" max="17" width="19.5" style="49" customWidth="1"/>
    <col min="18" max="22" width="6.125" style="49" customWidth="1"/>
    <col min="23" max="23" width="5.75" style="49" customWidth="1"/>
    <col min="24" max="24" width="4.25" style="49" customWidth="1"/>
    <col min="25" max="25" width="3.5" style="49" customWidth="1"/>
    <col min="26" max="26" width="19.75" style="49" customWidth="1"/>
    <col min="27" max="28" width="9.375" style="49" customWidth="1"/>
    <col min="29" max="16384" width="9" style="49"/>
  </cols>
  <sheetData>
    <row r="1" spans="1:29" s="14" customFormat="1" ht="28.5" customHeight="1" thickBot="1" x14ac:dyDescent="0.25">
      <c r="A1" s="1" t="s">
        <v>8</v>
      </c>
      <c r="B1" s="2" t="s">
        <v>9</v>
      </c>
      <c r="C1" s="3" t="s">
        <v>10</v>
      </c>
      <c r="D1" s="4" t="s">
        <v>11</v>
      </c>
      <c r="E1" s="5" t="s">
        <v>12</v>
      </c>
      <c r="F1" s="6" t="s">
        <v>129</v>
      </c>
      <c r="G1" s="7" t="s">
        <v>13</v>
      </c>
      <c r="H1" s="8"/>
      <c r="I1" s="8"/>
      <c r="J1" s="8"/>
      <c r="K1" s="9"/>
      <c r="L1" s="10"/>
      <c r="M1" s="3"/>
      <c r="N1" s="3"/>
      <c r="O1" s="3"/>
      <c r="P1" s="11"/>
      <c r="Q1" s="12"/>
      <c r="R1" s="12"/>
      <c r="S1" s="12"/>
      <c r="T1" s="12"/>
      <c r="U1" s="12"/>
      <c r="V1" s="12"/>
      <c r="W1" s="12"/>
      <c r="X1" s="12"/>
      <c r="Y1" s="12"/>
      <c r="Z1" s="12"/>
      <c r="AA1" s="12"/>
      <c r="AB1" s="12"/>
      <c r="AC1" s="13"/>
    </row>
    <row r="2" spans="1:29" s="28" customFormat="1" ht="28.5" customHeight="1" thickTop="1" x14ac:dyDescent="0.2">
      <c r="A2" s="15" t="s">
        <v>14</v>
      </c>
      <c r="B2" s="16">
        <f>IF(E1="项目模式",IF(C2="——",ROUND(C49*D3/10000,0),ROUND(C49*D3/10000,0)-D2),IF(E1="单套模式",IF(C2="——",ROUND(C49*D3/10000,4),ROUND(C49*D3/10000,4)-D2)))</f>
        <v>1.8126</v>
      </c>
      <c r="C2" s="17" t="s">
        <v>15</v>
      </c>
      <c r="D2" s="18" t="e">
        <f ca="1">IF(E1="项目模式",SUMIF(INDIRECT("'"&amp;F2&amp;"'"&amp;"!A:A"),"承租人权益价值",INDIRECT("'"&amp;F2&amp;"'"&amp;"!c:c")),SUMIF(INDIRECT("'"&amp;F2&amp;"'"&amp;"!A:A"),"承租人权益价值（单套）",INDIRECT("'"&amp;F2&amp;"'"&amp;"!c:c")))</f>
        <v>#REF!</v>
      </c>
      <c r="E2" s="19" t="s">
        <v>16</v>
      </c>
      <c r="F2" s="20"/>
      <c r="G2" s="21"/>
      <c r="H2" s="21"/>
      <c r="I2" s="21"/>
      <c r="J2" s="21"/>
      <c r="K2" s="22"/>
      <c r="L2" s="23"/>
      <c r="M2" s="24"/>
      <c r="N2" s="24"/>
      <c r="O2" s="24"/>
      <c r="P2" s="25"/>
      <c r="Q2" s="26"/>
      <c r="R2" s="26"/>
      <c r="S2" s="26"/>
      <c r="T2" s="26"/>
      <c r="U2" s="26"/>
      <c r="V2" s="26"/>
      <c r="W2" s="26"/>
      <c r="X2" s="26"/>
      <c r="Y2" s="26"/>
      <c r="Z2" s="26"/>
      <c r="AA2" s="26"/>
      <c r="AB2" s="26"/>
      <c r="AC2" s="27"/>
    </row>
    <row r="3" spans="1:29" s="28" customFormat="1" ht="28.5" customHeight="1" thickBot="1" x14ac:dyDescent="0.25">
      <c r="A3" s="29" t="s">
        <v>17</v>
      </c>
      <c r="B3" s="30">
        <f>IF(C2="——",C49,ROUND(B2*10000/D3,0))</f>
        <v>86.7</v>
      </c>
      <c r="C3" s="31" t="s">
        <v>18</v>
      </c>
      <c r="D3" s="30">
        <f>IF(D1="",'[1]数据-汇总表'!E3,SUMIF('[1]数据-汇总表'!$C19:$C33,D1,'[1]数据-汇总表'!$E19:$E33))</f>
        <v>209.06</v>
      </c>
      <c r="E3" s="21"/>
      <c r="F3" s="32"/>
      <c r="G3" s="21"/>
      <c r="H3" s="21"/>
      <c r="I3" s="21"/>
      <c r="J3" s="21"/>
      <c r="K3" s="22"/>
      <c r="L3" s="23"/>
      <c r="M3" s="24"/>
      <c r="N3" s="24"/>
      <c r="O3" s="24"/>
      <c r="P3" s="25"/>
      <c r="Q3" s="26"/>
      <c r="R3" s="26"/>
      <c r="S3" s="26"/>
      <c r="T3" s="26"/>
      <c r="U3" s="26"/>
      <c r="V3" s="26"/>
      <c r="W3" s="26"/>
      <c r="X3" s="26"/>
      <c r="Y3" s="26"/>
      <c r="Z3" s="26"/>
      <c r="AA3" s="26"/>
      <c r="AB3" s="26"/>
      <c r="AC3" s="27"/>
    </row>
    <row r="4" spans="1:29" ht="15" x14ac:dyDescent="0.2">
      <c r="A4" s="33" t="s">
        <v>19</v>
      </c>
      <c r="B4" s="34"/>
      <c r="C4" s="35" t="s">
        <v>20</v>
      </c>
      <c r="D4" s="36"/>
      <c r="E4" s="37" t="s">
        <v>21</v>
      </c>
      <c r="F4" s="38"/>
      <c r="G4" s="35" t="s">
        <v>22</v>
      </c>
      <c r="H4" s="36"/>
      <c r="I4" s="35" t="s">
        <v>23</v>
      </c>
      <c r="J4" s="36"/>
      <c r="K4" s="39" t="s">
        <v>24</v>
      </c>
      <c r="L4" s="40"/>
      <c r="M4" s="41"/>
      <c r="N4" s="41"/>
      <c r="O4" s="41"/>
      <c r="P4" s="42" t="s">
        <v>25</v>
      </c>
      <c r="Q4" s="43"/>
      <c r="R4" s="44" t="s">
        <v>21</v>
      </c>
      <c r="S4" s="45"/>
      <c r="T4" s="44" t="s">
        <v>22</v>
      </c>
      <c r="U4" s="45"/>
      <c r="V4" s="46" t="s">
        <v>23</v>
      </c>
      <c r="W4" s="46"/>
      <c r="X4" s="47"/>
      <c r="Y4" s="44" t="s">
        <v>25</v>
      </c>
      <c r="Z4" s="45"/>
      <c r="AA4" s="48" t="s">
        <v>21</v>
      </c>
      <c r="AB4" s="48" t="s">
        <v>22</v>
      </c>
      <c r="AC4" s="48" t="s">
        <v>23</v>
      </c>
    </row>
    <row r="5" spans="1:29" ht="15" x14ac:dyDescent="0.2">
      <c r="A5" s="50"/>
      <c r="B5" s="51"/>
      <c r="C5" s="388" t="s">
        <v>136</v>
      </c>
      <c r="D5" s="389"/>
      <c r="E5" s="388" t="str">
        <f>Sheet2!T6</f>
        <v>益丰苑</v>
      </c>
      <c r="F5" s="389"/>
      <c r="G5" s="388" t="str">
        <f>Sheet2!T16</f>
        <v>玉璞家园</v>
      </c>
      <c r="H5" s="389"/>
      <c r="I5" s="388" t="str">
        <f>Sheet2!T26</f>
        <v>保利百合</v>
      </c>
      <c r="J5" s="389"/>
      <c r="K5" s="52"/>
      <c r="L5" s="40"/>
      <c r="M5" s="41"/>
      <c r="N5" s="41"/>
      <c r="O5" s="41"/>
      <c r="P5" s="53"/>
      <c r="Q5" s="54"/>
      <c r="R5" s="55"/>
      <c r="S5" s="56"/>
      <c r="T5" s="55"/>
      <c r="U5" s="56"/>
      <c r="V5" s="46"/>
      <c r="W5" s="46"/>
      <c r="X5" s="47"/>
      <c r="Y5" s="55"/>
      <c r="Z5" s="56"/>
      <c r="AA5" s="57"/>
      <c r="AB5" s="57"/>
      <c r="AC5" s="57"/>
    </row>
    <row r="6" spans="1:29" ht="15.75" thickBot="1" x14ac:dyDescent="0.25">
      <c r="A6" s="58"/>
      <c r="B6" s="59"/>
      <c r="C6" s="390" t="s">
        <v>137</v>
      </c>
      <c r="D6" s="391"/>
      <c r="E6" s="392" t="s">
        <v>137</v>
      </c>
      <c r="F6" s="393"/>
      <c r="G6" s="390" t="s">
        <v>137</v>
      </c>
      <c r="H6" s="391"/>
      <c r="I6" s="390" t="s">
        <v>137</v>
      </c>
      <c r="J6" s="391"/>
      <c r="K6" s="52" t="s">
        <v>26</v>
      </c>
      <c r="L6" s="40"/>
      <c r="M6" s="41"/>
      <c r="N6" s="41"/>
      <c r="O6" s="41"/>
      <c r="P6" s="60"/>
      <c r="Q6" s="61"/>
      <c r="R6" s="55"/>
      <c r="S6" s="56"/>
      <c r="T6" s="62"/>
      <c r="U6" s="63"/>
      <c r="V6" s="46"/>
      <c r="W6" s="46"/>
      <c r="X6" s="47"/>
      <c r="Y6" s="62"/>
      <c r="Z6" s="63"/>
      <c r="AA6" s="64"/>
      <c r="AB6" s="64"/>
      <c r="AC6" s="64"/>
    </row>
    <row r="7" spans="1:29" s="81" customFormat="1" ht="15.75" thickBot="1" x14ac:dyDescent="0.25">
      <c r="A7" s="65" t="s">
        <v>27</v>
      </c>
      <c r="B7" s="66"/>
      <c r="C7" s="67">
        <v>45962</v>
      </c>
      <c r="D7" s="68">
        <v>100</v>
      </c>
      <c r="E7" s="69">
        <v>45962</v>
      </c>
      <c r="F7" s="70">
        <f>SUMIF(58:58,YEAR(E7)&amp;"-"&amp;MONTH(E7),59:59)</f>
        <v>100</v>
      </c>
      <c r="G7" s="69">
        <v>45962</v>
      </c>
      <c r="H7" s="68">
        <f>SUMIF(58:58,YEAR(G7)&amp;"-"&amp;MONTH(G7),59:59)</f>
        <v>100</v>
      </c>
      <c r="I7" s="69">
        <v>45962</v>
      </c>
      <c r="J7" s="68">
        <f>SUMIF(58:58,YEAR(I7)&amp;"-"&amp;MONTH(I7),59:59)</f>
        <v>100</v>
      </c>
      <c r="K7" s="71"/>
      <c r="L7" s="72"/>
      <c r="M7" s="73"/>
      <c r="N7" s="73"/>
      <c r="O7" s="73"/>
      <c r="P7" s="74" t="s">
        <v>28</v>
      </c>
      <c r="Q7" s="75"/>
      <c r="R7" s="76" t="s">
        <v>29</v>
      </c>
      <c r="S7" s="77">
        <f t="shared" ref="S7:S15" si="0">F7</f>
        <v>100</v>
      </c>
      <c r="T7" s="76" t="s">
        <v>29</v>
      </c>
      <c r="U7" s="77">
        <f t="shared" ref="U7:U15" si="1">H7</f>
        <v>100</v>
      </c>
      <c r="V7" s="76" t="s">
        <v>29</v>
      </c>
      <c r="W7" s="77">
        <f t="shared" ref="W7:W15" si="2">J7</f>
        <v>100</v>
      </c>
      <c r="X7" s="78"/>
      <c r="Y7" s="74" t="s">
        <v>28</v>
      </c>
      <c r="Z7" s="79"/>
      <c r="AA7" s="80">
        <f>D7/F7</f>
        <v>1</v>
      </c>
      <c r="AB7" s="80">
        <f>D7/H7</f>
        <v>1</v>
      </c>
      <c r="AC7" s="80">
        <f>D7/J7</f>
        <v>1</v>
      </c>
    </row>
    <row r="8" spans="1:29" s="81" customFormat="1" ht="15.75" thickBot="1" x14ac:dyDescent="0.25">
      <c r="A8" s="65" t="s">
        <v>30</v>
      </c>
      <c r="B8" s="66"/>
      <c r="C8" s="82" t="s">
        <v>31</v>
      </c>
      <c r="D8" s="68">
        <v>100</v>
      </c>
      <c r="E8" s="83" t="s">
        <v>31</v>
      </c>
      <c r="F8" s="70">
        <f>SUMIF(61:61,E8,62:62)-SUMIF(61:61,C8,62:62)+100</f>
        <v>100</v>
      </c>
      <c r="G8" s="83" t="s">
        <v>31</v>
      </c>
      <c r="H8" s="68">
        <f>SUMIF(61:61,G8,62:62)-SUMIF(61:61,C8,62:62)+100</f>
        <v>100</v>
      </c>
      <c r="I8" s="83" t="s">
        <v>31</v>
      </c>
      <c r="J8" s="68">
        <f>SUMIF(61:61,I8,62:62)-SUMIF(61:61,C8,62:62)+100</f>
        <v>100</v>
      </c>
      <c r="K8" s="71"/>
      <c r="L8" s="72"/>
      <c r="M8" s="73"/>
      <c r="N8" s="73"/>
      <c r="O8" s="73"/>
      <c r="P8" s="74" t="s">
        <v>32</v>
      </c>
      <c r="Q8" s="79"/>
      <c r="R8" s="76" t="s">
        <v>29</v>
      </c>
      <c r="S8" s="77">
        <f t="shared" si="0"/>
        <v>100</v>
      </c>
      <c r="T8" s="76" t="s">
        <v>29</v>
      </c>
      <c r="U8" s="77">
        <f t="shared" si="1"/>
        <v>100</v>
      </c>
      <c r="V8" s="76" t="s">
        <v>29</v>
      </c>
      <c r="W8" s="77">
        <f t="shared" si="2"/>
        <v>100</v>
      </c>
      <c r="X8" s="78"/>
      <c r="Y8" s="74" t="s">
        <v>32</v>
      </c>
      <c r="Z8" s="79"/>
      <c r="AA8" s="80">
        <f t="shared" ref="AA8:AA19" si="3">D8/F8</f>
        <v>1</v>
      </c>
      <c r="AB8" s="80">
        <f t="shared" ref="AB8:AB19" si="4">D8/H8</f>
        <v>1</v>
      </c>
      <c r="AC8" s="80">
        <f t="shared" ref="AC8:AC19" si="5">D8/J8</f>
        <v>1</v>
      </c>
    </row>
    <row r="9" spans="1:29" s="81" customFormat="1" x14ac:dyDescent="0.2">
      <c r="A9" s="84" t="s">
        <v>33</v>
      </c>
      <c r="B9" s="85" t="s">
        <v>34</v>
      </c>
      <c r="C9" s="86" t="s">
        <v>35</v>
      </c>
      <c r="D9" s="87">
        <v>100</v>
      </c>
      <c r="E9" s="88" t="s">
        <v>11</v>
      </c>
      <c r="F9" s="85">
        <f>SUMIF(63:63,E9,64:64)-SUMIF(63:63,C9,64:64)+100</f>
        <v>100</v>
      </c>
      <c r="G9" s="88" t="s">
        <v>11</v>
      </c>
      <c r="H9" s="87">
        <f>SUMIF(63:63,G9,64:64)-SUMIF(63:63,C9,64:64)+100</f>
        <v>100</v>
      </c>
      <c r="I9" s="88" t="s">
        <v>11</v>
      </c>
      <c r="J9" s="87">
        <f>SUMIF(63:63,I9,64:64)-SUMIF(63:63,C9,64:64)+100</f>
        <v>100</v>
      </c>
      <c r="K9" s="71"/>
      <c r="L9" s="72"/>
      <c r="M9" s="73"/>
      <c r="N9" s="73"/>
      <c r="O9" s="73"/>
      <c r="P9" s="89" t="s">
        <v>36</v>
      </c>
      <c r="Q9" s="90" t="str">
        <f t="shared" ref="Q9:Q15" si="6">B9</f>
        <v>用途</v>
      </c>
      <c r="R9" s="76" t="s">
        <v>29</v>
      </c>
      <c r="S9" s="77">
        <f t="shared" si="0"/>
        <v>100</v>
      </c>
      <c r="T9" s="76" t="s">
        <v>29</v>
      </c>
      <c r="U9" s="77">
        <f t="shared" si="1"/>
        <v>100</v>
      </c>
      <c r="V9" s="76" t="s">
        <v>29</v>
      </c>
      <c r="W9" s="77">
        <f t="shared" si="2"/>
        <v>100</v>
      </c>
      <c r="X9" s="78"/>
      <c r="Y9" s="91" t="s">
        <v>37</v>
      </c>
      <c r="Z9" s="80" t="str">
        <f t="shared" ref="Z9:Z15" si="7">Q9</f>
        <v>用途</v>
      </c>
      <c r="AA9" s="80">
        <f t="shared" si="3"/>
        <v>1</v>
      </c>
      <c r="AB9" s="80">
        <f t="shared" si="4"/>
        <v>1</v>
      </c>
      <c r="AC9" s="80">
        <f t="shared" si="5"/>
        <v>1</v>
      </c>
    </row>
    <row r="10" spans="1:29" s="99" customFormat="1" ht="27" x14ac:dyDescent="0.2">
      <c r="A10" s="92"/>
      <c r="B10" s="93" t="s">
        <v>38</v>
      </c>
      <c r="C10" s="94"/>
      <c r="D10" s="95">
        <v>100</v>
      </c>
      <c r="E10" s="96"/>
      <c r="F10" s="93">
        <f>SUMIF(65:65,E10,66:66)-SUMIF(65:65,C10,66:66)+100</f>
        <v>100</v>
      </c>
      <c r="G10" s="94"/>
      <c r="H10" s="95">
        <f>SUMIF(65:65,G10,66:66)-SUMIF(65:65,C10,66:66)+100</f>
        <v>100</v>
      </c>
      <c r="I10" s="94"/>
      <c r="J10" s="95">
        <f>SUMIF(65:65,I10,66:66)-SUMIF(65:65,C10,66:66)+100</f>
        <v>100</v>
      </c>
      <c r="K10" s="71"/>
      <c r="L10" s="97"/>
      <c r="M10" s="98"/>
      <c r="N10" s="98"/>
      <c r="O10" s="98"/>
      <c r="P10" s="89"/>
      <c r="Q10" s="90" t="str">
        <f t="shared" si="6"/>
        <v>土地使用年限（年）</v>
      </c>
      <c r="R10" s="76" t="s">
        <v>29</v>
      </c>
      <c r="S10" s="77">
        <f t="shared" si="0"/>
        <v>100</v>
      </c>
      <c r="T10" s="76" t="s">
        <v>29</v>
      </c>
      <c r="U10" s="77">
        <f t="shared" si="1"/>
        <v>100</v>
      </c>
      <c r="V10" s="76" t="s">
        <v>29</v>
      </c>
      <c r="W10" s="77">
        <f t="shared" si="2"/>
        <v>100</v>
      </c>
      <c r="X10" s="78"/>
      <c r="Y10" s="91"/>
      <c r="Z10" s="80" t="str">
        <f t="shared" si="7"/>
        <v>土地使用年限（年）</v>
      </c>
      <c r="AA10" s="80">
        <f t="shared" si="3"/>
        <v>1</v>
      </c>
      <c r="AB10" s="80">
        <f t="shared" si="4"/>
        <v>1</v>
      </c>
      <c r="AC10" s="80">
        <f t="shared" si="5"/>
        <v>1</v>
      </c>
    </row>
    <row r="11" spans="1:29" ht="15" x14ac:dyDescent="0.2">
      <c r="A11" s="100"/>
      <c r="B11" s="93" t="s">
        <v>39</v>
      </c>
      <c r="C11" s="101"/>
      <c r="D11" s="95">
        <v>100</v>
      </c>
      <c r="E11" s="102"/>
      <c r="F11" s="93">
        <f>LOOKUP(E11,68:68,69:69)-LOOKUP(C11,68:68,69:69)+100</f>
        <v>100</v>
      </c>
      <c r="G11" s="101"/>
      <c r="H11" s="95">
        <f>LOOKUP(G11,68:68,69:69)-LOOKUP(C11,68:68,69:69)+100</f>
        <v>100</v>
      </c>
      <c r="I11" s="101"/>
      <c r="J11" s="95">
        <f>LOOKUP(I11,68:68,69:69)-LOOKUP(C11,68:68,69:69)+100</f>
        <v>100</v>
      </c>
      <c r="K11" s="103"/>
      <c r="L11" s="104"/>
      <c r="M11" s="41"/>
      <c r="N11" s="41"/>
      <c r="O11" s="41"/>
      <c r="P11" s="89"/>
      <c r="Q11" s="90" t="str">
        <f t="shared" si="6"/>
        <v>容积率</v>
      </c>
      <c r="R11" s="76" t="s">
        <v>29</v>
      </c>
      <c r="S11" s="77">
        <f t="shared" si="0"/>
        <v>100</v>
      </c>
      <c r="T11" s="76" t="s">
        <v>29</v>
      </c>
      <c r="U11" s="77">
        <f t="shared" si="1"/>
        <v>100</v>
      </c>
      <c r="V11" s="76" t="s">
        <v>29</v>
      </c>
      <c r="W11" s="77">
        <f t="shared" si="2"/>
        <v>100</v>
      </c>
      <c r="X11" s="78"/>
      <c r="Y11" s="91"/>
      <c r="Z11" s="80" t="str">
        <f t="shared" si="7"/>
        <v>容积率</v>
      </c>
      <c r="AA11" s="80">
        <f t="shared" si="3"/>
        <v>1</v>
      </c>
      <c r="AB11" s="80">
        <f t="shared" si="4"/>
        <v>1</v>
      </c>
      <c r="AC11" s="80">
        <f t="shared" si="5"/>
        <v>1</v>
      </c>
    </row>
    <row r="12" spans="1:29" s="81" customFormat="1" ht="15" x14ac:dyDescent="0.2">
      <c r="A12" s="105"/>
      <c r="B12" s="106">
        <v>111</v>
      </c>
      <c r="C12" s="107"/>
      <c r="D12" s="108">
        <v>100</v>
      </c>
      <c r="E12" s="107"/>
      <c r="F12" s="93">
        <f>SUMIF(70:70,E12,71:71)-SUMIF(70:70,C12,71:71)+100</f>
        <v>100</v>
      </c>
      <c r="G12" s="107"/>
      <c r="H12" s="95">
        <f>SUMIF(70:70,G12,71:71)-SUMIF(70:70,C12,71:71)+100</f>
        <v>100</v>
      </c>
      <c r="I12" s="107"/>
      <c r="J12" s="95">
        <f>SUMIF(70:70,I12,71:71)-SUMIF(70:70,C12,71:71)+100</f>
        <v>100</v>
      </c>
      <c r="K12" s="109"/>
      <c r="L12" s="72"/>
      <c r="M12" s="73"/>
      <c r="N12" s="73"/>
      <c r="O12" s="73"/>
      <c r="P12" s="89"/>
      <c r="Q12" s="90">
        <f t="shared" si="6"/>
        <v>111</v>
      </c>
      <c r="R12" s="76" t="s">
        <v>29</v>
      </c>
      <c r="S12" s="77">
        <f t="shared" si="0"/>
        <v>100</v>
      </c>
      <c r="T12" s="76" t="s">
        <v>29</v>
      </c>
      <c r="U12" s="77">
        <f t="shared" si="1"/>
        <v>100</v>
      </c>
      <c r="V12" s="76" t="s">
        <v>29</v>
      </c>
      <c r="W12" s="77">
        <f t="shared" si="2"/>
        <v>100</v>
      </c>
      <c r="X12" s="78"/>
      <c r="Y12" s="91"/>
      <c r="Z12" s="80">
        <f t="shared" si="7"/>
        <v>111</v>
      </c>
      <c r="AA12" s="80">
        <f>D12/F12</f>
        <v>1</v>
      </c>
      <c r="AB12" s="80">
        <f>D12/H12</f>
        <v>1</v>
      </c>
      <c r="AC12" s="80">
        <f>D12/J12</f>
        <v>1</v>
      </c>
    </row>
    <row r="13" spans="1:29" ht="15" x14ac:dyDescent="0.2">
      <c r="A13" s="100"/>
      <c r="B13" s="106">
        <v>111</v>
      </c>
      <c r="C13" s="110"/>
      <c r="D13" s="111">
        <v>100</v>
      </c>
      <c r="E13" s="110"/>
      <c r="F13" s="93">
        <f>SUMIF(72:72,E13,73:73)-SUMIF(72:72,C13,73:73)+100</f>
        <v>100</v>
      </c>
      <c r="G13" s="110"/>
      <c r="H13" s="111">
        <f>SUMIF(72:72,G13,73:73)-SUMIF(72:72,C13,73:73)+100</f>
        <v>100</v>
      </c>
      <c r="I13" s="110"/>
      <c r="J13" s="111">
        <f>SUMIF(72:72,I13,73:73)-SUMIF(72:72,C13,73:73)+100</f>
        <v>100</v>
      </c>
      <c r="K13" s="109"/>
      <c r="L13" s="112"/>
      <c r="M13" s="41"/>
      <c r="N13" s="41"/>
      <c r="O13" s="41"/>
      <c r="P13" s="89"/>
      <c r="Q13" s="90">
        <f t="shared" si="6"/>
        <v>111</v>
      </c>
      <c r="R13" s="76" t="s">
        <v>29</v>
      </c>
      <c r="S13" s="77">
        <f t="shared" si="0"/>
        <v>100</v>
      </c>
      <c r="T13" s="76" t="s">
        <v>29</v>
      </c>
      <c r="U13" s="77">
        <f t="shared" si="1"/>
        <v>100</v>
      </c>
      <c r="V13" s="76" t="s">
        <v>29</v>
      </c>
      <c r="W13" s="77">
        <f t="shared" si="2"/>
        <v>100</v>
      </c>
      <c r="X13" s="78"/>
      <c r="Y13" s="91"/>
      <c r="Z13" s="80">
        <f t="shared" si="7"/>
        <v>111</v>
      </c>
      <c r="AA13" s="80">
        <f t="shared" si="3"/>
        <v>1</v>
      </c>
      <c r="AB13" s="80">
        <f t="shared" si="4"/>
        <v>1</v>
      </c>
      <c r="AC13" s="80">
        <f t="shared" si="5"/>
        <v>1</v>
      </c>
    </row>
    <row r="14" spans="1:29" ht="15.75" thickBot="1" x14ac:dyDescent="0.25">
      <c r="A14" s="113"/>
      <c r="B14" s="114">
        <v>111</v>
      </c>
      <c r="C14" s="115"/>
      <c r="D14" s="116">
        <v>100</v>
      </c>
      <c r="E14" s="115"/>
      <c r="F14" s="117">
        <f>SUMIF(74:74,E14,75:75)-SUMIF(74:74,C14,75:75)+100</f>
        <v>100</v>
      </c>
      <c r="G14" s="115"/>
      <c r="H14" s="116">
        <f>SUMIF(74:74,G14,75:75)-SUMIF(74:74,C14,75:75)+100</f>
        <v>100</v>
      </c>
      <c r="I14" s="115"/>
      <c r="J14" s="116">
        <f>SUMIF(74:74,I14,75:75)-SUMIF(74:74,C14,75:75)+100</f>
        <v>100</v>
      </c>
      <c r="K14" s="109"/>
      <c r="L14" s="112"/>
      <c r="M14" s="41"/>
      <c r="N14" s="41"/>
      <c r="O14" s="41"/>
      <c r="P14" s="89"/>
      <c r="Q14" s="90">
        <f t="shared" si="6"/>
        <v>111</v>
      </c>
      <c r="R14" s="76" t="s">
        <v>29</v>
      </c>
      <c r="S14" s="77">
        <f t="shared" si="0"/>
        <v>100</v>
      </c>
      <c r="T14" s="76" t="s">
        <v>29</v>
      </c>
      <c r="U14" s="77">
        <f t="shared" si="1"/>
        <v>100</v>
      </c>
      <c r="V14" s="76" t="s">
        <v>29</v>
      </c>
      <c r="W14" s="77">
        <f t="shared" si="2"/>
        <v>100</v>
      </c>
      <c r="X14" s="78"/>
      <c r="Y14" s="91"/>
      <c r="Z14" s="80">
        <f t="shared" si="7"/>
        <v>111</v>
      </c>
      <c r="AA14" s="80">
        <f t="shared" si="3"/>
        <v>1</v>
      </c>
      <c r="AB14" s="80">
        <f t="shared" si="4"/>
        <v>1</v>
      </c>
      <c r="AC14" s="80">
        <f t="shared" si="5"/>
        <v>1</v>
      </c>
    </row>
    <row r="15" spans="1:29" ht="99.75" x14ac:dyDescent="0.2">
      <c r="A15" s="118" t="s">
        <v>40</v>
      </c>
      <c r="B15" s="119" t="s">
        <v>41</v>
      </c>
      <c r="C15" s="120" t="str">
        <f>[1]估价对象房地状况!C3</f>
        <v>估价对象周边有CBD玲珑墅、朗悦家园、朝丰家园等住宅小区，居住社区发展完善程度较高，居住社区成熟度较好。</v>
      </c>
      <c r="D15" s="121">
        <v>100</v>
      </c>
      <c r="E15" s="122"/>
      <c r="F15" s="121">
        <f>SUMIF(76:76,E16,77:77)-SUMIF(76:76,C16,77:77)+100</f>
        <v>100</v>
      </c>
      <c r="G15" s="123"/>
      <c r="H15" s="121">
        <f>SUMIF(76:76,G16,77:77)-SUMIF(76:76,C16,77:77)+100</f>
        <v>100</v>
      </c>
      <c r="I15" s="123"/>
      <c r="J15" s="121">
        <f>SUMIF(76:76,I16,77:77)-SUMIF(76:76,C16,77:77)+100</f>
        <v>100</v>
      </c>
      <c r="K15" s="124"/>
      <c r="L15" s="112"/>
      <c r="M15" s="41"/>
      <c r="N15" s="41"/>
      <c r="O15" s="41"/>
      <c r="P15" s="125" t="s">
        <v>42</v>
      </c>
      <c r="Q15" s="126" t="str">
        <f t="shared" si="6"/>
        <v>居住社区成熟度</v>
      </c>
      <c r="R15" s="127" t="s">
        <v>29</v>
      </c>
      <c r="S15" s="128">
        <f t="shared" si="0"/>
        <v>100</v>
      </c>
      <c r="T15" s="127" t="s">
        <v>29</v>
      </c>
      <c r="U15" s="128">
        <f t="shared" si="1"/>
        <v>100</v>
      </c>
      <c r="V15" s="127" t="s">
        <v>29</v>
      </c>
      <c r="W15" s="128">
        <f t="shared" si="2"/>
        <v>100</v>
      </c>
      <c r="X15" s="47"/>
      <c r="Y15" s="129" t="s">
        <v>42</v>
      </c>
      <c r="Z15" s="130" t="str">
        <f t="shared" si="7"/>
        <v>居住社区成熟度</v>
      </c>
      <c r="AA15" s="130">
        <f t="shared" si="3"/>
        <v>1</v>
      </c>
      <c r="AB15" s="130">
        <f t="shared" si="4"/>
        <v>1</v>
      </c>
      <c r="AC15" s="130">
        <f t="shared" si="5"/>
        <v>1</v>
      </c>
    </row>
    <row r="16" spans="1:29" ht="15" x14ac:dyDescent="0.2">
      <c r="A16" s="100"/>
      <c r="B16" s="131"/>
      <c r="C16" s="132" t="s">
        <v>43</v>
      </c>
      <c r="D16" s="133"/>
      <c r="E16" s="132" t="s">
        <v>43</v>
      </c>
      <c r="F16" s="133"/>
      <c r="G16" s="132" t="s">
        <v>43</v>
      </c>
      <c r="H16" s="134"/>
      <c r="I16" s="132" t="s">
        <v>43</v>
      </c>
      <c r="J16" s="133"/>
      <c r="K16" s="135"/>
      <c r="L16" s="112"/>
      <c r="M16" s="41"/>
      <c r="N16" s="41"/>
      <c r="O16" s="41"/>
      <c r="P16" s="136"/>
      <c r="Q16" s="126"/>
      <c r="R16" s="127"/>
      <c r="S16" s="128"/>
      <c r="T16" s="127"/>
      <c r="U16" s="128"/>
      <c r="V16" s="127"/>
      <c r="W16" s="128"/>
      <c r="X16" s="47"/>
      <c r="Y16" s="137"/>
      <c r="Z16" s="130"/>
      <c r="AA16" s="130">
        <v>1</v>
      </c>
      <c r="AB16" s="130">
        <v>1</v>
      </c>
      <c r="AC16" s="130">
        <v>1</v>
      </c>
    </row>
    <row r="17" spans="1:29" ht="114" x14ac:dyDescent="0.2">
      <c r="A17" s="100"/>
      <c r="B17" s="138" t="s">
        <v>44</v>
      </c>
      <c r="C17" s="139" t="str">
        <f>[1]估价对象房地状况!C6</f>
        <v>估价对象距离地铁7号线郎辛庄站约100米，周边有411路、457路、专170、专171等公交通过并设站，综合评价交通便捷度较好。</v>
      </c>
      <c r="D17" s="134">
        <v>100</v>
      </c>
      <c r="E17" s="140"/>
      <c r="F17" s="134">
        <f>SUMIF(78:78,E18,79:79)-SUMIF(78:78,C18,79:79)+100</f>
        <v>100</v>
      </c>
      <c r="G17" s="141"/>
      <c r="H17" s="142">
        <f>SUMIF(78:78,G18,79:79)-SUMIF(78:78,C18,79:79)+100</f>
        <v>100</v>
      </c>
      <c r="I17" s="141"/>
      <c r="J17" s="142">
        <f>SUMIF(78:78,I18,79:79)-SUMIF(78:78,C18,79:79)+100</f>
        <v>100</v>
      </c>
      <c r="K17" s="124"/>
      <c r="L17" s="112"/>
      <c r="M17" s="41"/>
      <c r="N17" s="41"/>
      <c r="O17" s="41"/>
      <c r="P17" s="136"/>
      <c r="Q17" s="126" t="str">
        <f>B17</f>
        <v>交通便捷度</v>
      </c>
      <c r="R17" s="127" t="s">
        <v>29</v>
      </c>
      <c r="S17" s="128">
        <f>F17</f>
        <v>100</v>
      </c>
      <c r="T17" s="127" t="s">
        <v>29</v>
      </c>
      <c r="U17" s="128">
        <f>H17</f>
        <v>100</v>
      </c>
      <c r="V17" s="127" t="s">
        <v>29</v>
      </c>
      <c r="W17" s="128">
        <f>J17</f>
        <v>100</v>
      </c>
      <c r="X17" s="47"/>
      <c r="Y17" s="137"/>
      <c r="Z17" s="130" t="str">
        <f>Q17</f>
        <v>交通便捷度</v>
      </c>
      <c r="AA17" s="130">
        <f t="shared" si="3"/>
        <v>1</v>
      </c>
      <c r="AB17" s="130">
        <f t="shared" si="4"/>
        <v>1</v>
      </c>
      <c r="AC17" s="130">
        <f t="shared" si="5"/>
        <v>1</v>
      </c>
    </row>
    <row r="18" spans="1:29" ht="15" x14ac:dyDescent="0.2">
      <c r="A18" s="100"/>
      <c r="B18" s="143"/>
      <c r="C18" s="144" t="s">
        <v>43</v>
      </c>
      <c r="D18" s="134"/>
      <c r="E18" s="132" t="s">
        <v>43</v>
      </c>
      <c r="F18" s="134"/>
      <c r="G18" s="132" t="s">
        <v>43</v>
      </c>
      <c r="H18" s="133"/>
      <c r="I18" s="132" t="s">
        <v>43</v>
      </c>
      <c r="J18" s="133"/>
      <c r="K18" s="135"/>
      <c r="L18" s="112"/>
      <c r="M18" s="41"/>
      <c r="N18" s="41"/>
      <c r="O18" s="41"/>
      <c r="P18" s="136"/>
      <c r="Q18" s="126"/>
      <c r="R18" s="127"/>
      <c r="S18" s="128"/>
      <c r="T18" s="127"/>
      <c r="U18" s="128"/>
      <c r="V18" s="127"/>
      <c r="W18" s="128"/>
      <c r="X18" s="47"/>
      <c r="Y18" s="137"/>
      <c r="Z18" s="130"/>
      <c r="AA18" s="130">
        <v>1</v>
      </c>
      <c r="AB18" s="130">
        <v>1</v>
      </c>
      <c r="AC18" s="130">
        <v>1</v>
      </c>
    </row>
    <row r="19" spans="1:29" ht="270.75" x14ac:dyDescent="0.2">
      <c r="A19" s="100"/>
      <c r="B19" s="138" t="s">
        <v>45</v>
      </c>
      <c r="C19" s="139" t="str">
        <f>[1]估价对象房地状况!C7</f>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
      <c r="D19" s="142">
        <v>100</v>
      </c>
      <c r="E19" s="145"/>
      <c r="F19" s="142">
        <f>SUMIF(80:80,E20,81:81)-SUMIF(80:80,C20,81:81)+100</f>
        <v>100</v>
      </c>
      <c r="G19" s="146"/>
      <c r="H19" s="134">
        <f>SUMIF(80:80,G20,81:81)-SUMIF(80:80,C20,81:81)+100</f>
        <v>100</v>
      </c>
      <c r="I19" s="146"/>
      <c r="J19" s="134">
        <f>SUMIF(80:80,I20,81:81)-SUMIF(80:80,C20,81:81)+100</f>
        <v>100</v>
      </c>
      <c r="K19" s="124"/>
      <c r="L19" s="112"/>
      <c r="M19" s="41"/>
      <c r="N19" s="41"/>
      <c r="O19" s="41"/>
      <c r="P19" s="136"/>
      <c r="Q19" s="126" t="str">
        <f>B19</f>
        <v>公共配套设施</v>
      </c>
      <c r="R19" s="127" t="s">
        <v>29</v>
      </c>
      <c r="S19" s="128">
        <f>F19</f>
        <v>100</v>
      </c>
      <c r="T19" s="127" t="s">
        <v>29</v>
      </c>
      <c r="U19" s="128">
        <f>H19</f>
        <v>100</v>
      </c>
      <c r="V19" s="127" t="s">
        <v>29</v>
      </c>
      <c r="W19" s="128">
        <f>J19</f>
        <v>100</v>
      </c>
      <c r="X19" s="47"/>
      <c r="Y19" s="137"/>
      <c r="Z19" s="130" t="str">
        <f>Q19</f>
        <v>公共配套设施</v>
      </c>
      <c r="AA19" s="130">
        <f t="shared" si="3"/>
        <v>1</v>
      </c>
      <c r="AB19" s="130">
        <f t="shared" si="4"/>
        <v>1</v>
      </c>
      <c r="AC19" s="130">
        <f t="shared" si="5"/>
        <v>1</v>
      </c>
    </row>
    <row r="20" spans="1:29" ht="15" x14ac:dyDescent="0.2">
      <c r="A20" s="100"/>
      <c r="B20" s="143"/>
      <c r="C20" s="132" t="s">
        <v>43</v>
      </c>
      <c r="D20" s="133"/>
      <c r="E20" s="132" t="s">
        <v>43</v>
      </c>
      <c r="F20" s="133"/>
      <c r="G20" s="132" t="s">
        <v>43</v>
      </c>
      <c r="H20" s="133"/>
      <c r="I20" s="132" t="s">
        <v>43</v>
      </c>
      <c r="J20" s="133"/>
      <c r="K20" s="135"/>
      <c r="L20" s="112"/>
      <c r="M20" s="41"/>
      <c r="N20" s="41"/>
      <c r="O20" s="41"/>
      <c r="P20" s="136"/>
      <c r="Q20" s="126"/>
      <c r="R20" s="127"/>
      <c r="S20" s="128"/>
      <c r="T20" s="127"/>
      <c r="U20" s="128"/>
      <c r="V20" s="127"/>
      <c r="W20" s="128"/>
      <c r="X20" s="47"/>
      <c r="Y20" s="137"/>
      <c r="Z20" s="130"/>
      <c r="AA20" s="130">
        <v>1</v>
      </c>
      <c r="AB20" s="130">
        <v>1</v>
      </c>
      <c r="AC20" s="130">
        <v>1</v>
      </c>
    </row>
    <row r="21" spans="1:29" ht="28.5" x14ac:dyDescent="0.2">
      <c r="A21" s="100"/>
      <c r="B21" s="147" t="s">
        <v>46</v>
      </c>
      <c r="C21" s="139" t="str">
        <f>[1]估价对象房地状况!C8</f>
        <v>估价对象所在区域基础设施水平</v>
      </c>
      <c r="D21" s="134">
        <v>100</v>
      </c>
      <c r="E21" s="145"/>
      <c r="F21" s="142">
        <f>SUMIF(82:82,E22,83:83)-SUMIF(82:82,C22,83:83)+100</f>
        <v>100</v>
      </c>
      <c r="G21" s="146"/>
      <c r="H21" s="134">
        <f>SUMIF(82:82,G22,83:83)-SUMIF(82:82,C22,83:83)+100</f>
        <v>100</v>
      </c>
      <c r="I21" s="146"/>
      <c r="J21" s="134">
        <f>SUMIF(82:82,I22,83:83)-SUMIF(82:82,C22,83:83)+100</f>
        <v>100</v>
      </c>
      <c r="K21" s="124"/>
      <c r="L21" s="112"/>
      <c r="M21" s="41"/>
      <c r="N21" s="41"/>
      <c r="O21" s="41"/>
      <c r="P21" s="136"/>
      <c r="Q21" s="126" t="str">
        <f>B21</f>
        <v>基础设施水平</v>
      </c>
      <c r="R21" s="127" t="s">
        <v>29</v>
      </c>
      <c r="S21" s="128">
        <f>F21</f>
        <v>100</v>
      </c>
      <c r="T21" s="127" t="s">
        <v>29</v>
      </c>
      <c r="U21" s="128">
        <f>H21</f>
        <v>100</v>
      </c>
      <c r="V21" s="127" t="s">
        <v>29</v>
      </c>
      <c r="W21" s="128">
        <f>J21</f>
        <v>100</v>
      </c>
      <c r="X21" s="47"/>
      <c r="Y21" s="137"/>
      <c r="Z21" s="130" t="str">
        <f>Q21</f>
        <v>基础设施水平</v>
      </c>
      <c r="AA21" s="130">
        <f t="shared" ref="AA21" si="8">D21/F21</f>
        <v>1</v>
      </c>
      <c r="AB21" s="130">
        <f t="shared" ref="AB21" si="9">D21/H21</f>
        <v>1</v>
      </c>
      <c r="AC21" s="130">
        <f t="shared" ref="AC21" si="10">D21/J21</f>
        <v>1</v>
      </c>
    </row>
    <row r="22" spans="1:29" ht="15" x14ac:dyDescent="0.2">
      <c r="A22" s="100"/>
      <c r="B22" s="147"/>
      <c r="C22" s="144" t="s">
        <v>47</v>
      </c>
      <c r="D22" s="133"/>
      <c r="E22" s="144" t="s">
        <v>47</v>
      </c>
      <c r="F22" s="133"/>
      <c r="G22" s="144" t="s">
        <v>47</v>
      </c>
      <c r="H22" s="133"/>
      <c r="I22" s="144" t="s">
        <v>47</v>
      </c>
      <c r="J22" s="133"/>
      <c r="K22" s="148"/>
      <c r="L22" s="112"/>
      <c r="M22" s="41"/>
      <c r="N22" s="41"/>
      <c r="O22" s="41"/>
      <c r="P22" s="136"/>
      <c r="Q22" s="126"/>
      <c r="R22" s="127"/>
      <c r="S22" s="128"/>
      <c r="T22" s="127"/>
      <c r="U22" s="128"/>
      <c r="V22" s="127"/>
      <c r="W22" s="128"/>
      <c r="X22" s="47"/>
      <c r="Y22" s="137"/>
      <c r="Z22" s="130"/>
      <c r="AA22" s="130">
        <v>1</v>
      </c>
      <c r="AB22" s="130">
        <v>1</v>
      </c>
      <c r="AC22" s="130">
        <v>1</v>
      </c>
    </row>
    <row r="23" spans="1:29" ht="85.5" x14ac:dyDescent="0.2">
      <c r="A23" s="100"/>
      <c r="B23" s="138" t="s">
        <v>48</v>
      </c>
      <c r="C23" s="139" t="str">
        <f>[1]估价对象房地状况!C9</f>
        <v>周边有通惠河灌渠、马家湾湿地公园、聿博文体公园等自然人文环境，综合评价环境状况较好。</v>
      </c>
      <c r="D23" s="134">
        <v>100</v>
      </c>
      <c r="E23" s="140"/>
      <c r="F23" s="134">
        <f>SUMIF(84:84,E24,85:85)-SUMIF(84:84,C24,85:85)+100</f>
        <v>100</v>
      </c>
      <c r="G23" s="141"/>
      <c r="H23" s="134">
        <f>SUMIF(84:84,G24,85:85)-SUMIF(84:84,C24,85:85)+100</f>
        <v>100</v>
      </c>
      <c r="I23" s="141"/>
      <c r="J23" s="134">
        <f>SUMIF(84:84,I24,85:85)-SUMIF(84:84,C24,85:85)+100</f>
        <v>100</v>
      </c>
      <c r="K23" s="124"/>
      <c r="L23" s="112"/>
      <c r="M23" s="41"/>
      <c r="N23" s="41"/>
      <c r="O23" s="41"/>
      <c r="P23" s="136"/>
      <c r="Q23" s="126" t="str">
        <f>B23</f>
        <v>自然及人文环境</v>
      </c>
      <c r="R23" s="127" t="s">
        <v>29</v>
      </c>
      <c r="S23" s="128">
        <f>F23</f>
        <v>100</v>
      </c>
      <c r="T23" s="127" t="s">
        <v>29</v>
      </c>
      <c r="U23" s="128">
        <f>H23</f>
        <v>100</v>
      </c>
      <c r="V23" s="127" t="s">
        <v>29</v>
      </c>
      <c r="W23" s="128">
        <f>J23</f>
        <v>100</v>
      </c>
      <c r="X23" s="47"/>
      <c r="Y23" s="137"/>
      <c r="Z23" s="130" t="str">
        <f>Q23</f>
        <v>自然及人文环境</v>
      </c>
      <c r="AA23" s="130">
        <f>D23/F23</f>
        <v>1</v>
      </c>
      <c r="AB23" s="130">
        <f>D23/H23</f>
        <v>1</v>
      </c>
      <c r="AC23" s="130">
        <f>D23/J23</f>
        <v>1</v>
      </c>
    </row>
    <row r="24" spans="1:29" ht="15" x14ac:dyDescent="0.2">
      <c r="A24" s="100"/>
      <c r="B24" s="143"/>
      <c r="C24" s="132" t="s">
        <v>43</v>
      </c>
      <c r="D24" s="133"/>
      <c r="E24" s="132" t="s">
        <v>43</v>
      </c>
      <c r="F24" s="133"/>
      <c r="G24" s="132" t="s">
        <v>43</v>
      </c>
      <c r="H24" s="133"/>
      <c r="I24" s="132" t="s">
        <v>43</v>
      </c>
      <c r="J24" s="133"/>
      <c r="K24" s="135"/>
      <c r="L24" s="112"/>
      <c r="M24" s="41"/>
      <c r="N24" s="41"/>
      <c r="O24" s="41"/>
      <c r="P24" s="136"/>
      <c r="Q24" s="126"/>
      <c r="R24" s="127"/>
      <c r="S24" s="128"/>
      <c r="T24" s="127"/>
      <c r="U24" s="128"/>
      <c r="V24" s="127"/>
      <c r="W24" s="128"/>
      <c r="X24" s="47"/>
      <c r="Y24" s="137"/>
      <c r="Z24" s="130"/>
      <c r="AA24" s="130">
        <v>1</v>
      </c>
      <c r="AB24" s="130">
        <v>1</v>
      </c>
      <c r="AC24" s="130">
        <v>1</v>
      </c>
    </row>
    <row r="25" spans="1:29" ht="15" x14ac:dyDescent="0.2">
      <c r="A25" s="100"/>
      <c r="B25" s="93" t="s">
        <v>49</v>
      </c>
      <c r="C25" s="149"/>
      <c r="D25" s="111">
        <v>100</v>
      </c>
      <c r="E25" s="150"/>
      <c r="F25" s="111">
        <f>SUMIF(86:86,E25,87:87)-SUMIF(86:86,C25,87:87)+100</f>
        <v>100</v>
      </c>
      <c r="G25" s="151"/>
      <c r="H25" s="111">
        <f>SUMIF(86:86,G25,87:87)-SUMIF(86:86,C25,87:87)+100</f>
        <v>100</v>
      </c>
      <c r="I25" s="151"/>
      <c r="J25" s="111">
        <f>SUMIF(86:86,I25,87:87)-SUMIF(86:86,C25,87:87)+100</f>
        <v>100</v>
      </c>
      <c r="K25" s="103"/>
      <c r="L25" s="112"/>
      <c r="M25" s="41"/>
      <c r="N25" s="41"/>
      <c r="O25" s="41"/>
      <c r="P25" s="136"/>
      <c r="Q25" s="126" t="str">
        <f t="shared" ref="Q25:Q46" si="11">B25</f>
        <v>楼层-1</v>
      </c>
      <c r="R25" s="127" t="s">
        <v>29</v>
      </c>
      <c r="S25" s="128">
        <f t="shared" ref="S25:S46" si="12">F25</f>
        <v>100</v>
      </c>
      <c r="T25" s="127" t="s">
        <v>29</v>
      </c>
      <c r="U25" s="128">
        <f t="shared" ref="U25:U46" si="13">H25</f>
        <v>100</v>
      </c>
      <c r="V25" s="127" t="s">
        <v>29</v>
      </c>
      <c r="W25" s="128">
        <f t="shared" ref="W25:W46" si="14">J25</f>
        <v>100</v>
      </c>
      <c r="X25" s="47"/>
      <c r="Y25" s="137"/>
      <c r="Z25" s="130" t="str">
        <f>Q25</f>
        <v>楼层-1</v>
      </c>
      <c r="AA25" s="130">
        <f t="shared" ref="AA25:AA46" si="15">D25/F25</f>
        <v>1</v>
      </c>
      <c r="AB25" s="130">
        <f t="shared" ref="AB25:AB46" si="16">D25/H25</f>
        <v>1</v>
      </c>
      <c r="AC25" s="130">
        <f t="shared" ref="AC25:AC46" si="17">D25/J25</f>
        <v>1</v>
      </c>
    </row>
    <row r="26" spans="1:29" ht="15" x14ac:dyDescent="0.2">
      <c r="A26" s="100"/>
      <c r="B26" s="93" t="s">
        <v>50</v>
      </c>
      <c r="C26" s="149" t="s">
        <v>5</v>
      </c>
      <c r="D26" s="111">
        <v>100</v>
      </c>
      <c r="E26" s="149" t="s">
        <v>5</v>
      </c>
      <c r="F26" s="111">
        <f>SUMIF(88:88,E26,89:89)-SUMIF(88:88,C26,89:89)+100</f>
        <v>100</v>
      </c>
      <c r="G26" s="149" t="s">
        <v>5</v>
      </c>
      <c r="H26" s="111">
        <f>SUMIF(88:88,G26,89:89)-SUMIF(88:88,C26,89:89)+100</f>
        <v>100</v>
      </c>
      <c r="I26" s="149" t="s">
        <v>5</v>
      </c>
      <c r="J26" s="111">
        <f>SUMIF(88:88,I26,89:89)-SUMIF(88:88,C26,89:89)+100</f>
        <v>100</v>
      </c>
      <c r="K26" s="103"/>
      <c r="L26" s="112"/>
      <c r="M26" s="41"/>
      <c r="N26" s="41"/>
      <c r="O26" s="41"/>
      <c r="P26" s="136"/>
      <c r="Q26" s="126" t="str">
        <f t="shared" si="11"/>
        <v>朝向</v>
      </c>
      <c r="R26" s="127" t="s">
        <v>29</v>
      </c>
      <c r="S26" s="128">
        <f t="shared" si="12"/>
        <v>100</v>
      </c>
      <c r="T26" s="127" t="s">
        <v>29</v>
      </c>
      <c r="U26" s="128">
        <f t="shared" si="13"/>
        <v>100</v>
      </c>
      <c r="V26" s="127" t="s">
        <v>29</v>
      </c>
      <c r="W26" s="128">
        <f t="shared" si="14"/>
        <v>100</v>
      </c>
      <c r="X26" s="47"/>
      <c r="Y26" s="137"/>
      <c r="Z26" s="130" t="str">
        <f>Q26</f>
        <v>朝向</v>
      </c>
      <c r="AA26" s="130">
        <f t="shared" si="15"/>
        <v>1</v>
      </c>
      <c r="AB26" s="130">
        <f t="shared" si="16"/>
        <v>1</v>
      </c>
      <c r="AC26" s="130">
        <f t="shared" si="17"/>
        <v>1</v>
      </c>
    </row>
    <row r="27" spans="1:29" s="81" customFormat="1" ht="15" x14ac:dyDescent="0.2">
      <c r="A27" s="105"/>
      <c r="B27" s="152">
        <v>111</v>
      </c>
      <c r="C27" s="107"/>
      <c r="D27" s="153">
        <v>100</v>
      </c>
      <c r="E27" s="154"/>
      <c r="F27" s="153">
        <f>SUMIF(90:90,E27,91:91)-SUMIF(90:90,C27,91:91)+100</f>
        <v>100</v>
      </c>
      <c r="G27" s="155"/>
      <c r="H27" s="153">
        <f>SUMIF(90:90,G27,91:91)-SUMIF(90:90,C27,91:91)+100</f>
        <v>100</v>
      </c>
      <c r="I27" s="155"/>
      <c r="J27" s="153">
        <f>SUMIF(90:90,I27,91:91)-SUMIF(90:90,C27,91:91)+100</f>
        <v>100</v>
      </c>
      <c r="K27" s="109"/>
      <c r="L27" s="72"/>
      <c r="M27" s="73"/>
      <c r="N27" s="73"/>
      <c r="O27" s="73"/>
      <c r="P27" s="136"/>
      <c r="Q27" s="90">
        <f t="shared" si="11"/>
        <v>111</v>
      </c>
      <c r="R27" s="76" t="s">
        <v>29</v>
      </c>
      <c r="S27" s="77">
        <f t="shared" si="12"/>
        <v>100</v>
      </c>
      <c r="T27" s="76" t="s">
        <v>29</v>
      </c>
      <c r="U27" s="77">
        <f t="shared" si="13"/>
        <v>100</v>
      </c>
      <c r="V27" s="76" t="s">
        <v>29</v>
      </c>
      <c r="W27" s="77">
        <f t="shared" si="14"/>
        <v>100</v>
      </c>
      <c r="X27" s="78"/>
      <c r="Y27" s="137"/>
      <c r="Z27" s="80">
        <f>Q27</f>
        <v>111</v>
      </c>
      <c r="AA27" s="130">
        <f t="shared" si="15"/>
        <v>1</v>
      </c>
      <c r="AB27" s="130">
        <f t="shared" si="16"/>
        <v>1</v>
      </c>
      <c r="AC27" s="130">
        <f t="shared" si="17"/>
        <v>1</v>
      </c>
    </row>
    <row r="28" spans="1:29" ht="15" x14ac:dyDescent="0.2">
      <c r="A28" s="100"/>
      <c r="B28" s="152">
        <v>111</v>
      </c>
      <c r="C28" s="110"/>
      <c r="D28" s="111">
        <v>100</v>
      </c>
      <c r="E28" s="110"/>
      <c r="F28" s="111">
        <f>SUMIF(92:92,E28,93:93)-SUMIF(92:92,C28,93:93)+100</f>
        <v>100</v>
      </c>
      <c r="G28" s="156"/>
      <c r="H28" s="111">
        <f>SUMIF(92:92,G28,93:93)-SUMIF(92:92,C28,93:93)+100</f>
        <v>100</v>
      </c>
      <c r="I28" s="110"/>
      <c r="J28" s="111">
        <f>SUMIF(92:92,I28,93:93)-SUMIF(92:92,C28,93:93)+100</f>
        <v>100</v>
      </c>
      <c r="K28" s="109"/>
      <c r="L28" s="112"/>
      <c r="M28" s="41"/>
      <c r="N28" s="41"/>
      <c r="O28" s="41"/>
      <c r="P28" s="136"/>
      <c r="Q28" s="126">
        <f t="shared" si="11"/>
        <v>111</v>
      </c>
      <c r="R28" s="127" t="s">
        <v>29</v>
      </c>
      <c r="S28" s="128">
        <f t="shared" si="12"/>
        <v>100</v>
      </c>
      <c r="T28" s="127" t="s">
        <v>29</v>
      </c>
      <c r="U28" s="128">
        <f t="shared" si="13"/>
        <v>100</v>
      </c>
      <c r="V28" s="127" t="s">
        <v>29</v>
      </c>
      <c r="W28" s="128">
        <f t="shared" si="14"/>
        <v>100</v>
      </c>
      <c r="X28" s="47"/>
      <c r="Y28" s="137"/>
      <c r="Z28" s="130">
        <f t="shared" ref="Z28:Z46" si="18">Q28</f>
        <v>111</v>
      </c>
      <c r="AA28" s="130">
        <f t="shared" si="15"/>
        <v>1</v>
      </c>
      <c r="AB28" s="130">
        <f t="shared" si="16"/>
        <v>1</v>
      </c>
      <c r="AC28" s="130">
        <f t="shared" si="17"/>
        <v>1</v>
      </c>
    </row>
    <row r="29" spans="1:29" ht="15" x14ac:dyDescent="0.2">
      <c r="A29" s="100"/>
      <c r="B29" s="152">
        <v>111</v>
      </c>
      <c r="C29" s="110"/>
      <c r="D29" s="111">
        <v>100</v>
      </c>
      <c r="E29" s="110"/>
      <c r="F29" s="111">
        <f>SUMIF(94:94,E29,95:95)-SUMIF(94:94,C29,95:95)+100</f>
        <v>100</v>
      </c>
      <c r="G29" s="156"/>
      <c r="H29" s="111">
        <f>SUMIF(94:94,G29,95:95)-SUMIF(94:94,C29,95:95)+100</f>
        <v>100</v>
      </c>
      <c r="I29" s="110"/>
      <c r="J29" s="111">
        <f>SUMIF(94:94,I29,95:95)-SUMIF(94:94,C29,95:95)+100</f>
        <v>100</v>
      </c>
      <c r="K29" s="109"/>
      <c r="L29" s="112"/>
      <c r="M29" s="41"/>
      <c r="N29" s="41"/>
      <c r="O29" s="41"/>
      <c r="P29" s="136"/>
      <c r="Q29" s="126">
        <f t="shared" si="11"/>
        <v>111</v>
      </c>
      <c r="R29" s="127" t="s">
        <v>29</v>
      </c>
      <c r="S29" s="128">
        <f t="shared" si="12"/>
        <v>100</v>
      </c>
      <c r="T29" s="127" t="s">
        <v>29</v>
      </c>
      <c r="U29" s="128">
        <f t="shared" si="13"/>
        <v>100</v>
      </c>
      <c r="V29" s="127" t="s">
        <v>29</v>
      </c>
      <c r="W29" s="128">
        <f t="shared" si="14"/>
        <v>100</v>
      </c>
      <c r="X29" s="47"/>
      <c r="Y29" s="137"/>
      <c r="Z29" s="130">
        <f t="shared" si="18"/>
        <v>111</v>
      </c>
      <c r="AA29" s="130">
        <f t="shared" si="15"/>
        <v>1</v>
      </c>
      <c r="AB29" s="130">
        <f t="shared" si="16"/>
        <v>1</v>
      </c>
      <c r="AC29" s="130">
        <f t="shared" si="17"/>
        <v>1</v>
      </c>
    </row>
    <row r="30" spans="1:29" ht="15" x14ac:dyDescent="0.2">
      <c r="A30" s="100"/>
      <c r="B30" s="152">
        <v>111</v>
      </c>
      <c r="C30" s="110"/>
      <c r="D30" s="111">
        <v>100</v>
      </c>
      <c r="E30" s="110"/>
      <c r="F30" s="111">
        <f>SUMIF(96:96,E30,97:97)-SUMIF(96:96,C30,97:97)+100</f>
        <v>100</v>
      </c>
      <c r="G30" s="156"/>
      <c r="H30" s="111">
        <f>SUMIF(96:96,G30,97:97)-SUMIF(96:96,C30,97:97)+100</f>
        <v>100</v>
      </c>
      <c r="I30" s="110"/>
      <c r="J30" s="111">
        <f>SUMIF(96:96,I30,97:97)-SUMIF(96:96,C30,97:97)+100</f>
        <v>100</v>
      </c>
      <c r="K30" s="109"/>
      <c r="L30" s="112"/>
      <c r="M30" s="41"/>
      <c r="N30" s="41"/>
      <c r="O30" s="41"/>
      <c r="P30" s="136"/>
      <c r="Q30" s="126">
        <f t="shared" si="11"/>
        <v>111</v>
      </c>
      <c r="R30" s="127" t="s">
        <v>29</v>
      </c>
      <c r="S30" s="128">
        <f t="shared" si="12"/>
        <v>100</v>
      </c>
      <c r="T30" s="127" t="s">
        <v>29</v>
      </c>
      <c r="U30" s="128">
        <f t="shared" si="13"/>
        <v>100</v>
      </c>
      <c r="V30" s="127" t="s">
        <v>29</v>
      </c>
      <c r="W30" s="128">
        <f t="shared" si="14"/>
        <v>100</v>
      </c>
      <c r="X30" s="47"/>
      <c r="Y30" s="137"/>
      <c r="Z30" s="130">
        <f t="shared" si="18"/>
        <v>111</v>
      </c>
      <c r="AA30" s="130">
        <f t="shared" si="15"/>
        <v>1</v>
      </c>
      <c r="AB30" s="130">
        <f t="shared" si="16"/>
        <v>1</v>
      </c>
      <c r="AC30" s="130">
        <f t="shared" si="17"/>
        <v>1</v>
      </c>
    </row>
    <row r="31" spans="1:29" ht="15.75" thickBot="1" x14ac:dyDescent="0.25">
      <c r="A31" s="113"/>
      <c r="B31" s="152">
        <v>111</v>
      </c>
      <c r="C31" s="115"/>
      <c r="D31" s="116">
        <v>100</v>
      </c>
      <c r="E31" s="115"/>
      <c r="F31" s="116">
        <f>SUMIF(98:98,E31,99:99)-SUMIF(98:98,C31,99:99)+100</f>
        <v>100</v>
      </c>
      <c r="G31" s="157"/>
      <c r="H31" s="116">
        <f>SUMIF(98:98,G31,99:99)-SUMIF(98:98,C31,99:99)+100</f>
        <v>100</v>
      </c>
      <c r="I31" s="115"/>
      <c r="J31" s="116">
        <f>SUMIF(98:98,I31,99:99)-SUMIF(98:98,C31,99:99)+100</f>
        <v>100</v>
      </c>
      <c r="K31" s="109"/>
      <c r="L31" s="112"/>
      <c r="M31" s="41"/>
      <c r="N31" s="41"/>
      <c r="O31" s="41"/>
      <c r="P31" s="136"/>
      <c r="Q31" s="126">
        <f t="shared" si="11"/>
        <v>111</v>
      </c>
      <c r="R31" s="127" t="s">
        <v>29</v>
      </c>
      <c r="S31" s="128">
        <f t="shared" si="12"/>
        <v>100</v>
      </c>
      <c r="T31" s="127" t="s">
        <v>29</v>
      </c>
      <c r="U31" s="128">
        <f t="shared" si="13"/>
        <v>100</v>
      </c>
      <c r="V31" s="127" t="s">
        <v>29</v>
      </c>
      <c r="W31" s="128">
        <f t="shared" si="14"/>
        <v>100</v>
      </c>
      <c r="X31" s="47"/>
      <c r="Y31" s="137"/>
      <c r="Z31" s="130">
        <f t="shared" si="18"/>
        <v>111</v>
      </c>
      <c r="AA31" s="130">
        <f t="shared" si="15"/>
        <v>1</v>
      </c>
      <c r="AB31" s="130">
        <f t="shared" si="16"/>
        <v>1</v>
      </c>
      <c r="AC31" s="130">
        <f t="shared" si="17"/>
        <v>1</v>
      </c>
    </row>
    <row r="32" spans="1:29" ht="15" x14ac:dyDescent="0.2">
      <c r="A32" s="118" t="s">
        <v>51</v>
      </c>
      <c r="B32" s="85" t="s">
        <v>52</v>
      </c>
      <c r="C32" s="158"/>
      <c r="D32" s="159">
        <v>100</v>
      </c>
      <c r="E32" s="158"/>
      <c r="F32" s="160">
        <f>SUMIF(100:100,E32,101:101)-SUMIF(100:100,C32,101:101)+100</f>
        <v>100</v>
      </c>
      <c r="G32" s="158"/>
      <c r="H32" s="159">
        <f>SUMIF(100:100,G32,101:101)-SUMIF(100:100,C32,101:101)+100</f>
        <v>100</v>
      </c>
      <c r="I32" s="158"/>
      <c r="J32" s="111">
        <f>SUMIF(100:100,I32,101:101)-SUMIF(100:100,C32,101:101)+100</f>
        <v>100</v>
      </c>
      <c r="K32" s="103"/>
      <c r="L32" s="112"/>
      <c r="M32" s="41"/>
      <c r="N32" s="41"/>
      <c r="O32" s="41"/>
      <c r="P32" s="161" t="s">
        <v>53</v>
      </c>
      <c r="Q32" s="126" t="str">
        <f t="shared" si="11"/>
        <v>建筑类型</v>
      </c>
      <c r="R32" s="127" t="s">
        <v>29</v>
      </c>
      <c r="S32" s="128">
        <f t="shared" si="12"/>
        <v>100</v>
      </c>
      <c r="T32" s="127" t="s">
        <v>29</v>
      </c>
      <c r="U32" s="128">
        <f t="shared" si="13"/>
        <v>100</v>
      </c>
      <c r="V32" s="127" t="s">
        <v>29</v>
      </c>
      <c r="W32" s="128">
        <f t="shared" si="14"/>
        <v>100</v>
      </c>
      <c r="X32" s="47"/>
      <c r="Y32" s="162" t="s">
        <v>53</v>
      </c>
      <c r="Z32" s="130" t="str">
        <f t="shared" si="18"/>
        <v>建筑类型</v>
      </c>
      <c r="AA32" s="130">
        <f t="shared" si="15"/>
        <v>1</v>
      </c>
      <c r="AB32" s="130">
        <f t="shared" si="16"/>
        <v>1</v>
      </c>
      <c r="AC32" s="130">
        <f t="shared" si="17"/>
        <v>1</v>
      </c>
    </row>
    <row r="33" spans="1:29" s="172" customFormat="1" ht="15" x14ac:dyDescent="0.2">
      <c r="A33" s="163"/>
      <c r="B33" s="93" t="s">
        <v>54</v>
      </c>
      <c r="C33" s="164"/>
      <c r="D33" s="95">
        <v>100</v>
      </c>
      <c r="E33" s="102"/>
      <c r="F33" s="93">
        <f>LOOKUP(E33,103:103,104:104)-LOOKUP(C33,103:103,104:104)+100</f>
        <v>100</v>
      </c>
      <c r="G33" s="101"/>
      <c r="H33" s="95">
        <f>LOOKUP(G33,103:103,104:104)-LOOKUP(C33,103:103,104:104)+100</f>
        <v>100</v>
      </c>
      <c r="I33" s="102"/>
      <c r="J33" s="95">
        <f>LOOKUP(I33,103:103,104:104)-LOOKUP(C33,103:103,104:104)+100</f>
        <v>100</v>
      </c>
      <c r="K33" s="109"/>
      <c r="L33" s="104"/>
      <c r="M33" s="165"/>
      <c r="N33" s="165"/>
      <c r="O33" s="165"/>
      <c r="P33" s="166"/>
      <c r="Q33" s="167" t="str">
        <f t="shared" si="11"/>
        <v>项目建筑规模</v>
      </c>
      <c r="R33" s="168" t="s">
        <v>29</v>
      </c>
      <c r="S33" s="169">
        <f t="shared" si="12"/>
        <v>100</v>
      </c>
      <c r="T33" s="168" t="s">
        <v>29</v>
      </c>
      <c r="U33" s="169">
        <f t="shared" si="13"/>
        <v>100</v>
      </c>
      <c r="V33" s="168" t="s">
        <v>29</v>
      </c>
      <c r="W33" s="169">
        <f t="shared" si="14"/>
        <v>100</v>
      </c>
      <c r="X33" s="170"/>
      <c r="Y33" s="162"/>
      <c r="Z33" s="171" t="str">
        <f t="shared" si="18"/>
        <v>项目建筑规模</v>
      </c>
      <c r="AA33" s="130">
        <f t="shared" si="15"/>
        <v>1</v>
      </c>
      <c r="AB33" s="130">
        <f t="shared" si="16"/>
        <v>1</v>
      </c>
      <c r="AC33" s="130">
        <f t="shared" si="17"/>
        <v>1</v>
      </c>
    </row>
    <row r="34" spans="1:29" ht="15" x14ac:dyDescent="0.2">
      <c r="A34" s="173"/>
      <c r="B34" s="93" t="s">
        <v>55</v>
      </c>
      <c r="C34" s="149"/>
      <c r="D34" s="111">
        <v>100</v>
      </c>
      <c r="E34" s="174"/>
      <c r="F34" s="160">
        <f>SUMIF(105:105,E34,106:106)-SUMIF(105:105,C34,106:106)+100</f>
        <v>100</v>
      </c>
      <c r="G34" s="149"/>
      <c r="H34" s="111">
        <f>SUMIF(105:105,G34,106:106)-SUMIF(105:105,C34,106:106)+100</f>
        <v>100</v>
      </c>
      <c r="I34" s="174"/>
      <c r="J34" s="111">
        <f>SUMIF(105:105,I34,106:106)-SUMIF(105:105,C34,106:106)+100</f>
        <v>100</v>
      </c>
      <c r="K34" s="103"/>
      <c r="L34" s="112"/>
      <c r="M34" s="41"/>
      <c r="N34" s="41"/>
      <c r="O34" s="41"/>
      <c r="P34" s="166"/>
      <c r="Q34" s="126" t="str">
        <f t="shared" si="11"/>
        <v>建筑结构</v>
      </c>
      <c r="R34" s="127" t="s">
        <v>29</v>
      </c>
      <c r="S34" s="128">
        <f t="shared" si="12"/>
        <v>100</v>
      </c>
      <c r="T34" s="127" t="s">
        <v>29</v>
      </c>
      <c r="U34" s="128">
        <f t="shared" si="13"/>
        <v>100</v>
      </c>
      <c r="V34" s="127" t="s">
        <v>29</v>
      </c>
      <c r="W34" s="128">
        <f t="shared" si="14"/>
        <v>100</v>
      </c>
      <c r="X34" s="47"/>
      <c r="Y34" s="162"/>
      <c r="Z34" s="130" t="str">
        <f t="shared" si="18"/>
        <v>建筑结构</v>
      </c>
      <c r="AA34" s="130">
        <f t="shared" si="15"/>
        <v>1</v>
      </c>
      <c r="AB34" s="130">
        <f t="shared" si="16"/>
        <v>1</v>
      </c>
      <c r="AC34" s="130">
        <f t="shared" si="17"/>
        <v>1</v>
      </c>
    </row>
    <row r="35" spans="1:29" ht="15" x14ac:dyDescent="0.2">
      <c r="A35" s="173"/>
      <c r="B35" s="93" t="s">
        <v>56</v>
      </c>
      <c r="C35" s="150"/>
      <c r="D35" s="111">
        <v>100</v>
      </c>
      <c r="E35" s="151"/>
      <c r="F35" s="160">
        <f>SUMIF(107:107,E35,108:108)-SUMIF(107:107,C35,108:108)+100</f>
        <v>100</v>
      </c>
      <c r="G35" s="150"/>
      <c r="H35" s="111">
        <f>SUMIF(107:107,G35,108:108)-SUMIF(107:107,C35,108:108)+100</f>
        <v>100</v>
      </c>
      <c r="I35" s="151"/>
      <c r="J35" s="111">
        <f>SUMIF(107:107,I35,108:108)-SUMIF(107:107,C35,108:108)+100</f>
        <v>100</v>
      </c>
      <c r="K35" s="103"/>
      <c r="L35" s="112"/>
      <c r="M35" s="41"/>
      <c r="N35" s="41"/>
      <c r="O35" s="41"/>
      <c r="P35" s="166"/>
      <c r="Q35" s="126" t="str">
        <f t="shared" si="11"/>
        <v>建筑品质</v>
      </c>
      <c r="R35" s="127" t="s">
        <v>29</v>
      </c>
      <c r="S35" s="128">
        <f t="shared" si="12"/>
        <v>100</v>
      </c>
      <c r="T35" s="127" t="s">
        <v>29</v>
      </c>
      <c r="U35" s="128">
        <f t="shared" si="13"/>
        <v>100</v>
      </c>
      <c r="V35" s="127" t="s">
        <v>29</v>
      </c>
      <c r="W35" s="128">
        <f t="shared" si="14"/>
        <v>100</v>
      </c>
      <c r="X35" s="47"/>
      <c r="Y35" s="162"/>
      <c r="Z35" s="130" t="str">
        <f t="shared" si="18"/>
        <v>建筑品质</v>
      </c>
      <c r="AA35" s="130">
        <f t="shared" si="15"/>
        <v>1</v>
      </c>
      <c r="AB35" s="130">
        <f t="shared" si="16"/>
        <v>1</v>
      </c>
      <c r="AC35" s="130">
        <f t="shared" si="17"/>
        <v>1</v>
      </c>
    </row>
    <row r="36" spans="1:29" ht="15" x14ac:dyDescent="0.2">
      <c r="A36" s="173"/>
      <c r="B36" s="93" t="s">
        <v>57</v>
      </c>
      <c r="C36" s="150"/>
      <c r="D36" s="111">
        <v>100</v>
      </c>
      <c r="E36" s="151"/>
      <c r="F36" s="160">
        <f>SUMIF(109:109,E36,110:110)-SUMIF(109:109,C36,110:110)+100</f>
        <v>100</v>
      </c>
      <c r="G36" s="150"/>
      <c r="H36" s="111">
        <f>SUMIF(109:109,G36,110:110)-SUMIF(109:109,C36,110:110)+100</f>
        <v>100</v>
      </c>
      <c r="I36" s="151"/>
      <c r="J36" s="111">
        <f>SUMIF(109:109,I36,110:110)-SUMIF(109:109,C36,110:110)+100</f>
        <v>100</v>
      </c>
      <c r="K36" s="103"/>
      <c r="L36" s="112"/>
      <c r="M36" s="41"/>
      <c r="N36" s="41"/>
      <c r="O36" s="41"/>
      <c r="P36" s="166"/>
      <c r="Q36" s="126" t="str">
        <f t="shared" si="11"/>
        <v>公共部分装修</v>
      </c>
      <c r="R36" s="127" t="s">
        <v>29</v>
      </c>
      <c r="S36" s="128">
        <f t="shared" si="12"/>
        <v>100</v>
      </c>
      <c r="T36" s="127" t="s">
        <v>29</v>
      </c>
      <c r="U36" s="128">
        <f t="shared" si="13"/>
        <v>100</v>
      </c>
      <c r="V36" s="127" t="s">
        <v>29</v>
      </c>
      <c r="W36" s="128">
        <f t="shared" si="14"/>
        <v>100</v>
      </c>
      <c r="X36" s="47"/>
      <c r="Y36" s="162"/>
      <c r="Z36" s="130" t="str">
        <f t="shared" si="18"/>
        <v>公共部分装修</v>
      </c>
      <c r="AA36" s="130">
        <f t="shared" si="15"/>
        <v>1</v>
      </c>
      <c r="AB36" s="130">
        <f t="shared" si="16"/>
        <v>1</v>
      </c>
      <c r="AC36" s="130">
        <f t="shared" si="17"/>
        <v>1</v>
      </c>
    </row>
    <row r="37" spans="1:29" s="81" customFormat="1" ht="15" x14ac:dyDescent="0.2">
      <c r="A37" s="175"/>
      <c r="B37" s="93" t="s">
        <v>58</v>
      </c>
      <c r="C37" s="176">
        <v>0.75</v>
      </c>
      <c r="D37" s="95">
        <v>100</v>
      </c>
      <c r="E37" s="176">
        <f>C37</f>
        <v>0.75</v>
      </c>
      <c r="F37" s="93">
        <f>LOOKUP(E37,112:112,113:113)-LOOKUP(C37,112:112,113:113)+100</f>
        <v>100</v>
      </c>
      <c r="G37" s="177">
        <f>E37</f>
        <v>0.75</v>
      </c>
      <c r="H37" s="95">
        <f>LOOKUP(G37,112:112,113:113)-LOOKUP(C37,112:112,113:113)+100</f>
        <v>100</v>
      </c>
      <c r="I37" s="178">
        <f>E37</f>
        <v>0.75</v>
      </c>
      <c r="J37" s="95">
        <f>LOOKUP(I37,112:112,113:113)-LOOKUP(C37,112:112,113:113)+100</f>
        <v>100</v>
      </c>
      <c r="K37" s="103"/>
      <c r="L37" s="72"/>
      <c r="M37" s="73"/>
      <c r="N37" s="73"/>
      <c r="O37" s="73"/>
      <c r="P37" s="166"/>
      <c r="Q37" s="90" t="str">
        <f t="shared" si="11"/>
        <v>成新度</v>
      </c>
      <c r="R37" s="76" t="s">
        <v>29</v>
      </c>
      <c r="S37" s="77">
        <f t="shared" si="12"/>
        <v>100</v>
      </c>
      <c r="T37" s="76" t="s">
        <v>29</v>
      </c>
      <c r="U37" s="77">
        <f t="shared" si="13"/>
        <v>100</v>
      </c>
      <c r="V37" s="76" t="s">
        <v>29</v>
      </c>
      <c r="W37" s="77">
        <f t="shared" si="14"/>
        <v>100</v>
      </c>
      <c r="X37" s="78"/>
      <c r="Y37" s="162"/>
      <c r="Z37" s="80" t="str">
        <f t="shared" si="18"/>
        <v>成新度</v>
      </c>
      <c r="AA37" s="80">
        <f t="shared" si="15"/>
        <v>1</v>
      </c>
      <c r="AB37" s="80">
        <f t="shared" si="16"/>
        <v>1</v>
      </c>
      <c r="AC37" s="80">
        <f t="shared" si="17"/>
        <v>1</v>
      </c>
    </row>
    <row r="38" spans="1:29" ht="15" x14ac:dyDescent="0.2">
      <c r="A38" s="173"/>
      <c r="B38" s="93" t="s">
        <v>59</v>
      </c>
      <c r="C38" s="150" t="s">
        <v>60</v>
      </c>
      <c r="D38" s="111">
        <v>100</v>
      </c>
      <c r="E38" s="150" t="s">
        <v>60</v>
      </c>
      <c r="F38" s="160">
        <f>SUMIF(114:114,E38,115:115)-SUMIF(114:114,C38,115:115)+100</f>
        <v>100</v>
      </c>
      <c r="G38" s="150" t="s">
        <v>60</v>
      </c>
      <c r="H38" s="111">
        <f>SUMIF(114:114,G38,115:115)-SUMIF(114:114,C38,115:115)+100</f>
        <v>100</v>
      </c>
      <c r="I38" s="150" t="s">
        <v>60</v>
      </c>
      <c r="J38" s="111">
        <f>SUMIF(114:114,I38,115:115)-SUMIF(114:114,C38,115:115)+100</f>
        <v>100</v>
      </c>
      <c r="K38" s="103"/>
      <c r="L38" s="112"/>
      <c r="M38" s="41"/>
      <c r="N38" s="41"/>
      <c r="O38" s="41"/>
      <c r="P38" s="166" t="s">
        <v>53</v>
      </c>
      <c r="Q38" s="126" t="str">
        <f t="shared" si="11"/>
        <v>物业管理</v>
      </c>
      <c r="R38" s="127" t="s">
        <v>29</v>
      </c>
      <c r="S38" s="128">
        <f t="shared" si="12"/>
        <v>100</v>
      </c>
      <c r="T38" s="127" t="s">
        <v>29</v>
      </c>
      <c r="U38" s="128">
        <f t="shared" si="13"/>
        <v>100</v>
      </c>
      <c r="V38" s="127" t="s">
        <v>29</v>
      </c>
      <c r="W38" s="128">
        <f t="shared" si="14"/>
        <v>100</v>
      </c>
      <c r="X38" s="47"/>
      <c r="Y38" s="162" t="s">
        <v>53</v>
      </c>
      <c r="Z38" s="130" t="str">
        <f t="shared" si="18"/>
        <v>物业管理</v>
      </c>
      <c r="AA38" s="130">
        <f t="shared" si="15"/>
        <v>1</v>
      </c>
      <c r="AB38" s="130">
        <f t="shared" si="16"/>
        <v>1</v>
      </c>
      <c r="AC38" s="130">
        <f t="shared" si="17"/>
        <v>1</v>
      </c>
    </row>
    <row r="39" spans="1:29" ht="15" x14ac:dyDescent="0.2">
      <c r="A39" s="173"/>
      <c r="B39" s="93" t="s">
        <v>61</v>
      </c>
      <c r="C39" s="150"/>
      <c r="D39" s="111">
        <v>100</v>
      </c>
      <c r="E39" s="151"/>
      <c r="F39" s="160">
        <f>SUMIF(116:116,E39,117:117)-SUMIF(116:116,C39,117:117)+100</f>
        <v>100</v>
      </c>
      <c r="G39" s="150"/>
      <c r="H39" s="111">
        <f>SUMIF(116:116,G39,117:117)-SUMIF(116:116,C39,117:117)+100</f>
        <v>100</v>
      </c>
      <c r="I39" s="151"/>
      <c r="J39" s="111">
        <f>SUMIF(116:116,I39,117:117)-SUMIF(116:116,C39,117:117)+100</f>
        <v>100</v>
      </c>
      <c r="K39" s="103"/>
      <c r="L39" s="112"/>
      <c r="M39" s="41"/>
      <c r="N39" s="41"/>
      <c r="O39" s="41"/>
      <c r="P39" s="166"/>
      <c r="Q39" s="126" t="str">
        <f t="shared" si="11"/>
        <v>市政基础设施</v>
      </c>
      <c r="R39" s="127" t="s">
        <v>29</v>
      </c>
      <c r="S39" s="128">
        <f t="shared" si="12"/>
        <v>100</v>
      </c>
      <c r="T39" s="127" t="s">
        <v>29</v>
      </c>
      <c r="U39" s="128">
        <f t="shared" si="13"/>
        <v>100</v>
      </c>
      <c r="V39" s="127" t="s">
        <v>29</v>
      </c>
      <c r="W39" s="128">
        <f t="shared" si="14"/>
        <v>100</v>
      </c>
      <c r="X39" s="47"/>
      <c r="Y39" s="162"/>
      <c r="Z39" s="130" t="str">
        <f t="shared" si="18"/>
        <v>市政基础设施</v>
      </c>
      <c r="AA39" s="130">
        <f t="shared" si="15"/>
        <v>1</v>
      </c>
      <c r="AB39" s="130">
        <f t="shared" si="16"/>
        <v>1</v>
      </c>
      <c r="AC39" s="130">
        <f t="shared" si="17"/>
        <v>1</v>
      </c>
    </row>
    <row r="40" spans="1:29" ht="15" x14ac:dyDescent="0.2">
      <c r="A40" s="173"/>
      <c r="B40" s="93" t="s">
        <v>62</v>
      </c>
      <c r="C40" s="150"/>
      <c r="D40" s="111">
        <v>100</v>
      </c>
      <c r="E40" s="151"/>
      <c r="F40" s="160">
        <f>SUMIF(118:118,E40,119:119)-SUMIF(118:118,C40,119:119)+100</f>
        <v>100</v>
      </c>
      <c r="G40" s="150"/>
      <c r="H40" s="111">
        <f>SUMIF(118:118,G40,119:119)-SUMIF(118:118,C40,119:119)+100</f>
        <v>100</v>
      </c>
      <c r="I40" s="151"/>
      <c r="J40" s="111">
        <f>SUMIF(118:118,I40,119:119)-SUMIF(118:118,C40,119:119)+100</f>
        <v>100</v>
      </c>
      <c r="K40" s="103"/>
      <c r="L40" s="112"/>
      <c r="M40" s="41"/>
      <c r="N40" s="41"/>
      <c r="O40" s="41"/>
      <c r="P40" s="166"/>
      <c r="Q40" s="126" t="str">
        <f t="shared" si="11"/>
        <v>房型</v>
      </c>
      <c r="R40" s="127" t="s">
        <v>29</v>
      </c>
      <c r="S40" s="128">
        <f t="shared" si="12"/>
        <v>100</v>
      </c>
      <c r="T40" s="127" t="s">
        <v>29</v>
      </c>
      <c r="U40" s="128">
        <f t="shared" si="13"/>
        <v>100</v>
      </c>
      <c r="V40" s="127" t="s">
        <v>29</v>
      </c>
      <c r="W40" s="128">
        <f t="shared" si="14"/>
        <v>100</v>
      </c>
      <c r="X40" s="47"/>
      <c r="Y40" s="162"/>
      <c r="Z40" s="130" t="str">
        <f t="shared" si="18"/>
        <v>房型</v>
      </c>
      <c r="AA40" s="130">
        <f t="shared" si="15"/>
        <v>1</v>
      </c>
      <c r="AB40" s="130">
        <f t="shared" si="16"/>
        <v>1</v>
      </c>
      <c r="AC40" s="130">
        <f t="shared" si="17"/>
        <v>1</v>
      </c>
    </row>
    <row r="41" spans="1:29" s="172" customFormat="1" ht="28.5" x14ac:dyDescent="0.2">
      <c r="A41" s="163"/>
      <c r="B41" s="93" t="s">
        <v>63</v>
      </c>
      <c r="C41" s="164"/>
      <c r="D41" s="95">
        <v>100</v>
      </c>
      <c r="E41" s="102"/>
      <c r="F41" s="93">
        <f>SUMIF(120:120,E41,121:121)-SUMIF(120:120,C41,121:121)+100</f>
        <v>100</v>
      </c>
      <c r="G41" s="101"/>
      <c r="H41" s="95">
        <f>SUMIF(120:120,G41,121:121)-SUMIF(120:120,C41,121:121)+100</f>
        <v>100</v>
      </c>
      <c r="I41" s="179"/>
      <c r="J41" s="111">
        <f>SUMIF(120:120,I41,121:121)-SUMIF(120:120,C41,121:121)+100</f>
        <v>100</v>
      </c>
      <c r="K41" s="109"/>
      <c r="L41" s="104"/>
      <c r="M41" s="165"/>
      <c r="N41" s="165"/>
      <c r="O41" s="165"/>
      <c r="P41" s="166"/>
      <c r="Q41" s="167" t="str">
        <f t="shared" si="11"/>
        <v>单套/主力户型建筑面积</v>
      </c>
      <c r="R41" s="168" t="s">
        <v>29</v>
      </c>
      <c r="S41" s="169">
        <f t="shared" si="12"/>
        <v>100</v>
      </c>
      <c r="T41" s="168" t="s">
        <v>29</v>
      </c>
      <c r="U41" s="169">
        <f t="shared" si="13"/>
        <v>100</v>
      </c>
      <c r="V41" s="168" t="s">
        <v>29</v>
      </c>
      <c r="W41" s="169">
        <f t="shared" si="14"/>
        <v>100</v>
      </c>
      <c r="X41" s="170"/>
      <c r="Y41" s="162"/>
      <c r="Z41" s="171" t="str">
        <f t="shared" si="18"/>
        <v>单套/主力户型建筑面积</v>
      </c>
      <c r="AA41" s="130">
        <f t="shared" si="15"/>
        <v>1</v>
      </c>
      <c r="AB41" s="130">
        <f t="shared" si="16"/>
        <v>1</v>
      </c>
      <c r="AC41" s="130">
        <f t="shared" si="17"/>
        <v>1</v>
      </c>
    </row>
    <row r="42" spans="1:29" ht="15" x14ac:dyDescent="0.2">
      <c r="A42" s="173"/>
      <c r="B42" s="93" t="s">
        <v>64</v>
      </c>
      <c r="C42" s="150" t="s">
        <v>65</v>
      </c>
      <c r="D42" s="111">
        <v>100</v>
      </c>
      <c r="E42" s="150" t="s">
        <v>65</v>
      </c>
      <c r="F42" s="160">
        <f>SUMIF(122:122,E42,123:123)-SUMIF(122:122,C42,123:123)+100</f>
        <v>100</v>
      </c>
      <c r="G42" s="150" t="s">
        <v>65</v>
      </c>
      <c r="H42" s="111">
        <f>SUMIF(122:122,G42,123:123)-SUMIF(122:122,C42,123:123)+100</f>
        <v>100</v>
      </c>
      <c r="I42" s="150" t="s">
        <v>65</v>
      </c>
      <c r="J42" s="111">
        <f>SUMIF(122:122,I42,123:123)-SUMIF(122:122,C42,123:123)+100</f>
        <v>100</v>
      </c>
      <c r="K42" s="103">
        <v>0</v>
      </c>
      <c r="L42" s="112"/>
      <c r="M42" s="41"/>
      <c r="N42" s="41"/>
      <c r="O42" s="41"/>
      <c r="P42" s="166"/>
      <c r="Q42" s="126" t="str">
        <f t="shared" si="11"/>
        <v>内部装修</v>
      </c>
      <c r="R42" s="127" t="s">
        <v>29</v>
      </c>
      <c r="S42" s="128">
        <f t="shared" si="12"/>
        <v>100</v>
      </c>
      <c r="T42" s="127" t="s">
        <v>29</v>
      </c>
      <c r="U42" s="128">
        <f t="shared" si="13"/>
        <v>100</v>
      </c>
      <c r="V42" s="127" t="s">
        <v>29</v>
      </c>
      <c r="W42" s="128">
        <f t="shared" si="14"/>
        <v>100</v>
      </c>
      <c r="X42" s="47"/>
      <c r="Y42" s="162"/>
      <c r="Z42" s="130" t="str">
        <f t="shared" si="18"/>
        <v>内部装修</v>
      </c>
      <c r="AA42" s="130">
        <f t="shared" si="15"/>
        <v>1</v>
      </c>
      <c r="AB42" s="130">
        <f t="shared" si="16"/>
        <v>1</v>
      </c>
      <c r="AC42" s="130">
        <f t="shared" si="17"/>
        <v>1</v>
      </c>
    </row>
    <row r="43" spans="1:29" ht="15" x14ac:dyDescent="0.2">
      <c r="A43" s="173"/>
      <c r="B43" s="93" t="s">
        <v>66</v>
      </c>
      <c r="C43" s="150" t="s">
        <v>43</v>
      </c>
      <c r="D43" s="111">
        <v>100</v>
      </c>
      <c r="E43" s="150" t="s">
        <v>43</v>
      </c>
      <c r="F43" s="160">
        <f>SUMIF(124:124,E43,125:125)-SUMIF(124:124,C43,125:125)+100</f>
        <v>100</v>
      </c>
      <c r="G43" s="150" t="s">
        <v>43</v>
      </c>
      <c r="H43" s="111">
        <f>SUMIF(124:124,G43,125:125)-SUMIF(124:124,C43,125:125)+100</f>
        <v>100</v>
      </c>
      <c r="I43" s="150" t="s">
        <v>43</v>
      </c>
      <c r="J43" s="111">
        <f>SUMIF(124:124,I43,125:125)-SUMIF(124:124,C43,125:125)+100</f>
        <v>100</v>
      </c>
      <c r="K43" s="103"/>
      <c r="L43" s="112"/>
      <c r="M43" s="41"/>
      <c r="N43" s="41"/>
      <c r="O43" s="41"/>
      <c r="P43" s="166"/>
      <c r="Q43" s="126" t="str">
        <f t="shared" si="11"/>
        <v>内部装修维护情况</v>
      </c>
      <c r="R43" s="127" t="s">
        <v>29</v>
      </c>
      <c r="S43" s="128">
        <f t="shared" si="12"/>
        <v>100</v>
      </c>
      <c r="T43" s="127" t="s">
        <v>29</v>
      </c>
      <c r="U43" s="128">
        <f t="shared" si="13"/>
        <v>100</v>
      </c>
      <c r="V43" s="127" t="s">
        <v>29</v>
      </c>
      <c r="W43" s="128">
        <f t="shared" si="14"/>
        <v>100</v>
      </c>
      <c r="X43" s="47"/>
      <c r="Y43" s="162"/>
      <c r="Z43" s="130" t="str">
        <f t="shared" si="18"/>
        <v>内部装修维护情况</v>
      </c>
      <c r="AA43" s="130">
        <f t="shared" si="15"/>
        <v>1</v>
      </c>
      <c r="AB43" s="130">
        <f t="shared" si="16"/>
        <v>1</v>
      </c>
      <c r="AC43" s="130">
        <f t="shared" si="17"/>
        <v>1</v>
      </c>
    </row>
    <row r="44" spans="1:29" s="81" customFormat="1" ht="15" x14ac:dyDescent="0.2">
      <c r="A44" s="175"/>
      <c r="B44" s="152">
        <v>111</v>
      </c>
      <c r="C44" s="164"/>
      <c r="D44" s="95">
        <v>100</v>
      </c>
      <c r="E44" s="164"/>
      <c r="F44" s="93">
        <f>SUMIF(126:126,E44,127:127)-SUMIF(126:126,C44,127:127)+100</f>
        <v>100</v>
      </c>
      <c r="G44" s="164"/>
      <c r="H44" s="95">
        <f>SUMIF(126:126,G44,127:127)-SUMIF(126:126,C44,127:127)+100</f>
        <v>100</v>
      </c>
      <c r="I44" s="164"/>
      <c r="J44" s="95">
        <f>SUMIF(126:126,I44,127:127)-SUMIF(126:126,C44,127:127)+100</f>
        <v>100</v>
      </c>
      <c r="K44" s="109"/>
      <c r="L44" s="72"/>
      <c r="M44" s="73"/>
      <c r="N44" s="73"/>
      <c r="O44" s="73"/>
      <c r="P44" s="166"/>
      <c r="Q44" s="90">
        <f t="shared" si="11"/>
        <v>111</v>
      </c>
      <c r="R44" s="76" t="s">
        <v>29</v>
      </c>
      <c r="S44" s="77">
        <f t="shared" si="12"/>
        <v>100</v>
      </c>
      <c r="T44" s="76" t="s">
        <v>29</v>
      </c>
      <c r="U44" s="77">
        <f t="shared" si="13"/>
        <v>100</v>
      </c>
      <c r="V44" s="76" t="s">
        <v>29</v>
      </c>
      <c r="W44" s="77">
        <f t="shared" si="14"/>
        <v>100</v>
      </c>
      <c r="X44" s="78"/>
      <c r="Y44" s="162"/>
      <c r="Z44" s="80">
        <f t="shared" si="18"/>
        <v>111</v>
      </c>
      <c r="AA44" s="80">
        <f t="shared" si="15"/>
        <v>1</v>
      </c>
      <c r="AB44" s="80">
        <f t="shared" si="16"/>
        <v>1</v>
      </c>
      <c r="AC44" s="80">
        <f t="shared" si="17"/>
        <v>1</v>
      </c>
    </row>
    <row r="45" spans="1:29" ht="15" x14ac:dyDescent="0.2">
      <c r="A45" s="173"/>
      <c r="B45" s="152">
        <v>111</v>
      </c>
      <c r="C45" s="110"/>
      <c r="D45" s="111">
        <v>100</v>
      </c>
      <c r="E45" s="110"/>
      <c r="F45" s="160">
        <f>SUMIF(128:128,E45,129:129)-SUMIF(128:128,C45,129:129)+100</f>
        <v>100</v>
      </c>
      <c r="G45" s="110"/>
      <c r="H45" s="111">
        <f>SUMIF(128:128,G45,129:129)-SUMIF(128:128,C45,129:129)+100</f>
        <v>100</v>
      </c>
      <c r="I45" s="110"/>
      <c r="J45" s="111">
        <f>SUMIF(128:128,I45,129:129)-SUMIF(128:128,C45,129:129)+100</f>
        <v>100</v>
      </c>
      <c r="K45" s="109"/>
      <c r="L45" s="112"/>
      <c r="M45" s="41"/>
      <c r="N45" s="41"/>
      <c r="O45" s="41"/>
      <c r="P45" s="166"/>
      <c r="Q45" s="126">
        <f t="shared" si="11"/>
        <v>111</v>
      </c>
      <c r="R45" s="127" t="s">
        <v>29</v>
      </c>
      <c r="S45" s="128">
        <f t="shared" si="12"/>
        <v>100</v>
      </c>
      <c r="T45" s="127" t="s">
        <v>29</v>
      </c>
      <c r="U45" s="128">
        <f t="shared" si="13"/>
        <v>100</v>
      </c>
      <c r="V45" s="127" t="s">
        <v>29</v>
      </c>
      <c r="W45" s="128">
        <f t="shared" si="14"/>
        <v>100</v>
      </c>
      <c r="X45" s="47"/>
      <c r="Y45" s="162"/>
      <c r="Z45" s="130">
        <f t="shared" si="18"/>
        <v>111</v>
      </c>
      <c r="AA45" s="130">
        <f t="shared" si="15"/>
        <v>1</v>
      </c>
      <c r="AB45" s="130">
        <f t="shared" si="16"/>
        <v>1</v>
      </c>
      <c r="AC45" s="130">
        <f t="shared" si="17"/>
        <v>1</v>
      </c>
    </row>
    <row r="46" spans="1:29" ht="15.75" thickBot="1" x14ac:dyDescent="0.25">
      <c r="A46" s="180"/>
      <c r="B46" s="114">
        <v>111</v>
      </c>
      <c r="C46" s="115"/>
      <c r="D46" s="116">
        <v>100</v>
      </c>
      <c r="E46" s="115"/>
      <c r="F46" s="117">
        <f>SUMIF(130:130,E46,131:131)-SUMIF(130:130,C46,131:131)+100</f>
        <v>100</v>
      </c>
      <c r="G46" s="115"/>
      <c r="H46" s="116">
        <f>SUMIF(130:130,G46,131:131)-SUMIF(130:130,C46,131:131)+100</f>
        <v>100</v>
      </c>
      <c r="I46" s="115"/>
      <c r="J46" s="116">
        <f>SUMIF(130:130,I46,131:131)-SUMIF(130:130,C46,131:131)+100</f>
        <v>100</v>
      </c>
      <c r="K46" s="109"/>
      <c r="L46" s="112"/>
      <c r="M46" s="41"/>
      <c r="N46" s="41"/>
      <c r="O46" s="41"/>
      <c r="P46" s="181"/>
      <c r="Q46" s="126">
        <f t="shared" si="11"/>
        <v>111</v>
      </c>
      <c r="R46" s="127" t="s">
        <v>29</v>
      </c>
      <c r="S46" s="128">
        <f t="shared" si="12"/>
        <v>100</v>
      </c>
      <c r="T46" s="127" t="s">
        <v>29</v>
      </c>
      <c r="U46" s="128">
        <f t="shared" si="13"/>
        <v>100</v>
      </c>
      <c r="V46" s="127" t="s">
        <v>29</v>
      </c>
      <c r="W46" s="128">
        <f t="shared" si="14"/>
        <v>100</v>
      </c>
      <c r="X46" s="47"/>
      <c r="Y46" s="182"/>
      <c r="Z46" s="130">
        <f t="shared" si="18"/>
        <v>111</v>
      </c>
      <c r="AA46" s="130">
        <f t="shared" si="15"/>
        <v>1</v>
      </c>
      <c r="AB46" s="130">
        <f t="shared" si="16"/>
        <v>1</v>
      </c>
      <c r="AC46" s="130">
        <f t="shared" si="17"/>
        <v>1</v>
      </c>
    </row>
    <row r="47" spans="1:29" ht="15" x14ac:dyDescent="0.2">
      <c r="A47" s="183" t="s">
        <v>67</v>
      </c>
      <c r="B47" s="184"/>
      <c r="C47" s="185" t="s">
        <v>68</v>
      </c>
      <c r="D47" s="186"/>
      <c r="E47" s="187">
        <f>Sheet2!Y6</f>
        <v>89.69</v>
      </c>
      <c r="F47" s="188"/>
      <c r="G47" s="189">
        <f>Sheet2!Y16</f>
        <v>85.45</v>
      </c>
      <c r="H47" s="190"/>
      <c r="I47" s="187">
        <f>Sheet2!Y27</f>
        <v>84.78</v>
      </c>
      <c r="J47" s="190"/>
      <c r="K47" s="191"/>
      <c r="L47" s="192"/>
      <c r="M47" s="41"/>
      <c r="N47" s="41"/>
      <c r="O47" s="41"/>
      <c r="P47" s="193" t="str">
        <f>A47</f>
        <v>成交单价（元/平方米）</v>
      </c>
      <c r="Q47" s="193"/>
      <c r="R47" s="46">
        <f>E47</f>
        <v>89.69</v>
      </c>
      <c r="S47" s="46"/>
      <c r="T47" s="46">
        <f>G47</f>
        <v>85.45</v>
      </c>
      <c r="U47" s="46"/>
      <c r="V47" s="46">
        <f>I47</f>
        <v>84.78</v>
      </c>
      <c r="W47" s="46"/>
      <c r="X47" s="131"/>
      <c r="Y47" s="194"/>
      <c r="Z47" s="131"/>
      <c r="AA47" s="131"/>
      <c r="AB47" s="131"/>
      <c r="AC47" s="131"/>
    </row>
    <row r="48" spans="1:29" ht="15.75" thickBot="1" x14ac:dyDescent="0.25">
      <c r="A48" s="195" t="s">
        <v>69</v>
      </c>
      <c r="B48" s="196"/>
      <c r="C48" s="197">
        <f>R49</f>
        <v>86.7</v>
      </c>
      <c r="D48" s="198" t="s">
        <v>70</v>
      </c>
      <c r="E48" s="199">
        <f>R48</f>
        <v>89.7</v>
      </c>
      <c r="F48" s="200"/>
      <c r="G48" s="197">
        <f>T48</f>
        <v>85.5</v>
      </c>
      <c r="H48" s="200"/>
      <c r="I48" s="199">
        <f>V48</f>
        <v>84.8</v>
      </c>
      <c r="J48" s="200"/>
      <c r="K48" s="201">
        <f>F48+H48+J48</f>
        <v>0</v>
      </c>
      <c r="L48" s="192"/>
      <c r="M48" s="41"/>
      <c r="N48" s="41"/>
      <c r="O48" s="41"/>
      <c r="P48" s="193" t="str">
        <f>A48</f>
        <v>比较价值（元/平方米）</v>
      </c>
      <c r="Q48" s="193"/>
      <c r="R48" s="46">
        <f>IF(F1="售价",ROUND(PRODUCT(R47,AA7:AA46),0),ROUND(PRODUCT(R47,AA7:AA46),1))</f>
        <v>89.7</v>
      </c>
      <c r="S48" s="46"/>
      <c r="T48" s="46">
        <f>IF(F1="售价",ROUND(PRODUCT(T47,AB7:AB46),0),ROUND(PRODUCT(T47,AB7:AB46),1))</f>
        <v>85.5</v>
      </c>
      <c r="U48" s="46"/>
      <c r="V48" s="46">
        <f>IF(F1="售价",ROUND(PRODUCT(V47,AC7:AC46),0),ROUND(PRODUCT(V47,AC7:AC46),1))</f>
        <v>84.8</v>
      </c>
      <c r="W48" s="46"/>
      <c r="X48" s="131"/>
      <c r="Y48" s="131"/>
      <c r="Z48" s="131"/>
      <c r="AA48" s="131"/>
      <c r="AB48" s="131"/>
      <c r="AC48" s="131"/>
    </row>
    <row r="49" spans="1:29" ht="15.75" thickBot="1" x14ac:dyDescent="0.25">
      <c r="A49" s="202" t="s">
        <v>71</v>
      </c>
      <c r="B49" s="203"/>
      <c r="C49" s="204">
        <f>R49</f>
        <v>86.7</v>
      </c>
      <c r="D49" s="59"/>
      <c r="E49" s="59"/>
      <c r="F49" s="59"/>
      <c r="G49" s="59"/>
      <c r="H49" s="59"/>
      <c r="I49" s="59"/>
      <c r="J49" s="59"/>
      <c r="K49" s="205"/>
      <c r="L49" s="192"/>
      <c r="M49" s="41"/>
      <c r="N49" s="41"/>
      <c r="O49" s="41"/>
      <c r="P49" s="206" t="str">
        <f>A49</f>
        <v>估价对象XX用房的比较价值（楼面单价，元/平方米）</v>
      </c>
      <c r="Q49" s="207"/>
      <c r="R49" s="208">
        <f>IF(F1="售价",ROUND(IF(D48="简单平均",AVERAGE(R48:V48),R48*F48+T48*H48+V48*J48),0),ROUND(IF(D48="简单平均",AVERAGE(R48:V48),R48*F48+T48*H48+V48*J48),1))</f>
        <v>86.7</v>
      </c>
      <c r="S49" s="208"/>
      <c r="T49" s="208"/>
      <c r="U49" s="208"/>
      <c r="V49" s="208"/>
      <c r="W49" s="208"/>
      <c r="X49" s="131"/>
      <c r="Y49" s="131"/>
      <c r="Z49" s="131"/>
      <c r="AA49" s="131"/>
      <c r="AB49" s="131"/>
      <c r="AC49" s="131"/>
    </row>
    <row r="50" spans="1:29" x14ac:dyDescent="0.2">
      <c r="A50" s="41"/>
      <c r="B50" s="41"/>
      <c r="C50" s="41"/>
      <c r="D50" s="41"/>
      <c r="E50" s="41"/>
      <c r="F50" s="41"/>
      <c r="G50" s="209"/>
      <c r="H50" s="41"/>
      <c r="I50" s="41"/>
      <c r="J50" s="41"/>
      <c r="K50" s="210"/>
      <c r="L50" s="211"/>
      <c r="M50" s="41"/>
      <c r="N50" s="41"/>
      <c r="O50" s="41"/>
    </row>
    <row r="51" spans="1:29" x14ac:dyDescent="0.2">
      <c r="A51" s="41"/>
      <c r="B51" s="41"/>
      <c r="C51" s="41"/>
      <c r="D51" s="41"/>
      <c r="E51" s="41"/>
      <c r="F51" s="41"/>
      <c r="G51" s="41"/>
      <c r="H51" s="41"/>
      <c r="I51" s="41"/>
      <c r="J51" s="41"/>
      <c r="K51" s="210"/>
      <c r="L51" s="211"/>
      <c r="M51" s="41"/>
      <c r="N51" s="41"/>
      <c r="O51" s="41"/>
    </row>
    <row r="52" spans="1:29" ht="13.5" customHeight="1" x14ac:dyDescent="0.2">
      <c r="A52" s="41"/>
      <c r="B52" s="41"/>
      <c r="C52" s="213" t="s">
        <v>72</v>
      </c>
      <c r="D52" s="214"/>
      <c r="E52" s="215">
        <f>IF(E47&lt;E48,E48/E47-1,E47/E48-1)</f>
        <v>1.1149514996100507E-4</v>
      </c>
      <c r="F52" s="216" t="str">
        <f>IF(OR(E52&gt;=0.3,E52&lt;=-0.3),"超过30%","")</f>
        <v/>
      </c>
      <c r="G52" s="215">
        <f>IF(G47&lt;G48,G48/G47-1,G47/G48-1)</f>
        <v>5.8513750731425951E-4</v>
      </c>
      <c r="H52" s="216" t="str">
        <f>IF(OR(G52&gt;=0.3,G52&lt;=-0.3),"超过30%","")</f>
        <v/>
      </c>
      <c r="I52" s="215">
        <f>IF(I47&lt;I48,I48/I47-1,I47/I48-1)</f>
        <v>2.3590469450329721E-4</v>
      </c>
      <c r="J52" s="216" t="str">
        <f>IF(OR(I52&gt;=0.3,I52&lt;=-0.3),"超过30%","")</f>
        <v/>
      </c>
      <c r="K52" s="210"/>
      <c r="L52" s="211"/>
      <c r="M52" s="41"/>
      <c r="N52" s="41"/>
      <c r="O52" s="41"/>
    </row>
    <row r="53" spans="1:29" ht="13.5" customHeight="1" x14ac:dyDescent="0.2">
      <c r="A53" s="41"/>
      <c r="B53" s="41"/>
      <c r="C53" s="213" t="s">
        <v>73</v>
      </c>
      <c r="D53" s="217"/>
      <c r="E53" s="215">
        <f>IF(E48&lt;G48,G48/E48-1,E48/G48-1)</f>
        <v>4.912280701754379E-2</v>
      </c>
      <c r="F53" s="216" t="str">
        <f>IF(OR(E53&gt;=0.2,E53&lt;=-0.2),"超过20%","")</f>
        <v/>
      </c>
      <c r="G53" s="215">
        <f>IF(G48&lt;I48,I48/G48-1,G48/I48-1)</f>
        <v>8.2547169811320042E-3</v>
      </c>
      <c r="H53" s="216" t="str">
        <f>IF(OR(G53&gt;=0.2,G53&lt;=-0.2),"超过20%","")</f>
        <v/>
      </c>
      <c r="I53" s="215">
        <f>IF(I48&lt;E48,E48/I48-1,I48/E48-1)</f>
        <v>5.7783018867924696E-2</v>
      </c>
      <c r="J53" s="216" t="str">
        <f>IF(OR(I53&gt;=0.2,I53&lt;=-0.2),"超过20%","")</f>
        <v/>
      </c>
      <c r="K53" s="210"/>
      <c r="L53" s="211"/>
      <c r="M53" s="41"/>
      <c r="N53" s="41"/>
      <c r="O53" s="41"/>
    </row>
    <row r="54" spans="1:29" s="222" customFormat="1" ht="13.5" customHeight="1" x14ac:dyDescent="0.2">
      <c r="A54" s="218"/>
      <c r="B54" s="218"/>
      <c r="C54" s="213" t="s">
        <v>74</v>
      </c>
      <c r="D54" s="217"/>
      <c r="E54" s="215">
        <f>IF(E47&lt;G47,G47/E47-1,E47/G47-1)</f>
        <v>4.9619660620245698E-2</v>
      </c>
      <c r="F54" s="216" t="str">
        <f>IF(OR(E54&gt;=0.3,E54&lt;=-0.3),"超过30%","")</f>
        <v/>
      </c>
      <c r="G54" s="215">
        <f>IF(G47&lt;I47,I47/G47-1,G47/I47-1)</f>
        <v>7.9028072658646753E-3</v>
      </c>
      <c r="H54" s="216" t="str">
        <f>IF(OR(G54&gt;=0.3,G54&lt;=-0.3),"超过30%","")</f>
        <v/>
      </c>
      <c r="I54" s="215">
        <f>IF(I47&lt;E47,E47/I47-1,I47/E47-1)</f>
        <v>5.7914602500589663E-2</v>
      </c>
      <c r="J54" s="216" t="str">
        <f>IF(OR(I54&gt;=0.3,I54&lt;=-0.3),"超过30%","")</f>
        <v/>
      </c>
      <c r="K54" s="219"/>
      <c r="L54" s="220"/>
      <c r="M54" s="218"/>
      <c r="N54" s="218"/>
      <c r="O54" s="218"/>
      <c r="P54" s="221"/>
    </row>
    <row r="55" spans="1:29" s="222" customFormat="1" x14ac:dyDescent="0.2">
      <c r="A55" s="218"/>
      <c r="B55" s="223"/>
      <c r="C55" s="224"/>
      <c r="D55" s="218"/>
      <c r="E55" s="218"/>
      <c r="F55" s="218"/>
      <c r="G55" s="218"/>
      <c r="H55" s="218"/>
      <c r="I55" s="218"/>
      <c r="J55" s="218"/>
      <c r="K55" s="219"/>
      <c r="L55" s="220"/>
      <c r="M55" s="218"/>
      <c r="N55" s="218"/>
      <c r="O55" s="218"/>
      <c r="P55" s="221"/>
    </row>
    <row r="56" spans="1:29" x14ac:dyDescent="0.2">
      <c r="A56" s="41"/>
      <c r="B56" s="223"/>
      <c r="C56" s="224"/>
      <c r="D56" s="41"/>
      <c r="E56" s="41"/>
      <c r="F56" s="41"/>
      <c r="G56" s="41"/>
      <c r="H56" s="41"/>
      <c r="I56" s="41"/>
      <c r="J56" s="41"/>
      <c r="K56" s="210"/>
      <c r="L56" s="211"/>
      <c r="M56" s="41"/>
      <c r="N56" s="41"/>
      <c r="O56" s="41"/>
    </row>
    <row r="57" spans="1:29" ht="21.75" thickBot="1" x14ac:dyDescent="0.35">
      <c r="A57" s="225" t="s">
        <v>75</v>
      </c>
      <c r="B57" s="131"/>
      <c r="C57" s="226"/>
      <c r="D57" s="226"/>
      <c r="E57" s="226"/>
      <c r="F57" s="227"/>
      <c r="G57" s="227"/>
      <c r="H57" s="226"/>
      <c r="I57" s="226"/>
      <c r="J57" s="226"/>
      <c r="K57" s="228"/>
      <c r="L57" s="229"/>
      <c r="M57" s="230"/>
      <c r="N57" s="230"/>
      <c r="O57" s="230"/>
      <c r="P57" s="231"/>
      <c r="Q57" s="232"/>
    </row>
    <row r="58" spans="1:29" s="238" customFormat="1" ht="15" x14ac:dyDescent="0.2">
      <c r="A58" s="233" t="s">
        <v>27</v>
      </c>
      <c r="B58" s="234"/>
      <c r="C58" s="235" t="str">
        <f>YEAR(C7)&amp;"-"&amp;MONTH(C7)</f>
        <v>2025-11</v>
      </c>
      <c r="D58" s="236">
        <f>EDATE(C58,-1)</f>
        <v>45931</v>
      </c>
      <c r="E58" s="236">
        <f>EDATE(D58,-1)</f>
        <v>45901</v>
      </c>
      <c r="F58" s="236">
        <f t="shared" ref="F58:O58" si="19">EDATE(E58,-1)</f>
        <v>45870</v>
      </c>
      <c r="G58" s="236">
        <f t="shared" si="19"/>
        <v>45839</v>
      </c>
      <c r="H58" s="236">
        <f t="shared" si="19"/>
        <v>45809</v>
      </c>
      <c r="I58" s="236">
        <f t="shared" si="19"/>
        <v>45778</v>
      </c>
      <c r="J58" s="236">
        <f t="shared" si="19"/>
        <v>45748</v>
      </c>
      <c r="K58" s="236">
        <f t="shared" si="19"/>
        <v>45717</v>
      </c>
      <c r="L58" s="236">
        <f t="shared" si="19"/>
        <v>45689</v>
      </c>
      <c r="M58" s="236">
        <f t="shared" si="19"/>
        <v>45658</v>
      </c>
      <c r="N58" s="236">
        <f t="shared" si="19"/>
        <v>45627</v>
      </c>
      <c r="O58" s="236">
        <f t="shared" si="19"/>
        <v>45597</v>
      </c>
      <c r="P58" s="237"/>
    </row>
    <row r="59" spans="1:29" s="81" customFormat="1" ht="15" x14ac:dyDescent="0.2">
      <c r="A59" s="239"/>
      <c r="B59" s="240"/>
      <c r="C59" s="241">
        <v>100</v>
      </c>
      <c r="D59" s="242">
        <v>100</v>
      </c>
      <c r="E59" s="243">
        <v>100</v>
      </c>
      <c r="F59" s="243">
        <v>99.5</v>
      </c>
      <c r="G59" s="243">
        <f>F59</f>
        <v>99.5</v>
      </c>
      <c r="H59" s="243">
        <f>G59</f>
        <v>99.5</v>
      </c>
      <c r="I59" s="243"/>
      <c r="J59" s="243"/>
      <c r="K59" s="243"/>
      <c r="L59" s="243"/>
      <c r="M59" s="106"/>
      <c r="N59" s="243"/>
      <c r="O59" s="106"/>
      <c r="P59" s="244"/>
    </row>
    <row r="60" spans="1:29" s="81" customFormat="1" ht="15.75" thickBot="1" x14ac:dyDescent="0.25">
      <c r="A60" s="245" t="s">
        <v>76</v>
      </c>
      <c r="B60" s="246"/>
      <c r="C60" s="247"/>
      <c r="D60" s="248"/>
      <c r="E60" s="248"/>
      <c r="F60" s="248"/>
      <c r="G60" s="248"/>
      <c r="H60" s="248"/>
      <c r="I60" s="248"/>
      <c r="J60" s="248"/>
      <c r="K60" s="248"/>
      <c r="L60" s="248"/>
      <c r="M60" s="249"/>
      <c r="N60" s="248"/>
      <c r="O60" s="249"/>
      <c r="P60" s="244"/>
      <c r="Q60" s="232"/>
    </row>
    <row r="61" spans="1:29" s="81" customFormat="1" ht="15" x14ac:dyDescent="0.2">
      <c r="A61" s="250" t="s">
        <v>30</v>
      </c>
      <c r="B61" s="251"/>
      <c r="C61" s="252" t="s">
        <v>77</v>
      </c>
      <c r="D61" s="253"/>
      <c r="E61" s="253"/>
      <c r="F61" s="253"/>
      <c r="G61" s="253"/>
      <c r="H61" s="253"/>
      <c r="I61" s="253"/>
      <c r="J61" s="253"/>
      <c r="K61" s="253"/>
      <c r="L61" s="254"/>
      <c r="M61" s="255"/>
      <c r="N61" s="256"/>
      <c r="O61" s="256"/>
      <c r="P61" s="257"/>
      <c r="Q61" s="232"/>
    </row>
    <row r="62" spans="1:29" s="81" customFormat="1" ht="15.75" thickBot="1" x14ac:dyDescent="0.25">
      <c r="A62" s="250"/>
      <c r="B62" s="251"/>
      <c r="C62" s="242">
        <v>100</v>
      </c>
      <c r="D62" s="243"/>
      <c r="E62" s="243"/>
      <c r="F62" s="243"/>
      <c r="G62" s="243"/>
      <c r="H62" s="243"/>
      <c r="I62" s="243"/>
      <c r="J62" s="243"/>
      <c r="K62" s="243"/>
      <c r="L62" s="243"/>
      <c r="M62" s="258"/>
      <c r="N62" s="256"/>
      <c r="O62" s="256"/>
      <c r="P62" s="244"/>
      <c r="Q62" s="232"/>
    </row>
    <row r="63" spans="1:29" x14ac:dyDescent="0.2">
      <c r="A63" s="118" t="s">
        <v>78</v>
      </c>
      <c r="B63" s="259" t="s">
        <v>34</v>
      </c>
      <c r="C63" s="260" t="str">
        <f>C9</f>
        <v>住宅</v>
      </c>
      <c r="D63" s="261"/>
      <c r="E63" s="261"/>
      <c r="F63" s="261"/>
      <c r="G63" s="261"/>
      <c r="H63" s="261"/>
      <c r="I63" s="261"/>
      <c r="J63" s="261"/>
      <c r="K63" s="262"/>
      <c r="L63" s="263"/>
      <c r="M63" s="264"/>
      <c r="N63" s="265"/>
      <c r="O63" s="265"/>
      <c r="P63" s="266"/>
      <c r="Q63" s="232"/>
    </row>
    <row r="64" spans="1:29" ht="15.75" thickBot="1" x14ac:dyDescent="0.25">
      <c r="A64" s="100"/>
      <c r="B64" s="267"/>
      <c r="C64" s="268">
        <v>100</v>
      </c>
      <c r="D64" s="268"/>
      <c r="E64" s="268"/>
      <c r="F64" s="268"/>
      <c r="G64" s="268"/>
      <c r="H64" s="268"/>
      <c r="I64" s="268"/>
      <c r="J64" s="268"/>
      <c r="K64" s="268"/>
      <c r="L64" s="268"/>
      <c r="M64" s="269"/>
      <c r="N64" s="270"/>
      <c r="O64" s="270"/>
      <c r="P64" s="266"/>
      <c r="Q64" s="232"/>
    </row>
    <row r="65" spans="1:17" ht="27.75" thickTop="1" x14ac:dyDescent="0.2">
      <c r="A65" s="100"/>
      <c r="B65" s="271" t="s">
        <v>38</v>
      </c>
      <c r="C65" s="272"/>
      <c r="D65" s="272"/>
      <c r="E65" s="272"/>
      <c r="F65" s="272"/>
      <c r="G65" s="272"/>
      <c r="H65" s="272"/>
      <c r="I65" s="272"/>
      <c r="J65" s="272"/>
      <c r="K65" s="272"/>
      <c r="L65" s="272"/>
      <c r="M65" s="272"/>
      <c r="N65" s="270"/>
      <c r="O65" s="270"/>
      <c r="P65" s="266"/>
      <c r="Q65" s="232"/>
    </row>
    <row r="66" spans="1:17" ht="15.75" thickBot="1" x14ac:dyDescent="0.25">
      <c r="A66" s="100"/>
      <c r="B66" s="273"/>
      <c r="C66" s="268"/>
      <c r="D66" s="268"/>
      <c r="E66" s="268"/>
      <c r="F66" s="268"/>
      <c r="G66" s="268"/>
      <c r="H66" s="268"/>
      <c r="I66" s="268"/>
      <c r="J66" s="268"/>
      <c r="K66" s="268"/>
      <c r="L66" s="268"/>
      <c r="M66" s="269"/>
      <c r="N66" s="270"/>
      <c r="O66" s="270"/>
      <c r="P66" s="266"/>
      <c r="Q66" s="232"/>
    </row>
    <row r="67" spans="1:17" ht="15.75" thickTop="1" x14ac:dyDescent="0.2">
      <c r="A67" s="100"/>
      <c r="B67" s="274" t="s">
        <v>39</v>
      </c>
      <c r="C67" s="275" t="str">
        <f>C68&amp;"（含）"&amp;"-"&amp;D68</f>
        <v>0（含）-1</v>
      </c>
      <c r="D67" s="275" t="str">
        <f t="shared" ref="D67:L67" si="20">D68&amp;"（含）"&amp;"-"&amp;E68</f>
        <v>1（含）-2</v>
      </c>
      <c r="E67" s="275" t="str">
        <f t="shared" si="20"/>
        <v>2（含）-3</v>
      </c>
      <c r="F67" s="275" t="str">
        <f t="shared" si="20"/>
        <v>3（含）-</v>
      </c>
      <c r="G67" s="275" t="str">
        <f t="shared" si="20"/>
        <v>（含）-</v>
      </c>
      <c r="H67" s="275" t="str">
        <f t="shared" si="20"/>
        <v>（含）-</v>
      </c>
      <c r="I67" s="275" t="str">
        <f t="shared" si="20"/>
        <v>（含）-</v>
      </c>
      <c r="J67" s="275" t="str">
        <f t="shared" si="20"/>
        <v>（含）-</v>
      </c>
      <c r="K67" s="275" t="str">
        <f>K68&amp;"（含）"&amp;"-"&amp;L68</f>
        <v>（含）-</v>
      </c>
      <c r="L67" s="275" t="str">
        <f t="shared" si="20"/>
        <v>（含）-</v>
      </c>
      <c r="M67" s="133" t="str">
        <f>M68&amp;"（含）"&amp;"-"&amp;P68</f>
        <v>（含）-</v>
      </c>
      <c r="N67" s="270"/>
      <c r="O67" s="270"/>
      <c r="P67" s="266"/>
      <c r="Q67" s="232"/>
    </row>
    <row r="68" spans="1:17" ht="15" x14ac:dyDescent="0.2">
      <c r="A68" s="100"/>
      <c r="B68" s="276"/>
      <c r="C68" s="277">
        <v>0</v>
      </c>
      <c r="D68" s="277">
        <v>1</v>
      </c>
      <c r="E68" s="277">
        <v>2</v>
      </c>
      <c r="F68" s="277">
        <v>3</v>
      </c>
      <c r="G68" s="277"/>
      <c r="H68" s="277"/>
      <c r="I68" s="277"/>
      <c r="J68" s="277"/>
      <c r="K68" s="278"/>
      <c r="L68" s="279"/>
      <c r="M68" s="280"/>
      <c r="N68" s="265"/>
      <c r="O68" s="265"/>
      <c r="P68" s="266"/>
      <c r="Q68" s="232"/>
    </row>
    <row r="69" spans="1:17" ht="15.75" thickBot="1" x14ac:dyDescent="0.25">
      <c r="A69" s="100"/>
      <c r="B69" s="267"/>
      <c r="C69" s="281">
        <v>100</v>
      </c>
      <c r="D69" s="281">
        <f t="shared" ref="D69:M69" si="21">C69-$K11</f>
        <v>100</v>
      </c>
      <c r="E69" s="281">
        <f t="shared" si="21"/>
        <v>100</v>
      </c>
      <c r="F69" s="281">
        <f t="shared" si="21"/>
        <v>100</v>
      </c>
      <c r="G69" s="281">
        <f t="shared" si="21"/>
        <v>100</v>
      </c>
      <c r="H69" s="281">
        <f t="shared" si="21"/>
        <v>100</v>
      </c>
      <c r="I69" s="281">
        <f t="shared" si="21"/>
        <v>100</v>
      </c>
      <c r="J69" s="281">
        <f t="shared" si="21"/>
        <v>100</v>
      </c>
      <c r="K69" s="281">
        <f t="shared" si="21"/>
        <v>100</v>
      </c>
      <c r="L69" s="281">
        <f t="shared" si="21"/>
        <v>100</v>
      </c>
      <c r="M69" s="282">
        <f t="shared" si="21"/>
        <v>100</v>
      </c>
      <c r="N69" s="270"/>
      <c r="O69" s="270"/>
      <c r="P69" s="266"/>
      <c r="Q69" s="232"/>
    </row>
    <row r="70" spans="1:17" s="172" customFormat="1" ht="15.75" thickTop="1" x14ac:dyDescent="0.2">
      <c r="A70" s="283"/>
      <c r="B70" s="271">
        <f>B12</f>
        <v>111</v>
      </c>
      <c r="C70" s="284"/>
      <c r="D70" s="284"/>
      <c r="E70" s="284"/>
      <c r="F70" s="284"/>
      <c r="G70" s="284"/>
      <c r="H70" s="285"/>
      <c r="I70" s="285"/>
      <c r="J70" s="285"/>
      <c r="K70" s="285"/>
      <c r="L70" s="286"/>
      <c r="M70" s="287"/>
      <c r="N70" s="288"/>
      <c r="O70" s="288"/>
      <c r="P70" s="289"/>
      <c r="Q70" s="290"/>
    </row>
    <row r="71" spans="1:17" s="172" customFormat="1" ht="15.75" thickBot="1" x14ac:dyDescent="0.25">
      <c r="A71" s="283"/>
      <c r="B71" s="273"/>
      <c r="C71" s="291"/>
      <c r="D71" s="268"/>
      <c r="E71" s="268"/>
      <c r="F71" s="268"/>
      <c r="G71" s="268"/>
      <c r="H71" s="268"/>
      <c r="I71" s="268"/>
      <c r="J71" s="268"/>
      <c r="K71" s="268"/>
      <c r="L71" s="268"/>
      <c r="M71" s="269"/>
      <c r="N71" s="270"/>
      <c r="O71" s="270"/>
      <c r="P71" s="289"/>
      <c r="Q71" s="290"/>
    </row>
    <row r="72" spans="1:17" s="172" customFormat="1" ht="15.75" thickTop="1" x14ac:dyDescent="0.2">
      <c r="A72" s="283"/>
      <c r="B72" s="271">
        <f>B13</f>
        <v>111</v>
      </c>
      <c r="C72" s="284"/>
      <c r="D72" s="284"/>
      <c r="E72" s="284"/>
      <c r="F72" s="284"/>
      <c r="G72" s="284"/>
      <c r="H72" s="285"/>
      <c r="I72" s="285"/>
      <c r="J72" s="285"/>
      <c r="K72" s="285"/>
      <c r="L72" s="286"/>
      <c r="M72" s="287"/>
      <c r="N72" s="288"/>
      <c r="O72" s="288"/>
      <c r="P72" s="292"/>
      <c r="Q72" s="293"/>
    </row>
    <row r="73" spans="1:17" s="172" customFormat="1" ht="15.75" thickBot="1" x14ac:dyDescent="0.25">
      <c r="A73" s="283"/>
      <c r="B73" s="273"/>
      <c r="C73" s="291"/>
      <c r="D73" s="291"/>
      <c r="E73" s="291"/>
      <c r="F73" s="291"/>
      <c r="G73" s="291"/>
      <c r="H73" s="294"/>
      <c r="I73" s="294"/>
      <c r="J73" s="294"/>
      <c r="K73" s="294"/>
      <c r="L73" s="294"/>
      <c r="M73" s="295"/>
      <c r="N73" s="288"/>
      <c r="O73" s="288"/>
      <c r="P73" s="289"/>
      <c r="Q73" s="290"/>
    </row>
    <row r="74" spans="1:17" s="172" customFormat="1" ht="15.75" thickTop="1" x14ac:dyDescent="0.2">
      <c r="A74" s="283"/>
      <c r="B74" s="274">
        <f>B14</f>
        <v>111</v>
      </c>
      <c r="C74" s="284"/>
      <c r="D74" s="284"/>
      <c r="E74" s="284"/>
      <c r="F74" s="284"/>
      <c r="G74" s="253"/>
      <c r="H74" s="296"/>
      <c r="I74" s="296"/>
      <c r="J74" s="296"/>
      <c r="K74" s="296"/>
      <c r="L74" s="297"/>
      <c r="M74" s="298"/>
      <c r="N74" s="288"/>
      <c r="O74" s="288"/>
      <c r="P74" s="299"/>
      <c r="Q74" s="290"/>
    </row>
    <row r="75" spans="1:17" s="172" customFormat="1" ht="15.75" thickBot="1" x14ac:dyDescent="0.25">
      <c r="A75" s="300"/>
      <c r="B75" s="301"/>
      <c r="C75" s="302"/>
      <c r="D75" s="302"/>
      <c r="E75" s="302"/>
      <c r="F75" s="302"/>
      <c r="G75" s="302"/>
      <c r="H75" s="303"/>
      <c r="I75" s="303"/>
      <c r="J75" s="303"/>
      <c r="K75" s="303"/>
      <c r="L75" s="303"/>
      <c r="M75" s="304"/>
      <c r="N75" s="288"/>
      <c r="O75" s="288"/>
      <c r="P75" s="289"/>
      <c r="Q75" s="290"/>
    </row>
    <row r="76" spans="1:17" x14ac:dyDescent="0.2">
      <c r="A76" s="118" t="s">
        <v>40</v>
      </c>
      <c r="B76" s="259" t="s">
        <v>79</v>
      </c>
      <c r="C76" s="305" t="s">
        <v>80</v>
      </c>
      <c r="D76" s="305" t="s">
        <v>81</v>
      </c>
      <c r="E76" s="305" t="s">
        <v>82</v>
      </c>
      <c r="F76" s="305" t="s">
        <v>83</v>
      </c>
      <c r="G76" s="305" t="s">
        <v>84</v>
      </c>
      <c r="H76" s="260"/>
      <c r="I76" s="260"/>
      <c r="J76" s="260"/>
      <c r="K76" s="306"/>
      <c r="L76" s="307"/>
      <c r="M76" s="308"/>
      <c r="N76" s="265"/>
      <c r="O76" s="265"/>
      <c r="P76" s="309"/>
      <c r="Q76" s="232"/>
    </row>
    <row r="77" spans="1:17" ht="15.75" thickBot="1" x14ac:dyDescent="0.25">
      <c r="A77" s="100"/>
      <c r="B77" s="273"/>
      <c r="C77" s="281">
        <v>100</v>
      </c>
      <c r="D77" s="281">
        <f>C77-$K15</f>
        <v>100</v>
      </c>
      <c r="E77" s="281">
        <f>D77-$K15</f>
        <v>100</v>
      </c>
      <c r="F77" s="281">
        <f>E77-$K15</f>
        <v>100</v>
      </c>
      <c r="G77" s="281">
        <f>F77-$K15</f>
        <v>100</v>
      </c>
      <c r="H77" s="281"/>
      <c r="I77" s="281"/>
      <c r="J77" s="281"/>
      <c r="K77" s="281"/>
      <c r="L77" s="281"/>
      <c r="M77" s="282"/>
      <c r="N77" s="270"/>
      <c r="O77" s="270"/>
      <c r="P77" s="266"/>
      <c r="Q77" s="232"/>
    </row>
    <row r="78" spans="1:17" ht="15.75" thickTop="1" x14ac:dyDescent="0.2">
      <c r="A78" s="100"/>
      <c r="B78" s="271" t="s">
        <v>85</v>
      </c>
      <c r="C78" s="310" t="s">
        <v>80</v>
      </c>
      <c r="D78" s="310" t="s">
        <v>81</v>
      </c>
      <c r="E78" s="310" t="s">
        <v>82</v>
      </c>
      <c r="F78" s="310" t="s">
        <v>83</v>
      </c>
      <c r="G78" s="310" t="s">
        <v>84</v>
      </c>
      <c r="H78" s="311"/>
      <c r="I78" s="311"/>
      <c r="J78" s="311"/>
      <c r="K78" s="312"/>
      <c r="L78" s="313"/>
      <c r="M78" s="314"/>
      <c r="N78" s="265"/>
      <c r="O78" s="265"/>
      <c r="P78" s="266"/>
      <c r="Q78" s="232"/>
    </row>
    <row r="79" spans="1:17" ht="15.75" thickBot="1" x14ac:dyDescent="0.25">
      <c r="A79" s="100"/>
      <c r="B79" s="273"/>
      <c r="C79" s="281">
        <v>100</v>
      </c>
      <c r="D79" s="281">
        <f>C79-$K17</f>
        <v>100</v>
      </c>
      <c r="E79" s="281">
        <f>D79-$K17</f>
        <v>100</v>
      </c>
      <c r="F79" s="281">
        <f>E79-$K17</f>
        <v>100</v>
      </c>
      <c r="G79" s="281">
        <f>F79-$K17</f>
        <v>100</v>
      </c>
      <c r="H79" s="281"/>
      <c r="I79" s="281"/>
      <c r="J79" s="281"/>
      <c r="K79" s="281"/>
      <c r="L79" s="281"/>
      <c r="M79" s="282"/>
      <c r="N79" s="270"/>
      <c r="O79" s="270"/>
      <c r="P79" s="266"/>
      <c r="Q79" s="232"/>
    </row>
    <row r="80" spans="1:17" ht="15.75" thickTop="1" x14ac:dyDescent="0.2">
      <c r="A80" s="100"/>
      <c r="B80" s="271" t="s">
        <v>45</v>
      </c>
      <c r="C80" s="310" t="s">
        <v>80</v>
      </c>
      <c r="D80" s="310" t="s">
        <v>81</v>
      </c>
      <c r="E80" s="310" t="s">
        <v>82</v>
      </c>
      <c r="F80" s="310" t="s">
        <v>83</v>
      </c>
      <c r="G80" s="310" t="s">
        <v>84</v>
      </c>
      <c r="H80" s="311"/>
      <c r="I80" s="311"/>
      <c r="J80" s="311"/>
      <c r="K80" s="312"/>
      <c r="L80" s="313"/>
      <c r="M80" s="314"/>
      <c r="N80" s="265"/>
      <c r="O80" s="265"/>
      <c r="P80" s="266"/>
      <c r="Q80" s="232"/>
    </row>
    <row r="81" spans="1:17" ht="15.75" thickBot="1" x14ac:dyDescent="0.25">
      <c r="A81" s="100"/>
      <c r="B81" s="273"/>
      <c r="C81" s="281">
        <v>100</v>
      </c>
      <c r="D81" s="281">
        <f>C81-$K19</f>
        <v>100</v>
      </c>
      <c r="E81" s="281">
        <f>D81-$K19</f>
        <v>100</v>
      </c>
      <c r="F81" s="281">
        <f>E81-$K19</f>
        <v>100</v>
      </c>
      <c r="G81" s="281">
        <f>F81-$K19</f>
        <v>100</v>
      </c>
      <c r="H81" s="281"/>
      <c r="I81" s="281"/>
      <c r="J81" s="281"/>
      <c r="K81" s="281"/>
      <c r="L81" s="281"/>
      <c r="M81" s="282"/>
      <c r="N81" s="270"/>
      <c r="O81" s="270"/>
      <c r="P81" s="266"/>
      <c r="Q81" s="232"/>
    </row>
    <row r="82" spans="1:17" ht="15.75" thickTop="1" x14ac:dyDescent="0.2">
      <c r="A82" s="100"/>
      <c r="B82" s="274" t="s">
        <v>46</v>
      </c>
      <c r="C82" s="311" t="s">
        <v>86</v>
      </c>
      <c r="D82" s="311" t="s">
        <v>87</v>
      </c>
      <c r="E82" s="311" t="s">
        <v>88</v>
      </c>
      <c r="F82" s="311" t="s">
        <v>89</v>
      </c>
      <c r="G82" s="311" t="s">
        <v>90</v>
      </c>
      <c r="H82" s="311"/>
      <c r="I82" s="311"/>
      <c r="J82" s="311"/>
      <c r="K82" s="311"/>
      <c r="L82" s="311"/>
      <c r="M82" s="315"/>
      <c r="N82" s="270"/>
      <c r="O82" s="270"/>
      <c r="P82" s="266"/>
      <c r="Q82" s="232"/>
    </row>
    <row r="83" spans="1:17" ht="15.75" thickBot="1" x14ac:dyDescent="0.25">
      <c r="A83" s="100"/>
      <c r="B83" s="274"/>
      <c r="C83" s="316">
        <v>100</v>
      </c>
      <c r="D83" s="316">
        <f>C83-$K21</f>
        <v>100</v>
      </c>
      <c r="E83" s="316">
        <f t="shared" ref="E83:G83" si="22">D83-$K21</f>
        <v>100</v>
      </c>
      <c r="F83" s="316">
        <f t="shared" si="22"/>
        <v>100</v>
      </c>
      <c r="G83" s="316">
        <f t="shared" si="22"/>
        <v>100</v>
      </c>
      <c r="H83" s="316"/>
      <c r="I83" s="316"/>
      <c r="J83" s="316"/>
      <c r="K83" s="316"/>
      <c r="L83" s="316"/>
      <c r="M83" s="134"/>
      <c r="N83" s="270"/>
      <c r="O83" s="270"/>
      <c r="P83" s="266"/>
      <c r="Q83" s="232"/>
    </row>
    <row r="84" spans="1:17" ht="15.75" thickTop="1" x14ac:dyDescent="0.2">
      <c r="A84" s="100"/>
      <c r="B84" s="271" t="s">
        <v>91</v>
      </c>
      <c r="C84" s="310" t="s">
        <v>80</v>
      </c>
      <c r="D84" s="310" t="s">
        <v>81</v>
      </c>
      <c r="E84" s="310" t="s">
        <v>82</v>
      </c>
      <c r="F84" s="310" t="s">
        <v>83</v>
      </c>
      <c r="G84" s="310" t="s">
        <v>84</v>
      </c>
      <c r="H84" s="311"/>
      <c r="I84" s="311"/>
      <c r="J84" s="311"/>
      <c r="K84" s="312"/>
      <c r="L84" s="313"/>
      <c r="M84" s="314"/>
      <c r="N84" s="265"/>
      <c r="O84" s="265"/>
      <c r="P84" s="266"/>
      <c r="Q84" s="232"/>
    </row>
    <row r="85" spans="1:17" ht="15.75" thickBot="1" x14ac:dyDescent="0.25">
      <c r="A85" s="100"/>
      <c r="B85" s="273"/>
      <c r="C85" s="281">
        <v>100</v>
      </c>
      <c r="D85" s="281">
        <f>C85-$K23</f>
        <v>100</v>
      </c>
      <c r="E85" s="281">
        <f>D85-$K23</f>
        <v>100</v>
      </c>
      <c r="F85" s="281">
        <f>E85-$K23</f>
        <v>100</v>
      </c>
      <c r="G85" s="281">
        <f>F85-$K23</f>
        <v>100</v>
      </c>
      <c r="H85" s="281"/>
      <c r="I85" s="281"/>
      <c r="J85" s="281"/>
      <c r="K85" s="281"/>
      <c r="L85" s="281"/>
      <c r="M85" s="282"/>
      <c r="N85" s="270"/>
      <c r="O85" s="270"/>
      <c r="P85" s="266"/>
      <c r="Q85" s="232"/>
    </row>
    <row r="86" spans="1:17" s="81" customFormat="1" ht="15.75" thickTop="1" x14ac:dyDescent="0.2">
      <c r="A86" s="105"/>
      <c r="B86" s="271" t="s">
        <v>49</v>
      </c>
      <c r="C86" s="284"/>
      <c r="D86" s="284"/>
      <c r="E86" s="284"/>
      <c r="F86" s="284"/>
      <c r="G86" s="284"/>
      <c r="H86" s="284"/>
      <c r="I86" s="284"/>
      <c r="J86" s="284"/>
      <c r="K86" s="284"/>
      <c r="L86" s="317"/>
      <c r="M86" s="318"/>
      <c r="N86" s="256"/>
      <c r="O86" s="256"/>
      <c r="P86" s="266"/>
      <c r="Q86" s="232"/>
    </row>
    <row r="87" spans="1:17" s="81" customFormat="1" ht="15.75" thickBot="1" x14ac:dyDescent="0.25">
      <c r="A87" s="105"/>
      <c r="B87" s="273"/>
      <c r="C87" s="319">
        <v>100</v>
      </c>
      <c r="D87" s="281">
        <f t="shared" ref="D87:M87" si="23">$C$87-($C$86-D86)*$K$25</f>
        <v>100</v>
      </c>
      <c r="E87" s="281">
        <f t="shared" si="23"/>
        <v>100</v>
      </c>
      <c r="F87" s="281">
        <f t="shared" si="23"/>
        <v>100</v>
      </c>
      <c r="G87" s="281">
        <f t="shared" si="23"/>
        <v>100</v>
      </c>
      <c r="H87" s="281">
        <f t="shared" si="23"/>
        <v>100</v>
      </c>
      <c r="I87" s="281">
        <f t="shared" si="23"/>
        <v>100</v>
      </c>
      <c r="J87" s="281">
        <f t="shared" si="23"/>
        <v>100</v>
      </c>
      <c r="K87" s="281">
        <f t="shared" si="23"/>
        <v>100</v>
      </c>
      <c r="L87" s="281">
        <f t="shared" si="23"/>
        <v>100</v>
      </c>
      <c r="M87" s="281">
        <f t="shared" si="23"/>
        <v>100</v>
      </c>
      <c r="N87" s="270"/>
      <c r="O87" s="270"/>
      <c r="P87" s="266"/>
      <c r="Q87" s="232"/>
    </row>
    <row r="88" spans="1:17" s="81" customFormat="1" ht="15.75" thickTop="1" x14ac:dyDescent="0.2">
      <c r="A88" s="105"/>
      <c r="B88" s="271" t="s">
        <v>92</v>
      </c>
      <c r="C88" s="320" t="s">
        <v>93</v>
      </c>
      <c r="D88" s="284"/>
      <c r="E88" s="284"/>
      <c r="F88" s="321"/>
      <c r="G88" s="284"/>
      <c r="H88" s="284"/>
      <c r="I88" s="284"/>
      <c r="J88" s="284"/>
      <c r="K88" s="284"/>
      <c r="L88" s="284"/>
      <c r="M88" s="318"/>
      <c r="N88" s="256"/>
      <c r="O88" s="256"/>
      <c r="P88" s="266"/>
      <c r="Q88" s="232"/>
    </row>
    <row r="89" spans="1:17" s="81" customFormat="1" ht="15.75" thickBot="1" x14ac:dyDescent="0.25">
      <c r="A89" s="105"/>
      <c r="B89" s="273"/>
      <c r="C89" s="319">
        <v>100</v>
      </c>
      <c r="D89" s="281">
        <f t="shared" ref="D89:M89" si="24">C89-$K26</f>
        <v>100</v>
      </c>
      <c r="E89" s="281">
        <f t="shared" si="24"/>
        <v>100</v>
      </c>
      <c r="F89" s="281">
        <f t="shared" si="24"/>
        <v>100</v>
      </c>
      <c r="G89" s="281">
        <f t="shared" si="24"/>
        <v>100</v>
      </c>
      <c r="H89" s="281">
        <f t="shared" si="24"/>
        <v>100</v>
      </c>
      <c r="I89" s="281">
        <f t="shared" si="24"/>
        <v>100</v>
      </c>
      <c r="J89" s="281">
        <f t="shared" si="24"/>
        <v>100</v>
      </c>
      <c r="K89" s="281">
        <f t="shared" si="24"/>
        <v>100</v>
      </c>
      <c r="L89" s="281">
        <f t="shared" si="24"/>
        <v>100</v>
      </c>
      <c r="M89" s="281">
        <f t="shared" si="24"/>
        <v>100</v>
      </c>
      <c r="N89" s="270"/>
      <c r="O89" s="270"/>
      <c r="P89" s="266"/>
      <c r="Q89" s="232"/>
    </row>
    <row r="90" spans="1:17" s="172" customFormat="1" ht="15.75" thickTop="1" x14ac:dyDescent="0.2">
      <c r="A90" s="283"/>
      <c r="B90" s="271">
        <f>B27</f>
        <v>111</v>
      </c>
      <c r="C90" s="284"/>
      <c r="D90" s="284"/>
      <c r="E90" s="284"/>
      <c r="F90" s="284"/>
      <c r="G90" s="284"/>
      <c r="H90" s="285"/>
      <c r="I90" s="285"/>
      <c r="J90" s="285"/>
      <c r="K90" s="285"/>
      <c r="L90" s="286"/>
      <c r="M90" s="287"/>
      <c r="N90" s="288"/>
      <c r="O90" s="288"/>
      <c r="P90" s="289"/>
      <c r="Q90" s="290"/>
    </row>
    <row r="91" spans="1:17" s="172" customFormat="1" ht="15.75" thickBot="1" x14ac:dyDescent="0.25">
      <c r="A91" s="283"/>
      <c r="B91" s="273"/>
      <c r="C91" s="291"/>
      <c r="D91" s="291"/>
      <c r="E91" s="291"/>
      <c r="F91" s="291"/>
      <c r="G91" s="291"/>
      <c r="H91" s="294"/>
      <c r="I91" s="294"/>
      <c r="J91" s="294"/>
      <c r="K91" s="294"/>
      <c r="L91" s="294"/>
      <c r="M91" s="295"/>
      <c r="N91" s="288"/>
      <c r="O91" s="288"/>
      <c r="P91" s="289"/>
      <c r="Q91" s="290"/>
    </row>
    <row r="92" spans="1:17" ht="15.75" thickTop="1" x14ac:dyDescent="0.2">
      <c r="A92" s="100"/>
      <c r="B92" s="271">
        <f>B28</f>
        <v>111</v>
      </c>
      <c r="C92" s="284"/>
      <c r="D92" s="284"/>
      <c r="E92" s="284"/>
      <c r="F92" s="284"/>
      <c r="G92" s="272"/>
      <c r="H92" s="272"/>
      <c r="I92" s="272"/>
      <c r="J92" s="272"/>
      <c r="K92" s="322"/>
      <c r="L92" s="323"/>
      <c r="M92" s="324"/>
      <c r="N92" s="265"/>
      <c r="O92" s="265"/>
      <c r="P92" s="266"/>
      <c r="Q92" s="232"/>
    </row>
    <row r="93" spans="1:17" ht="15.75" thickBot="1" x14ac:dyDescent="0.25">
      <c r="A93" s="100"/>
      <c r="B93" s="273"/>
      <c r="C93" s="291"/>
      <c r="D93" s="268"/>
      <c r="E93" s="268"/>
      <c r="F93" s="268"/>
      <c r="G93" s="268"/>
      <c r="H93" s="268"/>
      <c r="I93" s="268"/>
      <c r="J93" s="268"/>
      <c r="K93" s="268"/>
      <c r="L93" s="268"/>
      <c r="M93" s="269"/>
      <c r="N93" s="270"/>
      <c r="O93" s="270"/>
      <c r="P93" s="266"/>
      <c r="Q93" s="232"/>
    </row>
    <row r="94" spans="1:17" ht="15.75" thickTop="1" x14ac:dyDescent="0.2">
      <c r="A94" s="100"/>
      <c r="B94" s="271">
        <f>B29</f>
        <v>111</v>
      </c>
      <c r="C94" s="284"/>
      <c r="D94" s="284"/>
      <c r="E94" s="284"/>
      <c r="F94" s="284"/>
      <c r="G94" s="272"/>
      <c r="H94" s="272"/>
      <c r="I94" s="272"/>
      <c r="J94" s="272"/>
      <c r="K94" s="322"/>
      <c r="L94" s="323"/>
      <c r="M94" s="324"/>
      <c r="N94" s="265"/>
      <c r="O94" s="265"/>
      <c r="P94" s="266"/>
      <c r="Q94" s="232"/>
    </row>
    <row r="95" spans="1:17" ht="15.75" thickBot="1" x14ac:dyDescent="0.25">
      <c r="A95" s="100"/>
      <c r="B95" s="273"/>
      <c r="C95" s="291"/>
      <c r="D95" s="291"/>
      <c r="E95" s="291"/>
      <c r="F95" s="291"/>
      <c r="G95" s="268"/>
      <c r="H95" s="268"/>
      <c r="I95" s="268"/>
      <c r="J95" s="268"/>
      <c r="K95" s="268"/>
      <c r="L95" s="268"/>
      <c r="M95" s="269"/>
      <c r="N95" s="270"/>
      <c r="O95" s="270"/>
      <c r="P95" s="266"/>
      <c r="Q95" s="232"/>
    </row>
    <row r="96" spans="1:17" ht="15.75" thickTop="1" x14ac:dyDescent="0.2">
      <c r="A96" s="100"/>
      <c r="B96" s="271">
        <f>B30</f>
        <v>111</v>
      </c>
      <c r="C96" s="284"/>
      <c r="D96" s="284"/>
      <c r="E96" s="284"/>
      <c r="F96" s="284"/>
      <c r="G96" s="272"/>
      <c r="H96" s="272"/>
      <c r="I96" s="272"/>
      <c r="J96" s="272"/>
      <c r="K96" s="322"/>
      <c r="L96" s="323"/>
      <c r="M96" s="324"/>
      <c r="N96" s="265"/>
      <c r="O96" s="265"/>
      <c r="P96" s="266"/>
      <c r="Q96" s="232"/>
    </row>
    <row r="97" spans="1:17" ht="15.75" thickBot="1" x14ac:dyDescent="0.25">
      <c r="A97" s="100"/>
      <c r="B97" s="273"/>
      <c r="C97" s="302"/>
      <c r="D97" s="302"/>
      <c r="E97" s="302"/>
      <c r="F97" s="302"/>
      <c r="G97" s="268"/>
      <c r="H97" s="268"/>
      <c r="I97" s="268"/>
      <c r="J97" s="268"/>
      <c r="K97" s="268"/>
      <c r="L97" s="268"/>
      <c r="M97" s="269"/>
      <c r="N97" s="270"/>
      <c r="O97" s="270"/>
      <c r="P97" s="266"/>
      <c r="Q97" s="232"/>
    </row>
    <row r="98" spans="1:17" ht="15.75" thickTop="1" x14ac:dyDescent="0.2">
      <c r="A98" s="100"/>
      <c r="B98" s="274">
        <f>B31</f>
        <v>111</v>
      </c>
      <c r="C98" s="325"/>
      <c r="D98" s="325"/>
      <c r="E98" s="325"/>
      <c r="F98" s="325"/>
      <c r="G98" s="325"/>
      <c r="H98" s="325"/>
      <c r="I98" s="325"/>
      <c r="J98" s="325"/>
      <c r="K98" s="326"/>
      <c r="L98" s="327"/>
      <c r="M98" s="328"/>
      <c r="N98" s="265"/>
      <c r="O98" s="265"/>
      <c r="P98" s="266"/>
      <c r="Q98" s="232"/>
    </row>
    <row r="99" spans="1:17" ht="15.75" thickBot="1" x14ac:dyDescent="0.25">
      <c r="A99" s="113"/>
      <c r="B99" s="301"/>
      <c r="C99" s="329"/>
      <c r="D99" s="329"/>
      <c r="E99" s="329"/>
      <c r="F99" s="329"/>
      <c r="G99" s="329"/>
      <c r="H99" s="329"/>
      <c r="I99" s="329"/>
      <c r="J99" s="329"/>
      <c r="K99" s="329"/>
      <c r="L99" s="329"/>
      <c r="M99" s="330"/>
      <c r="N99" s="270"/>
      <c r="O99" s="270"/>
      <c r="P99" s="266"/>
      <c r="Q99" s="232"/>
    </row>
    <row r="100" spans="1:17" x14ac:dyDescent="0.2">
      <c r="A100" s="118" t="s">
        <v>51</v>
      </c>
      <c r="B100" s="259" t="s">
        <v>94</v>
      </c>
      <c r="C100" s="331" t="s">
        <v>95</v>
      </c>
      <c r="D100" s="261"/>
      <c r="E100" s="261"/>
      <c r="F100" s="261"/>
      <c r="G100" s="261"/>
      <c r="H100" s="261"/>
      <c r="I100" s="261"/>
      <c r="J100" s="261"/>
      <c r="K100" s="262"/>
      <c r="L100" s="263"/>
      <c r="M100" s="264"/>
      <c r="N100" s="265"/>
      <c r="O100" s="265"/>
      <c r="P100" s="266"/>
      <c r="Q100" s="232"/>
    </row>
    <row r="101" spans="1:17" ht="15.75" thickBot="1" x14ac:dyDescent="0.25">
      <c r="A101" s="100"/>
      <c r="B101" s="273"/>
      <c r="C101" s="281">
        <v>100</v>
      </c>
      <c r="D101" s="281">
        <f t="shared" ref="D101:M101" si="25">C101-$K32</f>
        <v>100</v>
      </c>
      <c r="E101" s="281">
        <f t="shared" si="25"/>
        <v>100</v>
      </c>
      <c r="F101" s="281">
        <f t="shared" si="25"/>
        <v>100</v>
      </c>
      <c r="G101" s="281">
        <f t="shared" si="25"/>
        <v>100</v>
      </c>
      <c r="H101" s="281">
        <f t="shared" si="25"/>
        <v>100</v>
      </c>
      <c r="I101" s="281">
        <f t="shared" si="25"/>
        <v>100</v>
      </c>
      <c r="J101" s="281">
        <f t="shared" si="25"/>
        <v>100</v>
      </c>
      <c r="K101" s="281">
        <f t="shared" si="25"/>
        <v>100</v>
      </c>
      <c r="L101" s="281">
        <f t="shared" si="25"/>
        <v>100</v>
      </c>
      <c r="M101" s="281">
        <f t="shared" si="25"/>
        <v>100</v>
      </c>
      <c r="N101" s="270"/>
      <c r="O101" s="270"/>
      <c r="P101" s="266"/>
      <c r="Q101" s="232"/>
    </row>
    <row r="102" spans="1:17" ht="15.75" thickTop="1" x14ac:dyDescent="0.2">
      <c r="A102" s="100"/>
      <c r="B102" s="271" t="s">
        <v>96</v>
      </c>
      <c r="C102" s="310" t="str">
        <f>C103&amp;"(含)"&amp;"-"&amp;D103</f>
        <v>0(含)-100</v>
      </c>
      <c r="D102" s="310" t="str">
        <f t="shared" ref="D102:L102" si="26">D103&amp;"(含)"&amp;"-"&amp;E103</f>
        <v>100(含)-200</v>
      </c>
      <c r="E102" s="310" t="str">
        <f t="shared" si="26"/>
        <v>200(含)-300</v>
      </c>
      <c r="F102" s="310" t="str">
        <f t="shared" si="26"/>
        <v>300(含)-</v>
      </c>
      <c r="G102" s="310" t="str">
        <f t="shared" si="26"/>
        <v>(含)-</v>
      </c>
      <c r="H102" s="310" t="str">
        <f t="shared" si="26"/>
        <v>(含)-</v>
      </c>
      <c r="I102" s="310" t="str">
        <f t="shared" si="26"/>
        <v>(含)-</v>
      </c>
      <c r="J102" s="310" t="str">
        <f t="shared" si="26"/>
        <v>(含)-</v>
      </c>
      <c r="K102" s="310" t="str">
        <f>K103&amp;"(含)"&amp;"-"&amp;L103</f>
        <v>(含)-</v>
      </c>
      <c r="L102" s="310" t="str">
        <f t="shared" si="26"/>
        <v>(含)-</v>
      </c>
      <c r="M102" s="310" t="str">
        <f>M103&amp;"(含)"&amp;"-"&amp;P103</f>
        <v>(含)-</v>
      </c>
      <c r="N102" s="256"/>
      <c r="O102" s="256"/>
      <c r="P102" s="266"/>
      <c r="Q102" s="232"/>
    </row>
    <row r="103" spans="1:17" s="172" customFormat="1" x14ac:dyDescent="0.2">
      <c r="A103" s="163"/>
      <c r="B103" s="332"/>
      <c r="C103" s="333">
        <v>0</v>
      </c>
      <c r="D103" s="333">
        <v>100</v>
      </c>
      <c r="E103" s="333">
        <v>200</v>
      </c>
      <c r="F103" s="333">
        <v>300</v>
      </c>
      <c r="G103" s="333"/>
      <c r="H103" s="333"/>
      <c r="I103" s="333"/>
      <c r="J103" s="334"/>
      <c r="K103" s="334"/>
      <c r="L103" s="335"/>
      <c r="M103" s="336"/>
      <c r="N103" s="288"/>
      <c r="O103" s="288"/>
      <c r="P103" s="289"/>
      <c r="Q103" s="290"/>
    </row>
    <row r="104" spans="1:17" s="172" customFormat="1" ht="15.75" thickBot="1" x14ac:dyDescent="0.25">
      <c r="A104" s="283"/>
      <c r="B104" s="273"/>
      <c r="C104" s="291">
        <v>100</v>
      </c>
      <c r="D104" s="268">
        <v>99</v>
      </c>
      <c r="E104" s="268">
        <v>98</v>
      </c>
      <c r="F104" s="268">
        <v>97</v>
      </c>
      <c r="G104" s="268"/>
      <c r="H104" s="268"/>
      <c r="I104" s="268"/>
      <c r="J104" s="268"/>
      <c r="K104" s="268"/>
      <c r="L104" s="268"/>
      <c r="M104" s="268"/>
      <c r="N104" s="270"/>
      <c r="O104" s="270"/>
      <c r="P104" s="289"/>
      <c r="Q104" s="290"/>
    </row>
    <row r="105" spans="1:17" ht="15" thickTop="1" x14ac:dyDescent="0.2">
      <c r="A105" s="173"/>
      <c r="B105" s="271" t="s">
        <v>97</v>
      </c>
      <c r="C105" s="320" t="s">
        <v>98</v>
      </c>
      <c r="D105" s="284"/>
      <c r="E105" s="272"/>
      <c r="F105" s="272"/>
      <c r="G105" s="272"/>
      <c r="H105" s="272"/>
      <c r="I105" s="272"/>
      <c r="J105" s="272"/>
      <c r="K105" s="322"/>
      <c r="L105" s="323"/>
      <c r="M105" s="324"/>
      <c r="N105" s="265"/>
      <c r="O105" s="265"/>
      <c r="P105" s="266"/>
      <c r="Q105" s="232"/>
    </row>
    <row r="106" spans="1:17" ht="15.75" thickBot="1" x14ac:dyDescent="0.25">
      <c r="A106" s="100"/>
      <c r="B106" s="273"/>
      <c r="C106" s="281">
        <v>100</v>
      </c>
      <c r="D106" s="281">
        <f t="shared" ref="D106:M106" si="27">C106-$K34</f>
        <v>100</v>
      </c>
      <c r="E106" s="281">
        <f t="shared" si="27"/>
        <v>100</v>
      </c>
      <c r="F106" s="281">
        <f t="shared" si="27"/>
        <v>100</v>
      </c>
      <c r="G106" s="281">
        <f t="shared" si="27"/>
        <v>100</v>
      </c>
      <c r="H106" s="281">
        <f t="shared" si="27"/>
        <v>100</v>
      </c>
      <c r="I106" s="281">
        <f t="shared" si="27"/>
        <v>100</v>
      </c>
      <c r="J106" s="281">
        <f t="shared" si="27"/>
        <v>100</v>
      </c>
      <c r="K106" s="281">
        <f t="shared" si="27"/>
        <v>100</v>
      </c>
      <c r="L106" s="281">
        <f t="shared" si="27"/>
        <v>100</v>
      </c>
      <c r="M106" s="281">
        <f t="shared" si="27"/>
        <v>100</v>
      </c>
      <c r="N106" s="270"/>
      <c r="O106" s="270"/>
      <c r="P106" s="266"/>
      <c r="Q106" s="232"/>
    </row>
    <row r="107" spans="1:17" ht="15" thickTop="1" x14ac:dyDescent="0.2">
      <c r="A107" s="173"/>
      <c r="B107" s="271" t="s">
        <v>99</v>
      </c>
      <c r="C107" s="272"/>
      <c r="D107" s="272"/>
      <c r="E107" s="272"/>
      <c r="F107" s="272"/>
      <c r="G107" s="272"/>
      <c r="H107" s="272"/>
      <c r="I107" s="272"/>
      <c r="J107" s="272"/>
      <c r="K107" s="322"/>
      <c r="L107" s="323"/>
      <c r="M107" s="324"/>
      <c r="N107" s="265"/>
      <c r="O107" s="265"/>
      <c r="P107" s="266"/>
      <c r="Q107" s="232"/>
    </row>
    <row r="108" spans="1:17" ht="15.75" thickBot="1" x14ac:dyDescent="0.25">
      <c r="A108" s="100"/>
      <c r="B108" s="273"/>
      <c r="C108" s="281">
        <v>100</v>
      </c>
      <c r="D108" s="281">
        <f t="shared" ref="D108:M108" si="28">C108-$K35</f>
        <v>100</v>
      </c>
      <c r="E108" s="281">
        <f t="shared" si="28"/>
        <v>100</v>
      </c>
      <c r="F108" s="281">
        <f t="shared" si="28"/>
        <v>100</v>
      </c>
      <c r="G108" s="281">
        <f t="shared" si="28"/>
        <v>100</v>
      </c>
      <c r="H108" s="281">
        <f t="shared" si="28"/>
        <v>100</v>
      </c>
      <c r="I108" s="281">
        <f t="shared" si="28"/>
        <v>100</v>
      </c>
      <c r="J108" s="281">
        <f t="shared" si="28"/>
        <v>100</v>
      </c>
      <c r="K108" s="281">
        <f t="shared" si="28"/>
        <v>100</v>
      </c>
      <c r="L108" s="281">
        <f t="shared" si="28"/>
        <v>100</v>
      </c>
      <c r="M108" s="281">
        <f t="shared" si="28"/>
        <v>100</v>
      </c>
      <c r="N108" s="270"/>
      <c r="O108" s="270"/>
      <c r="P108" s="266"/>
      <c r="Q108" s="232"/>
    </row>
    <row r="109" spans="1:17" ht="15" thickTop="1" x14ac:dyDescent="0.2">
      <c r="A109" s="173"/>
      <c r="B109" s="271" t="s">
        <v>100</v>
      </c>
      <c r="C109" s="284"/>
      <c r="D109" s="284"/>
      <c r="E109" s="284"/>
      <c r="F109" s="272"/>
      <c r="G109" s="272"/>
      <c r="H109" s="272"/>
      <c r="I109" s="272"/>
      <c r="J109" s="272"/>
      <c r="K109" s="322"/>
      <c r="L109" s="323"/>
      <c r="M109" s="324"/>
      <c r="N109" s="265"/>
      <c r="O109" s="265"/>
      <c r="P109" s="266"/>
      <c r="Q109" s="232"/>
    </row>
    <row r="110" spans="1:17" ht="15.75" thickBot="1" x14ac:dyDescent="0.25">
      <c r="A110" s="100"/>
      <c r="B110" s="273"/>
      <c r="C110" s="281">
        <v>100</v>
      </c>
      <c r="D110" s="281">
        <f t="shared" ref="D110:M110" si="29">C110-$K36</f>
        <v>100</v>
      </c>
      <c r="E110" s="281">
        <f t="shared" si="29"/>
        <v>100</v>
      </c>
      <c r="F110" s="281">
        <f t="shared" si="29"/>
        <v>100</v>
      </c>
      <c r="G110" s="281">
        <f t="shared" si="29"/>
        <v>100</v>
      </c>
      <c r="H110" s="281">
        <f t="shared" si="29"/>
        <v>100</v>
      </c>
      <c r="I110" s="281">
        <f t="shared" si="29"/>
        <v>100</v>
      </c>
      <c r="J110" s="281">
        <f t="shared" si="29"/>
        <v>100</v>
      </c>
      <c r="K110" s="281">
        <f t="shared" si="29"/>
        <v>100</v>
      </c>
      <c r="L110" s="281">
        <f t="shared" si="29"/>
        <v>100</v>
      </c>
      <c r="M110" s="281">
        <f t="shared" si="29"/>
        <v>100</v>
      </c>
      <c r="N110" s="270"/>
      <c r="O110" s="270"/>
      <c r="P110" s="266"/>
      <c r="Q110" s="232"/>
    </row>
    <row r="111" spans="1:17" s="172" customFormat="1" ht="15" thickTop="1" x14ac:dyDescent="0.2">
      <c r="A111" s="163"/>
      <c r="B111" s="271" t="s">
        <v>101</v>
      </c>
      <c r="C111" s="310" t="str">
        <f>C112&amp;"(含)"&amp;"-"&amp;D112</f>
        <v>0.5(含)-0.6</v>
      </c>
      <c r="D111" s="310" t="str">
        <f>D112&amp;"(含)"&amp;"-"&amp;E112</f>
        <v>0.6(含)-0.7</v>
      </c>
      <c r="E111" s="310" t="str">
        <f>E112&amp;"(含)"&amp;"-"&amp;F112</f>
        <v>0.7(含)-0.8</v>
      </c>
      <c r="F111" s="310" t="str">
        <f>F112&amp;"(含)"&amp;"-"&amp;G112</f>
        <v>0.8(含)-0.9</v>
      </c>
      <c r="G111" s="310" t="str">
        <f>G112&amp;"(含)"&amp;"-"&amp;ROUND(H112,0)&amp;"(含)"</f>
        <v>0.9(含)-1(含)</v>
      </c>
      <c r="H111" s="310" t="str">
        <f>ROUND(H112,0)&amp;"(含)"&amp;"-"&amp;I112</f>
        <v>1(含)-</v>
      </c>
      <c r="I111" s="310"/>
      <c r="J111" s="337"/>
      <c r="K111" s="337"/>
      <c r="L111" s="338"/>
      <c r="M111" s="339"/>
      <c r="N111" s="288"/>
      <c r="O111" s="288"/>
      <c r="P111" s="289"/>
      <c r="Q111" s="290"/>
    </row>
    <row r="112" spans="1:17" s="172" customFormat="1" x14ac:dyDescent="0.2">
      <c r="A112" s="163"/>
      <c r="B112" s="274"/>
      <c r="C112" s="90">
        <v>0.5</v>
      </c>
      <c r="D112" s="90">
        <v>0.6</v>
      </c>
      <c r="E112" s="90">
        <v>0.7</v>
      </c>
      <c r="F112" s="90">
        <v>0.8</v>
      </c>
      <c r="G112" s="90">
        <v>0.9</v>
      </c>
      <c r="H112" s="90">
        <v>1.0001</v>
      </c>
      <c r="I112" s="90"/>
      <c r="J112" s="167"/>
      <c r="K112" s="167"/>
      <c r="L112" s="340"/>
      <c r="M112" s="341"/>
      <c r="N112" s="288"/>
      <c r="O112" s="288"/>
      <c r="P112" s="289"/>
      <c r="Q112" s="290"/>
    </row>
    <row r="113" spans="1:17" s="172" customFormat="1" ht="15.75" thickBot="1" x14ac:dyDescent="0.25">
      <c r="A113" s="283"/>
      <c r="B113" s="273"/>
      <c r="C113" s="319">
        <v>100</v>
      </c>
      <c r="D113" s="281">
        <f>C113+$K37</f>
        <v>100</v>
      </c>
      <c r="E113" s="281">
        <f>D113+$K37</f>
        <v>100</v>
      </c>
      <c r="F113" s="281">
        <f>E113+$K37</f>
        <v>100</v>
      </c>
      <c r="G113" s="281">
        <f>F113+$K37</f>
        <v>100</v>
      </c>
      <c r="H113" s="281">
        <f>G113+$K37</f>
        <v>100</v>
      </c>
      <c r="I113" s="319"/>
      <c r="J113" s="342"/>
      <c r="K113" s="342"/>
      <c r="L113" s="342"/>
      <c r="M113" s="343"/>
      <c r="N113" s="288"/>
      <c r="O113" s="288"/>
      <c r="P113" s="289"/>
      <c r="Q113" s="290"/>
    </row>
    <row r="114" spans="1:17" ht="15" thickTop="1" x14ac:dyDescent="0.2">
      <c r="A114" s="173"/>
      <c r="B114" s="271" t="s">
        <v>102</v>
      </c>
      <c r="C114" s="320" t="s">
        <v>103</v>
      </c>
      <c r="D114" s="284"/>
      <c r="E114" s="272"/>
      <c r="F114" s="272"/>
      <c r="G114" s="272"/>
      <c r="H114" s="272"/>
      <c r="I114" s="272"/>
      <c r="J114" s="272"/>
      <c r="K114" s="322"/>
      <c r="L114" s="323"/>
      <c r="M114" s="324"/>
      <c r="N114" s="265"/>
      <c r="O114" s="265"/>
      <c r="P114" s="266"/>
      <c r="Q114" s="232"/>
    </row>
    <row r="115" spans="1:17" ht="15.75" thickBot="1" x14ac:dyDescent="0.25">
      <c r="A115" s="100"/>
      <c r="B115" s="273"/>
      <c r="C115" s="281">
        <v>100</v>
      </c>
      <c r="D115" s="281">
        <f t="shared" ref="D115:M115" si="30">C115-$K38</f>
        <v>100</v>
      </c>
      <c r="E115" s="281">
        <f t="shared" si="30"/>
        <v>100</v>
      </c>
      <c r="F115" s="281">
        <f t="shared" si="30"/>
        <v>100</v>
      </c>
      <c r="G115" s="281">
        <f t="shared" si="30"/>
        <v>100</v>
      </c>
      <c r="H115" s="281">
        <f t="shared" si="30"/>
        <v>100</v>
      </c>
      <c r="I115" s="281">
        <f t="shared" si="30"/>
        <v>100</v>
      </c>
      <c r="J115" s="281">
        <f t="shared" si="30"/>
        <v>100</v>
      </c>
      <c r="K115" s="281">
        <f t="shared" si="30"/>
        <v>100</v>
      </c>
      <c r="L115" s="281">
        <f t="shared" si="30"/>
        <v>100</v>
      </c>
      <c r="M115" s="281">
        <f t="shared" si="30"/>
        <v>100</v>
      </c>
      <c r="N115" s="270"/>
      <c r="O115" s="270"/>
      <c r="P115" s="266"/>
      <c r="Q115" s="232"/>
    </row>
    <row r="116" spans="1:17" ht="15" thickTop="1" x14ac:dyDescent="0.2">
      <c r="A116" s="173"/>
      <c r="B116" s="271" t="s">
        <v>61</v>
      </c>
      <c r="C116" s="284"/>
      <c r="D116" s="284"/>
      <c r="E116" s="284"/>
      <c r="F116" s="284"/>
      <c r="G116" s="284"/>
      <c r="H116" s="272"/>
      <c r="I116" s="272"/>
      <c r="J116" s="272"/>
      <c r="K116" s="322"/>
      <c r="L116" s="323"/>
      <c r="M116" s="324"/>
      <c r="N116" s="265"/>
      <c r="O116" s="265"/>
      <c r="P116" s="266"/>
      <c r="Q116" s="232"/>
    </row>
    <row r="117" spans="1:17" ht="15.75" thickBot="1" x14ac:dyDescent="0.25">
      <c r="A117" s="100"/>
      <c r="B117" s="273"/>
      <c r="C117" s="281">
        <v>100</v>
      </c>
      <c r="D117" s="281">
        <f>C117-$K39</f>
        <v>100</v>
      </c>
      <c r="E117" s="281">
        <f>D117-$K39</f>
        <v>100</v>
      </c>
      <c r="F117" s="281">
        <f>E117-$K39</f>
        <v>100</v>
      </c>
      <c r="G117" s="281">
        <f>F117-$K39</f>
        <v>100</v>
      </c>
      <c r="H117" s="281"/>
      <c r="I117" s="281"/>
      <c r="J117" s="281"/>
      <c r="K117" s="281"/>
      <c r="L117" s="281"/>
      <c r="M117" s="282"/>
      <c r="N117" s="270"/>
      <c r="O117" s="270"/>
      <c r="P117" s="266"/>
      <c r="Q117" s="232"/>
    </row>
    <row r="118" spans="1:17" ht="15" thickTop="1" x14ac:dyDescent="0.2">
      <c r="A118" s="173"/>
      <c r="B118" s="271" t="s">
        <v>104</v>
      </c>
      <c r="C118" s="272"/>
      <c r="D118" s="272"/>
      <c r="E118" s="272"/>
      <c r="F118" s="272"/>
      <c r="G118" s="272"/>
      <c r="H118" s="272"/>
      <c r="I118" s="272"/>
      <c r="J118" s="272"/>
      <c r="K118" s="322"/>
      <c r="L118" s="323"/>
      <c r="M118" s="324"/>
      <c r="N118" s="265"/>
      <c r="O118" s="265"/>
      <c r="P118" s="266"/>
      <c r="Q118" s="232"/>
    </row>
    <row r="119" spans="1:17" ht="15.75" thickBot="1" x14ac:dyDescent="0.25">
      <c r="A119" s="100"/>
      <c r="B119" s="273"/>
      <c r="C119" s="281">
        <v>100</v>
      </c>
      <c r="D119" s="281">
        <f t="shared" ref="D119:M119" si="31">C119-$K40</f>
        <v>100</v>
      </c>
      <c r="E119" s="281">
        <f t="shared" si="31"/>
        <v>100</v>
      </c>
      <c r="F119" s="281">
        <f t="shared" si="31"/>
        <v>100</v>
      </c>
      <c r="G119" s="281">
        <f t="shared" si="31"/>
        <v>100</v>
      </c>
      <c r="H119" s="281">
        <f t="shared" si="31"/>
        <v>100</v>
      </c>
      <c r="I119" s="281">
        <f t="shared" si="31"/>
        <v>100</v>
      </c>
      <c r="J119" s="281">
        <f t="shared" si="31"/>
        <v>100</v>
      </c>
      <c r="K119" s="281">
        <f t="shared" si="31"/>
        <v>100</v>
      </c>
      <c r="L119" s="281">
        <f t="shared" si="31"/>
        <v>100</v>
      </c>
      <c r="M119" s="281">
        <f t="shared" si="31"/>
        <v>100</v>
      </c>
      <c r="N119" s="270"/>
      <c r="O119" s="270"/>
      <c r="P119" s="266"/>
      <c r="Q119" s="232"/>
    </row>
    <row r="120" spans="1:17" s="172" customFormat="1" ht="28.5" thickTop="1" x14ac:dyDescent="0.2">
      <c r="A120" s="163"/>
      <c r="B120" s="271" t="s">
        <v>63</v>
      </c>
      <c r="C120" s="284"/>
      <c r="D120" s="284"/>
      <c r="E120" s="284"/>
      <c r="F120" s="284"/>
      <c r="G120" s="284"/>
      <c r="H120" s="284"/>
      <c r="I120" s="284"/>
      <c r="J120" s="284"/>
      <c r="K120" s="284"/>
      <c r="L120" s="317"/>
      <c r="M120" s="318"/>
      <c r="N120" s="288"/>
      <c r="O120" s="288"/>
      <c r="P120" s="289"/>
      <c r="Q120" s="290"/>
    </row>
    <row r="121" spans="1:17" s="172" customFormat="1" ht="15.75" thickBot="1" x14ac:dyDescent="0.25">
      <c r="A121" s="283"/>
      <c r="B121" s="267"/>
      <c r="C121" s="291"/>
      <c r="D121" s="268"/>
      <c r="E121" s="268"/>
      <c r="F121" s="268"/>
      <c r="G121" s="268"/>
      <c r="H121" s="268"/>
      <c r="I121" s="268"/>
      <c r="J121" s="268"/>
      <c r="K121" s="268"/>
      <c r="L121" s="268"/>
      <c r="M121" s="268"/>
      <c r="N121" s="288"/>
      <c r="O121" s="288"/>
      <c r="P121" s="289"/>
      <c r="Q121" s="290"/>
    </row>
    <row r="122" spans="1:17" ht="15" thickTop="1" x14ac:dyDescent="0.2">
      <c r="A122" s="173"/>
      <c r="B122" s="271" t="s">
        <v>105</v>
      </c>
      <c r="C122" s="320" t="s">
        <v>106</v>
      </c>
      <c r="D122" s="320" t="s">
        <v>107</v>
      </c>
      <c r="E122" s="284"/>
      <c r="F122" s="272"/>
      <c r="G122" s="272"/>
      <c r="H122" s="272"/>
      <c r="I122" s="272"/>
      <c r="J122" s="272"/>
      <c r="K122" s="322"/>
      <c r="L122" s="323"/>
      <c r="M122" s="324"/>
      <c r="N122" s="265"/>
      <c r="O122" s="265"/>
      <c r="P122" s="266"/>
      <c r="Q122" s="232"/>
    </row>
    <row r="123" spans="1:17" ht="15.75" thickBot="1" x14ac:dyDescent="0.25">
      <c r="A123" s="100"/>
      <c r="B123" s="273"/>
      <c r="C123" s="281">
        <v>100</v>
      </c>
      <c r="D123" s="281">
        <f t="shared" ref="D123:M123" si="32">C123-$K42</f>
        <v>100</v>
      </c>
      <c r="E123" s="281">
        <f t="shared" si="32"/>
        <v>100</v>
      </c>
      <c r="F123" s="281">
        <f t="shared" si="32"/>
        <v>100</v>
      </c>
      <c r="G123" s="281">
        <f t="shared" si="32"/>
        <v>100</v>
      </c>
      <c r="H123" s="281">
        <f t="shared" si="32"/>
        <v>100</v>
      </c>
      <c r="I123" s="281">
        <f t="shared" si="32"/>
        <v>100</v>
      </c>
      <c r="J123" s="281">
        <f t="shared" si="32"/>
        <v>100</v>
      </c>
      <c r="K123" s="281">
        <f t="shared" si="32"/>
        <v>100</v>
      </c>
      <c r="L123" s="281">
        <f t="shared" si="32"/>
        <v>100</v>
      </c>
      <c r="M123" s="281">
        <f t="shared" si="32"/>
        <v>100</v>
      </c>
      <c r="N123" s="270"/>
      <c r="O123" s="270"/>
      <c r="P123" s="266"/>
      <c r="Q123" s="232"/>
    </row>
    <row r="124" spans="1:17" ht="15" thickTop="1" x14ac:dyDescent="0.2">
      <c r="A124" s="173"/>
      <c r="B124" s="271" t="s">
        <v>108</v>
      </c>
      <c r="C124" s="310" t="s">
        <v>80</v>
      </c>
      <c r="D124" s="310" t="s">
        <v>81</v>
      </c>
      <c r="E124" s="310" t="s">
        <v>82</v>
      </c>
      <c r="F124" s="310" t="s">
        <v>83</v>
      </c>
      <c r="G124" s="310" t="s">
        <v>84</v>
      </c>
      <c r="H124" s="311"/>
      <c r="I124" s="311"/>
      <c r="J124" s="311"/>
      <c r="K124" s="312"/>
      <c r="L124" s="313"/>
      <c r="M124" s="314"/>
      <c r="N124" s="265"/>
      <c r="O124" s="265"/>
      <c r="P124" s="289"/>
      <c r="Q124" s="232"/>
    </row>
    <row r="125" spans="1:17" ht="15.75" thickBot="1" x14ac:dyDescent="0.25">
      <c r="A125" s="100"/>
      <c r="B125" s="273"/>
      <c r="C125" s="281">
        <v>100</v>
      </c>
      <c r="D125" s="281">
        <f>C125-$K43</f>
        <v>100</v>
      </c>
      <c r="E125" s="281">
        <f>D125-$K43</f>
        <v>100</v>
      </c>
      <c r="F125" s="281">
        <f>E125-$K43</f>
        <v>100</v>
      </c>
      <c r="G125" s="281">
        <f>F125-$K43</f>
        <v>100</v>
      </c>
      <c r="H125" s="281"/>
      <c r="I125" s="281"/>
      <c r="J125" s="281"/>
      <c r="K125" s="281"/>
      <c r="L125" s="281"/>
      <c r="M125" s="282"/>
      <c r="N125" s="270"/>
      <c r="O125" s="270"/>
      <c r="P125" s="266"/>
      <c r="Q125" s="232"/>
    </row>
    <row r="126" spans="1:17" s="172" customFormat="1" ht="15" thickTop="1" x14ac:dyDescent="0.2">
      <c r="A126" s="163"/>
      <c r="B126" s="271">
        <f>B44</f>
        <v>111</v>
      </c>
      <c r="C126" s="284"/>
      <c r="D126" s="284"/>
      <c r="E126" s="284"/>
      <c r="F126" s="284"/>
      <c r="G126" s="284"/>
      <c r="H126" s="285"/>
      <c r="I126" s="285"/>
      <c r="J126" s="285"/>
      <c r="K126" s="285"/>
      <c r="L126" s="286"/>
      <c r="M126" s="287"/>
      <c r="N126" s="288"/>
      <c r="O126" s="288"/>
      <c r="P126" s="289"/>
      <c r="Q126" s="290"/>
    </row>
    <row r="127" spans="1:17" s="172" customFormat="1" ht="15.75" thickBot="1" x14ac:dyDescent="0.25">
      <c r="A127" s="283"/>
      <c r="B127" s="273"/>
      <c r="C127" s="291"/>
      <c r="D127" s="268"/>
      <c r="E127" s="268"/>
      <c r="F127" s="268"/>
      <c r="G127" s="291"/>
      <c r="H127" s="294"/>
      <c r="I127" s="294"/>
      <c r="J127" s="294"/>
      <c r="K127" s="294"/>
      <c r="L127" s="294"/>
      <c r="M127" s="295"/>
      <c r="N127" s="288"/>
      <c r="O127" s="288"/>
      <c r="P127" s="289"/>
      <c r="Q127" s="290"/>
    </row>
    <row r="128" spans="1:17" ht="15" thickTop="1" x14ac:dyDescent="0.2">
      <c r="A128" s="173"/>
      <c r="B128" s="271">
        <f>B45</f>
        <v>111</v>
      </c>
      <c r="C128" s="284"/>
      <c r="D128" s="284"/>
      <c r="E128" s="284"/>
      <c r="F128" s="284"/>
      <c r="G128" s="272"/>
      <c r="H128" s="272"/>
      <c r="I128" s="272"/>
      <c r="J128" s="272"/>
      <c r="K128" s="322"/>
      <c r="L128" s="323"/>
      <c r="M128" s="324"/>
      <c r="N128" s="265"/>
      <c r="O128" s="265"/>
      <c r="P128" s="266"/>
      <c r="Q128" s="232"/>
    </row>
    <row r="129" spans="1:17" ht="15.75" thickBot="1" x14ac:dyDescent="0.25">
      <c r="A129" s="100"/>
      <c r="B129" s="273"/>
      <c r="C129" s="291"/>
      <c r="D129" s="291"/>
      <c r="E129" s="291"/>
      <c r="F129" s="291"/>
      <c r="G129" s="268"/>
      <c r="H129" s="268"/>
      <c r="I129" s="268"/>
      <c r="J129" s="268"/>
      <c r="K129" s="268"/>
      <c r="L129" s="268"/>
      <c r="M129" s="269"/>
      <c r="N129" s="270"/>
      <c r="O129" s="270"/>
      <c r="P129" s="266"/>
      <c r="Q129" s="232"/>
    </row>
    <row r="130" spans="1:17" ht="15" thickTop="1" x14ac:dyDescent="0.2">
      <c r="A130" s="173"/>
      <c r="B130" s="274">
        <f>B46</f>
        <v>111</v>
      </c>
      <c r="C130" s="284"/>
      <c r="D130" s="284"/>
      <c r="E130" s="284"/>
      <c r="F130" s="284"/>
      <c r="G130" s="325"/>
      <c r="H130" s="325"/>
      <c r="I130" s="325"/>
      <c r="J130" s="325"/>
      <c r="K130" s="253"/>
      <c r="L130" s="254"/>
      <c r="M130" s="328"/>
      <c r="N130" s="265"/>
      <c r="O130" s="265"/>
      <c r="P130" s="266"/>
      <c r="Q130" s="232"/>
    </row>
    <row r="131" spans="1:17" ht="15.75" thickBot="1" x14ac:dyDescent="0.25">
      <c r="A131" s="113"/>
      <c r="B131" s="301"/>
      <c r="C131" s="302"/>
      <c r="D131" s="302"/>
      <c r="E131" s="302"/>
      <c r="F131" s="302"/>
      <c r="G131" s="329"/>
      <c r="H131" s="329"/>
      <c r="I131" s="329"/>
      <c r="J131" s="329"/>
      <c r="K131" s="329"/>
      <c r="L131" s="329"/>
      <c r="M131" s="330"/>
      <c r="N131" s="270"/>
      <c r="O131" s="270"/>
      <c r="P131" s="266"/>
      <c r="Q131" s="232"/>
    </row>
    <row r="136" spans="1:17" ht="15" thickBot="1" x14ac:dyDescent="0.25">
      <c r="B136" s="344" t="s">
        <v>109</v>
      </c>
    </row>
    <row r="137" spans="1:17" ht="15" x14ac:dyDescent="0.2">
      <c r="B137" s="347" t="s">
        <v>110</v>
      </c>
      <c r="C137" s="348"/>
      <c r="D137" s="348"/>
      <c r="E137" s="348"/>
      <c r="F137" s="348"/>
      <c r="G137" s="349"/>
      <c r="H137" s="350"/>
      <c r="I137" s="351" t="s">
        <v>111</v>
      </c>
      <c r="J137" s="348"/>
      <c r="K137" s="352"/>
    </row>
    <row r="138" spans="1:17" ht="15" x14ac:dyDescent="0.2">
      <c r="B138" s="353"/>
      <c r="C138" s="354" t="s">
        <v>112</v>
      </c>
      <c r="D138" s="354" t="s">
        <v>113</v>
      </c>
      <c r="E138" s="355" t="s">
        <v>114</v>
      </c>
      <c r="F138" s="356" t="s">
        <v>115</v>
      </c>
      <c r="G138" s="354" t="s">
        <v>113</v>
      </c>
      <c r="H138" s="357" t="s">
        <v>114</v>
      </c>
      <c r="I138" s="358"/>
      <c r="J138" s="354" t="s">
        <v>116</v>
      </c>
      <c r="K138" s="357" t="s">
        <v>117</v>
      </c>
    </row>
    <row r="139" spans="1:17" ht="15" x14ac:dyDescent="0.2">
      <c r="B139" s="359">
        <v>6</v>
      </c>
      <c r="C139" s="360">
        <v>96</v>
      </c>
      <c r="D139" s="361" t="s">
        <v>118</v>
      </c>
      <c r="E139" s="362">
        <v>100</v>
      </c>
      <c r="F139" s="363">
        <v>102.5</v>
      </c>
      <c r="G139" s="361" t="s">
        <v>118</v>
      </c>
      <c r="H139" s="364">
        <v>105</v>
      </c>
      <c r="I139" s="365" t="s">
        <v>119</v>
      </c>
      <c r="J139" s="360">
        <v>20</v>
      </c>
      <c r="K139" s="366">
        <f>C145/(J139-2)</f>
        <v>4.0555555555555553E-3</v>
      </c>
    </row>
    <row r="140" spans="1:17" ht="15" x14ac:dyDescent="0.2">
      <c r="B140" s="367">
        <v>5</v>
      </c>
      <c r="C140" s="368">
        <v>100</v>
      </c>
      <c r="D140" s="368"/>
      <c r="E140" s="369"/>
      <c r="F140" s="370">
        <v>102</v>
      </c>
      <c r="G140" s="368"/>
      <c r="H140" s="371"/>
      <c r="I140" s="372" t="s">
        <v>120</v>
      </c>
      <c r="J140" s="373">
        <f>ROUNDUP((J139-1)/2,0)</f>
        <v>10</v>
      </c>
      <c r="K140" s="374">
        <v>100</v>
      </c>
    </row>
    <row r="141" spans="1:17" ht="15" x14ac:dyDescent="0.2">
      <c r="B141" s="367">
        <v>4</v>
      </c>
      <c r="C141" s="368">
        <v>102</v>
      </c>
      <c r="D141" s="368"/>
      <c r="E141" s="369"/>
      <c r="F141" s="370">
        <v>101.5</v>
      </c>
      <c r="G141" s="368"/>
      <c r="H141" s="371"/>
      <c r="I141" s="372" t="s">
        <v>121</v>
      </c>
      <c r="J141" s="373">
        <v>1</v>
      </c>
      <c r="K141" s="375">
        <f>ROUND(100+(J141-J140)*K139*100,1)</f>
        <v>96.4</v>
      </c>
    </row>
    <row r="142" spans="1:17" ht="15" x14ac:dyDescent="0.2">
      <c r="B142" s="367">
        <v>3</v>
      </c>
      <c r="C142" s="368">
        <v>103</v>
      </c>
      <c r="D142" s="368"/>
      <c r="E142" s="369"/>
      <c r="F142" s="370">
        <v>101</v>
      </c>
      <c r="G142" s="368"/>
      <c r="H142" s="371"/>
      <c r="I142" s="372" t="s">
        <v>122</v>
      </c>
      <c r="J142" s="373">
        <f>J139</f>
        <v>20</v>
      </c>
      <c r="K142" s="376">
        <v>95</v>
      </c>
    </row>
    <row r="143" spans="1:17" ht="15" x14ac:dyDescent="0.2">
      <c r="B143" s="367">
        <v>2</v>
      </c>
      <c r="C143" s="368">
        <v>100</v>
      </c>
      <c r="D143" s="368"/>
      <c r="E143" s="369"/>
      <c r="F143" s="370">
        <v>100.5</v>
      </c>
      <c r="G143" s="368"/>
      <c r="H143" s="371"/>
      <c r="I143" s="372" t="s">
        <v>123</v>
      </c>
      <c r="J143" s="368">
        <v>15</v>
      </c>
      <c r="K143" s="375">
        <f>ROUND(100+(J143-J140)*K139*100,1)</f>
        <v>102</v>
      </c>
    </row>
    <row r="144" spans="1:17" ht="15" x14ac:dyDescent="0.2">
      <c r="B144" s="367">
        <v>1</v>
      </c>
      <c r="C144" s="368">
        <v>98</v>
      </c>
      <c r="D144" s="377" t="s">
        <v>124</v>
      </c>
      <c r="E144" s="369">
        <v>102</v>
      </c>
      <c r="F144" s="378">
        <v>100</v>
      </c>
      <c r="G144" s="377" t="s">
        <v>124</v>
      </c>
      <c r="H144" s="371">
        <v>105</v>
      </c>
      <c r="I144" s="372" t="s">
        <v>123</v>
      </c>
      <c r="J144" s="368">
        <v>18</v>
      </c>
      <c r="K144" s="375">
        <f>ROUND(100+(J144-J140)*K139*100,1)</f>
        <v>103.2</v>
      </c>
    </row>
    <row r="145" spans="2:11" ht="15.75" thickBot="1" x14ac:dyDescent="0.25">
      <c r="B145" s="379" t="s">
        <v>125</v>
      </c>
      <c r="C145" s="380">
        <f>ROUND(MAX(C139:C144)/MIN(C139:C144)-1,3)</f>
        <v>7.2999999999999995E-2</v>
      </c>
      <c r="D145" s="381"/>
      <c r="E145" s="381"/>
      <c r="F145" s="382" t="s">
        <v>126</v>
      </c>
      <c r="G145" s="383"/>
      <c r="H145" s="384"/>
      <c r="I145" s="385" t="s">
        <v>123</v>
      </c>
      <c r="J145" s="386">
        <v>8</v>
      </c>
      <c r="K145" s="387">
        <f>ROUND(100+(J145-J140)*K139*100,1)</f>
        <v>99.2</v>
      </c>
    </row>
    <row r="147" spans="2:11" x14ac:dyDescent="0.2">
      <c r="B147" s="344" t="s">
        <v>127</v>
      </c>
    </row>
    <row r="148" spans="2:11" x14ac:dyDescent="0.2">
      <c r="B148" s="344" t="s">
        <v>128</v>
      </c>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 type="noConversion"/>
  <conditionalFormatting sqref="E52">
    <cfRule type="expression" dxfId="13" priority="13" stopIfTrue="1">
      <formula>$F$52="超过30%"</formula>
    </cfRule>
  </conditionalFormatting>
  <conditionalFormatting sqref="E53">
    <cfRule type="expression" dxfId="12" priority="11" stopIfTrue="1">
      <formula>$F$53="超过20%"</formula>
    </cfRule>
  </conditionalFormatting>
  <conditionalFormatting sqref="E54">
    <cfRule type="expression" dxfId="11" priority="10" stopIfTrue="1">
      <formula>$F$54="超过30%"</formula>
    </cfRule>
  </conditionalFormatting>
  <conditionalFormatting sqref="F7:F46 H7:H46 J7:J46">
    <cfRule type="cellIs" dxfId="10" priority="1" operator="notEqual">
      <formula>100</formula>
    </cfRule>
  </conditionalFormatting>
  <conditionalFormatting sqref="F48">
    <cfRule type="expression" dxfId="9" priority="4">
      <formula>$D$48="简单平均"</formula>
    </cfRule>
  </conditionalFormatting>
  <conditionalFormatting sqref="F52:F54 H52:H54 J52:J54">
    <cfRule type="containsText" dxfId="8" priority="14" stopIfTrue="1" operator="containsText" text="超过">
      <formula>NOT(ISERROR(SEARCH("超过",F52)))</formula>
    </cfRule>
  </conditionalFormatting>
  <conditionalFormatting sqref="G52">
    <cfRule type="expression" dxfId="7" priority="9" stopIfTrue="1">
      <formula>$H$52="超过30%"</formula>
    </cfRule>
  </conditionalFormatting>
  <conditionalFormatting sqref="G53">
    <cfRule type="expression" dxfId="6" priority="8" stopIfTrue="1">
      <formula>$H$53="超过20%"</formula>
    </cfRule>
  </conditionalFormatting>
  <conditionalFormatting sqref="G54">
    <cfRule type="expression" dxfId="5" priority="12" stopIfTrue="1">
      <formula>$H$54="超过30%"</formula>
    </cfRule>
  </conditionalFormatting>
  <conditionalFormatting sqref="H48">
    <cfRule type="expression" dxfId="4" priority="3">
      <formula>$D$48="简单平均"</formula>
    </cfRule>
  </conditionalFormatting>
  <conditionalFormatting sqref="I52">
    <cfRule type="expression" dxfId="3" priority="7" stopIfTrue="1">
      <formula>$J$52="超过30%"</formula>
    </cfRule>
  </conditionalFormatting>
  <conditionalFormatting sqref="I53">
    <cfRule type="expression" dxfId="2" priority="6" stopIfTrue="1">
      <formula>$J$53="超过20%"</formula>
    </cfRule>
  </conditionalFormatting>
  <conditionalFormatting sqref="I54">
    <cfRule type="expression" dxfId="1" priority="5" stopIfTrue="1">
      <formula>$J$54="超过30%"</formula>
    </cfRule>
  </conditionalFormatting>
  <conditionalFormatting sqref="J48">
    <cfRule type="expression" dxfId="0" priority="2">
      <formula>$D$48="简单平均"</formula>
    </cfRule>
  </conditionalFormatting>
  <dataValidations count="24">
    <dataValidation type="list" allowBlank="1" showInputMessage="1" showErrorMessage="1" sqref="E1" xr:uid="{83890AFE-96EF-4D38-B93D-2B820D4A1895}">
      <formula1>"项目模式,单套模式"</formula1>
    </dataValidation>
    <dataValidation type="list" allowBlank="1" showInputMessage="1" showErrorMessage="1" sqref="D48" xr:uid="{965CAE6A-6630-4C31-862C-4C14D6FAB3F1}">
      <formula1>"简单平均,加权平均"</formula1>
    </dataValidation>
    <dataValidation type="list" allowBlank="1" showInputMessage="1" showErrorMessage="1" sqref="F2" xr:uid="{9912A1A7-4094-4E13-83A2-0EDF0DAE018F}">
      <formula1>估价方法</formula1>
    </dataValidation>
    <dataValidation type="list" allowBlank="1" showInputMessage="1" showErrorMessage="1" sqref="C2" xr:uid="{47948AE1-72CD-4858-A7CD-F97FBAC72918}">
      <formula1>"需扣减承租人权益,——"</formula1>
    </dataValidation>
    <dataValidation type="list" allowBlank="1" showInputMessage="1" showErrorMessage="1" sqref="F1" xr:uid="{309AB347-6A6A-4C44-AEB4-76B57CA6925E}">
      <formula1>"售价,租金"</formula1>
    </dataValidation>
    <dataValidation type="list" allowBlank="1" showInputMessage="1" showErrorMessage="1" sqref="C22 E22 G22 I22" xr:uid="{B3E1670B-8394-44F4-8957-434271BD96C5}">
      <formula1>基础设施水平</formula1>
    </dataValidation>
    <dataValidation type="list" allowBlank="1" showInputMessage="1" showErrorMessage="1" sqref="E9 G9 I9" xr:uid="{CAB3D0DE-F4F9-457F-8059-5ABF71E9BFE2}">
      <formula1>住宅用途</formula1>
    </dataValidation>
    <dataValidation type="list" allowBlank="1" showInputMessage="1" showErrorMessage="1" sqref="D1" xr:uid="{D299FC4B-A13F-4100-ACE7-37D52930DB6F}">
      <formula1>项目类型</formula1>
    </dataValidation>
    <dataValidation type="list" allowBlank="1" showInputMessage="1" showErrorMessage="1" sqref="E8 G8 I8 C8" xr:uid="{EBB76519-ED9A-4F81-A0C9-BD60CFA91AC6}">
      <formula1>住宅交易情况</formula1>
    </dataValidation>
    <dataValidation type="list" allowBlank="1" showInputMessage="1" showErrorMessage="1" sqref="E43 G43 I43 C43" xr:uid="{78380687-8C6C-4B2D-A58A-B9D8B2A65297}">
      <formula1>内部装修维护情况</formula1>
    </dataValidation>
    <dataValidation type="list" allowBlank="1" showInputMessage="1" showErrorMessage="1" sqref="E42 G42 I42 C42" xr:uid="{69E5DBAF-3AA8-4684-B90C-1AE549B926EA}">
      <formula1>住宅内部装修</formula1>
    </dataValidation>
    <dataValidation type="list" allowBlank="1" showInputMessage="1" showErrorMessage="1" sqref="E40 G40 I40 C40" xr:uid="{4616BF24-A412-4490-A362-920765E1969D}">
      <formula1>住宅房型</formula1>
    </dataValidation>
    <dataValidation type="list" allowBlank="1" showInputMessage="1" showErrorMessage="1" sqref="E39 G39 I39 C39" xr:uid="{31ABEC1A-3D8A-49E0-8314-DF346111E3B4}">
      <formula1>住宅基础设施水平</formula1>
    </dataValidation>
    <dataValidation type="list" allowBlank="1" showInputMessage="1" showErrorMessage="1" sqref="E38 G38 I38 C38" xr:uid="{A3481BE4-25E1-4DC6-A904-C93734564DAF}">
      <formula1>住宅物业管理</formula1>
    </dataValidation>
    <dataValidation type="list" allowBlank="1" showInputMessage="1" showErrorMessage="1" sqref="E36 G36 I36 C36" xr:uid="{BFB078D0-8468-4B5C-ABA9-3D324D1DA28F}">
      <formula1>住宅公共部分装修</formula1>
    </dataValidation>
    <dataValidation type="list" allowBlank="1" showInputMessage="1" showErrorMessage="1" sqref="E35 G35 I35 C35" xr:uid="{3AC168CC-09E1-47DA-BA26-95339FD5DB75}">
      <formula1>住宅建筑品质</formula1>
    </dataValidation>
    <dataValidation type="list" allowBlank="1" showInputMessage="1" showErrorMessage="1" sqref="E34 G34 I34 C34" xr:uid="{AA267BEC-BA1E-412F-834A-763617D3D9C0}">
      <formula1>住宅建筑结构</formula1>
    </dataValidation>
    <dataValidation type="list" allowBlank="1" showInputMessage="1" showErrorMessage="1" sqref="E32 G32 I32 C32" xr:uid="{3478BFE9-C4D3-40AB-AB25-E206CECD7404}">
      <formula1>住宅建筑类型</formula1>
    </dataValidation>
    <dataValidation type="list" allowBlank="1" showInputMessage="1" showErrorMessage="1" sqref="E26 G26 I26 C26" xr:uid="{E0AF72BF-B028-46E2-8145-C0A056016BE1}">
      <formula1>住宅朝向</formula1>
    </dataValidation>
    <dataValidation type="list" allowBlank="1" showInputMessage="1" showErrorMessage="1" sqref="E25 G25 I25 C25" xr:uid="{C5E028EF-33FD-444D-B342-B1CE95AEBC23}">
      <formula1>住宅楼层</formula1>
    </dataValidation>
    <dataValidation type="list" allowBlank="1" showInputMessage="1" showErrorMessage="1" sqref="C20 G20 E20 I20" xr:uid="{7C407D7C-075A-49CD-84CF-5DD8A23216FC}">
      <formula1>公共配套设施</formula1>
    </dataValidation>
    <dataValidation type="list" allowBlank="1" showInputMessage="1" showErrorMessage="1" sqref="E18 G18 I18 C18" xr:uid="{AE39BEE8-9680-4D2A-AAF1-5351EEED2811}">
      <formula1>交通便捷度</formula1>
    </dataValidation>
    <dataValidation type="list" allowBlank="1" showInputMessage="1" showErrorMessage="1" sqref="E16 G16 I16 C16" xr:uid="{EC395021-54DE-4D46-87CD-ADEBD0234558}">
      <formula1>居住社区成熟度</formula1>
    </dataValidation>
    <dataValidation type="list" allowBlank="1" showInputMessage="1" showErrorMessage="1" sqref="E24 G24 I24 C24" xr:uid="{87E87752-F663-4E95-B0C2-2B6E6A3AAC91}">
      <formula1>环境</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20-AF86-41A0-9956-1742F81E80C2}">
  <dimension ref="O6:AF39"/>
  <sheetViews>
    <sheetView workbookViewId="0">
      <selection activeCell="Y6" sqref="Y6:Y31"/>
    </sheetView>
  </sheetViews>
  <sheetFormatPr defaultRowHeight="14.25" x14ac:dyDescent="0.2"/>
  <cols>
    <col min="20" max="20" width="13" bestFit="1" customWidth="1"/>
  </cols>
  <sheetData>
    <row r="6" spans="15:25" x14ac:dyDescent="0.2">
      <c r="O6" t="s">
        <v>0</v>
      </c>
      <c r="T6" t="s">
        <v>1</v>
      </c>
      <c r="U6">
        <v>94.77</v>
      </c>
      <c r="V6" t="s">
        <v>6</v>
      </c>
      <c r="W6" t="s">
        <v>7</v>
      </c>
      <c r="X6">
        <v>8500</v>
      </c>
      <c r="Y6">
        <f>ROUND(X6/U6,2)</f>
        <v>89.69</v>
      </c>
    </row>
    <row r="7" spans="15:25" x14ac:dyDescent="0.2">
      <c r="O7" t="s">
        <v>1</v>
      </c>
      <c r="U7">
        <v>90</v>
      </c>
      <c r="V7" t="s">
        <v>6</v>
      </c>
      <c r="W7" t="s">
        <v>7</v>
      </c>
      <c r="X7">
        <v>8100</v>
      </c>
      <c r="Y7">
        <f t="shared" ref="Y7:Y33" si="0">ROUND(X7/U7,2)</f>
        <v>90</v>
      </c>
    </row>
    <row r="8" spans="15:25" x14ac:dyDescent="0.2">
      <c r="O8" t="s">
        <v>2</v>
      </c>
      <c r="U8">
        <v>89</v>
      </c>
      <c r="V8" t="s">
        <v>130</v>
      </c>
      <c r="W8" t="s">
        <v>131</v>
      </c>
      <c r="X8">
        <v>7500</v>
      </c>
      <c r="Y8">
        <f t="shared" si="0"/>
        <v>84.27</v>
      </c>
    </row>
    <row r="9" spans="15:25" x14ac:dyDescent="0.2">
      <c r="O9" t="s">
        <v>3</v>
      </c>
      <c r="U9">
        <v>89</v>
      </c>
      <c r="V9" t="s">
        <v>130</v>
      </c>
      <c r="W9" t="s">
        <v>7</v>
      </c>
      <c r="X9">
        <v>7500</v>
      </c>
      <c r="Y9">
        <f t="shared" si="0"/>
        <v>84.27</v>
      </c>
    </row>
    <row r="10" spans="15:25" x14ac:dyDescent="0.2">
      <c r="O10" t="s">
        <v>4</v>
      </c>
      <c r="U10">
        <v>84</v>
      </c>
      <c r="V10" t="s">
        <v>132</v>
      </c>
      <c r="W10" t="s">
        <v>7</v>
      </c>
      <c r="X10">
        <v>8000</v>
      </c>
      <c r="Y10">
        <f t="shared" si="0"/>
        <v>95.24</v>
      </c>
    </row>
    <row r="11" spans="15:25" x14ac:dyDescent="0.2">
      <c r="U11">
        <v>87</v>
      </c>
      <c r="V11" t="s">
        <v>132</v>
      </c>
      <c r="W11" t="s">
        <v>7</v>
      </c>
      <c r="X11">
        <v>8000</v>
      </c>
      <c r="Y11">
        <f t="shared" si="0"/>
        <v>91.95</v>
      </c>
    </row>
    <row r="12" spans="15:25" x14ac:dyDescent="0.2">
      <c r="U12">
        <v>94.77</v>
      </c>
      <c r="V12" t="s">
        <v>6</v>
      </c>
      <c r="W12" t="s">
        <v>7</v>
      </c>
      <c r="X12">
        <v>7900</v>
      </c>
      <c r="Y12">
        <f t="shared" si="0"/>
        <v>83.36</v>
      </c>
    </row>
    <row r="16" spans="15:25" x14ac:dyDescent="0.2">
      <c r="T16" t="s">
        <v>2</v>
      </c>
      <c r="U16">
        <v>55</v>
      </c>
      <c r="V16" t="s">
        <v>132</v>
      </c>
      <c r="W16" t="s">
        <v>133</v>
      </c>
      <c r="X16">
        <v>4700</v>
      </c>
      <c r="Y16">
        <f t="shared" si="0"/>
        <v>85.45</v>
      </c>
    </row>
    <row r="17" spans="20:32" x14ac:dyDescent="0.2">
      <c r="U17">
        <v>62.65</v>
      </c>
      <c r="V17" t="s">
        <v>6</v>
      </c>
      <c r="W17" t="s">
        <v>7</v>
      </c>
      <c r="X17">
        <v>5600</v>
      </c>
      <c r="Y17">
        <f t="shared" si="0"/>
        <v>89.39</v>
      </c>
    </row>
    <row r="18" spans="20:32" x14ac:dyDescent="0.2">
      <c r="U18">
        <v>53.15</v>
      </c>
      <c r="V18" t="s">
        <v>134</v>
      </c>
      <c r="W18" t="s">
        <v>133</v>
      </c>
      <c r="X18">
        <v>5200</v>
      </c>
      <c r="Y18">
        <f t="shared" si="0"/>
        <v>97.84</v>
      </c>
    </row>
    <row r="19" spans="20:32" x14ac:dyDescent="0.2">
      <c r="U19">
        <v>54.81</v>
      </c>
      <c r="V19" t="s">
        <v>132</v>
      </c>
      <c r="W19" t="s">
        <v>133</v>
      </c>
      <c r="X19">
        <v>4800</v>
      </c>
      <c r="Y19">
        <f t="shared" si="0"/>
        <v>87.58</v>
      </c>
    </row>
    <row r="20" spans="20:32" x14ac:dyDescent="0.2">
      <c r="U20">
        <v>53.13</v>
      </c>
      <c r="V20" t="s">
        <v>134</v>
      </c>
      <c r="W20" t="s">
        <v>133</v>
      </c>
      <c r="X20">
        <v>4500</v>
      </c>
      <c r="Y20">
        <f t="shared" si="0"/>
        <v>84.7</v>
      </c>
    </row>
    <row r="21" spans="20:32" x14ac:dyDescent="0.2">
      <c r="U21">
        <v>65</v>
      </c>
      <c r="V21" t="s">
        <v>132</v>
      </c>
      <c r="W21" t="s">
        <v>7</v>
      </c>
      <c r="X21">
        <v>5400</v>
      </c>
      <c r="Y21">
        <f t="shared" si="0"/>
        <v>83.08</v>
      </c>
    </row>
    <row r="22" spans="20:32" x14ac:dyDescent="0.2">
      <c r="U22">
        <v>62.89</v>
      </c>
      <c r="V22" t="s">
        <v>6</v>
      </c>
      <c r="W22" t="s">
        <v>7</v>
      </c>
      <c r="X22">
        <v>5500</v>
      </c>
      <c r="Y22">
        <f t="shared" si="0"/>
        <v>87.45</v>
      </c>
    </row>
    <row r="23" spans="20:32" x14ac:dyDescent="0.2">
      <c r="U23">
        <v>63.34</v>
      </c>
      <c r="V23" t="s">
        <v>132</v>
      </c>
      <c r="W23" t="s">
        <v>7</v>
      </c>
      <c r="X23">
        <v>5500</v>
      </c>
      <c r="Y23">
        <f t="shared" si="0"/>
        <v>86.83</v>
      </c>
    </row>
    <row r="26" spans="20:32" x14ac:dyDescent="0.2">
      <c r="T26" t="s">
        <v>4</v>
      </c>
      <c r="U26">
        <v>79.72</v>
      </c>
      <c r="V26" t="s">
        <v>132</v>
      </c>
      <c r="W26" t="s">
        <v>7</v>
      </c>
      <c r="X26">
        <v>7600</v>
      </c>
      <c r="Y26">
        <f t="shared" ref="Y26:Y31" si="1">ROUND(X26/U26,2)</f>
        <v>95.33</v>
      </c>
      <c r="AA26" t="s">
        <v>3</v>
      </c>
      <c r="AB26">
        <v>54.14</v>
      </c>
      <c r="AC26" t="s">
        <v>6</v>
      </c>
      <c r="AD26" t="s">
        <v>133</v>
      </c>
      <c r="AE26">
        <v>5500</v>
      </c>
      <c r="AF26">
        <f>ROUND(AE26/AB26,2)</f>
        <v>101.59</v>
      </c>
    </row>
    <row r="27" spans="20:32" x14ac:dyDescent="0.2">
      <c r="U27">
        <v>92</v>
      </c>
      <c r="V27" t="s">
        <v>6</v>
      </c>
      <c r="W27" t="s">
        <v>7</v>
      </c>
      <c r="X27">
        <v>7800</v>
      </c>
      <c r="Y27">
        <f t="shared" si="1"/>
        <v>84.78</v>
      </c>
      <c r="AB27">
        <v>55</v>
      </c>
      <c r="AC27" t="s">
        <v>132</v>
      </c>
      <c r="AD27" t="s">
        <v>133</v>
      </c>
      <c r="AE27">
        <v>5000</v>
      </c>
      <c r="AF27">
        <f>ROUND(AE27/AB27,2)</f>
        <v>90.91</v>
      </c>
    </row>
    <row r="28" spans="20:32" x14ac:dyDescent="0.2">
      <c r="U28">
        <v>145</v>
      </c>
      <c r="V28" t="s">
        <v>6</v>
      </c>
      <c r="W28" t="s">
        <v>131</v>
      </c>
      <c r="X28">
        <v>13500</v>
      </c>
      <c r="Y28">
        <f t="shared" si="1"/>
        <v>93.1</v>
      </c>
      <c r="AB28">
        <v>55</v>
      </c>
      <c r="AC28" t="s">
        <v>132</v>
      </c>
      <c r="AD28" t="s">
        <v>133</v>
      </c>
      <c r="AE28">
        <v>5200</v>
      </c>
      <c r="AF28">
        <f>ROUND(AE28/AB28,2)</f>
        <v>94.55</v>
      </c>
    </row>
    <row r="29" spans="20:32" x14ac:dyDescent="0.2">
      <c r="U29">
        <v>78</v>
      </c>
      <c r="V29" t="s">
        <v>132</v>
      </c>
      <c r="W29" t="s">
        <v>7</v>
      </c>
      <c r="X29">
        <v>7500</v>
      </c>
      <c r="Y29">
        <f t="shared" si="1"/>
        <v>96.15</v>
      </c>
      <c r="AB29">
        <v>54.58</v>
      </c>
      <c r="AC29" t="s">
        <v>134</v>
      </c>
      <c r="AD29" t="s">
        <v>133</v>
      </c>
      <c r="AE29">
        <v>5690</v>
      </c>
      <c r="AF29">
        <f>ROUND(AE29/AB29,2)</f>
        <v>104.25</v>
      </c>
    </row>
    <row r="30" spans="20:32" x14ac:dyDescent="0.2">
      <c r="U30">
        <v>76.98</v>
      </c>
      <c r="V30" t="s">
        <v>132</v>
      </c>
      <c r="W30" t="s">
        <v>7</v>
      </c>
      <c r="X30">
        <v>7400</v>
      </c>
      <c r="Y30">
        <f t="shared" si="1"/>
        <v>96.13</v>
      </c>
      <c r="AB30">
        <v>54.55</v>
      </c>
      <c r="AC30" t="s">
        <v>134</v>
      </c>
      <c r="AD30" t="s">
        <v>133</v>
      </c>
      <c r="AE30">
        <v>5300</v>
      </c>
      <c r="AF30">
        <f>ROUND(AE30/AB30,2)</f>
        <v>97.16</v>
      </c>
    </row>
    <row r="31" spans="20:32" x14ac:dyDescent="0.2">
      <c r="U31">
        <v>78.92</v>
      </c>
      <c r="V31" t="s">
        <v>135</v>
      </c>
      <c r="W31" t="s">
        <v>7</v>
      </c>
      <c r="X31">
        <v>7500</v>
      </c>
      <c r="Y31">
        <f t="shared" si="1"/>
        <v>95.03</v>
      </c>
      <c r="AB31">
        <v>69.5</v>
      </c>
      <c r="AC31" t="s">
        <v>6</v>
      </c>
      <c r="AD31" t="s">
        <v>7</v>
      </c>
      <c r="AE31">
        <v>6600</v>
      </c>
      <c r="AF31">
        <f>ROUND(AE31/AB31,2)</f>
        <v>94.96</v>
      </c>
    </row>
    <row r="32" spans="20:32" x14ac:dyDescent="0.2">
      <c r="AB32">
        <v>54.69</v>
      </c>
      <c r="AC32" t="s">
        <v>132</v>
      </c>
      <c r="AD32" t="s">
        <v>133</v>
      </c>
      <c r="AE32">
        <v>5000</v>
      </c>
      <c r="AF32">
        <f>ROUND(AE32/AB32,2)</f>
        <v>91.42</v>
      </c>
    </row>
    <row r="35" spans="27:32" x14ac:dyDescent="0.2">
      <c r="AA35" t="s">
        <v>0</v>
      </c>
      <c r="AB35">
        <v>89</v>
      </c>
      <c r="AC35" t="s">
        <v>132</v>
      </c>
      <c r="AD35" t="s">
        <v>131</v>
      </c>
      <c r="AE35">
        <v>9000</v>
      </c>
      <c r="AF35">
        <f t="shared" ref="AF35:AF39" si="2">ROUND(AE35/AB35,2)</f>
        <v>101.12</v>
      </c>
    </row>
    <row r="36" spans="27:32" x14ac:dyDescent="0.2">
      <c r="AB36">
        <v>89.83</v>
      </c>
      <c r="AC36" t="s">
        <v>6</v>
      </c>
      <c r="AD36" t="s">
        <v>131</v>
      </c>
      <c r="AE36">
        <v>11000</v>
      </c>
      <c r="AF36">
        <f t="shared" si="2"/>
        <v>122.45</v>
      </c>
    </row>
    <row r="37" spans="27:32" x14ac:dyDescent="0.2">
      <c r="AB37">
        <v>84.23</v>
      </c>
      <c r="AC37" t="s">
        <v>132</v>
      </c>
      <c r="AD37" t="s">
        <v>7</v>
      </c>
      <c r="AE37">
        <v>8000</v>
      </c>
      <c r="AF37">
        <f t="shared" si="2"/>
        <v>94.98</v>
      </c>
    </row>
    <row r="38" spans="27:32" x14ac:dyDescent="0.2">
      <c r="AB38">
        <v>89</v>
      </c>
      <c r="AC38" t="s">
        <v>6</v>
      </c>
      <c r="AD38" t="s">
        <v>131</v>
      </c>
      <c r="AE38">
        <v>7800</v>
      </c>
      <c r="AF38">
        <f t="shared" si="2"/>
        <v>87.64</v>
      </c>
    </row>
    <row r="39" spans="27:32" x14ac:dyDescent="0.2">
      <c r="AB39">
        <v>85</v>
      </c>
      <c r="AC39" t="s">
        <v>132</v>
      </c>
      <c r="AD39" t="s">
        <v>7</v>
      </c>
      <c r="AE39">
        <v>7500</v>
      </c>
      <c r="AF39">
        <f t="shared" si="2"/>
        <v>88.24</v>
      </c>
    </row>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14</vt:i4>
      </vt:variant>
    </vt:vector>
  </HeadingPairs>
  <TitlesOfParts>
    <vt:vector size="16" baseType="lpstr">
      <vt:lpstr>比较法-住宅</vt:lpstr>
      <vt:lpstr>Sheet2</vt:lpstr>
      <vt:lpstr>'比较法-住宅'!Print_Area</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2025-11-20T08:14:22Z</dcterms:modified>
</cp:coreProperties>
</file>