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J8" i="68"/>
  <c r="Y6" i="1" l="1"/>
  <c r="N6"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B15" i="72" s="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0" i="39"/>
  <c r="BL17" i="3"/>
  <c r="AZ17" i="3"/>
  <c r="BL13" i="3"/>
  <c r="E64" i="39"/>
  <c r="G30" i="6"/>
  <c r="G31" i="6"/>
  <c r="J56" i="9"/>
  <c r="J57" i="9" s="1"/>
  <c r="J59" i="9" s="1"/>
  <c r="J61" i="9" s="1"/>
  <c r="A24" i="51"/>
  <c r="B18" i="72" s="1"/>
  <c r="U29" i="34"/>
  <c r="E14" i="6"/>
  <c r="E63" i="39"/>
  <c r="E5" i="6"/>
  <c r="D9" i="11"/>
  <c r="C9" i="11" s="1"/>
  <c r="E32" i="6"/>
  <c r="L19" i="6"/>
  <c r="G1" i="68"/>
  <c r="K1" i="12"/>
  <c r="F30" i="6"/>
  <c r="E28" i="6"/>
  <c r="E57" i="40"/>
  <c r="E56" i="40"/>
  <c r="AR12" i="1"/>
  <c r="AQ12" i="1"/>
  <c r="T12" i="1"/>
  <c r="AR10"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61" i="39"/>
  <c r="B6" i="1"/>
  <c r="E6" i="1" s="1"/>
  <c r="S8" i="1"/>
  <c r="K11" i="1"/>
  <c r="M11" i="1" s="1"/>
  <c r="O11" i="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2" i="39"/>
  <c r="T11" i="1"/>
  <c r="D9" i="69"/>
  <c r="C9" i="69" s="1"/>
  <c r="D19" i="12"/>
  <c r="C19" i="12" s="1"/>
  <c r="AR11" i="1"/>
  <c r="E59" i="40"/>
  <c r="E30" i="6"/>
  <c r="K15" i="1"/>
  <c r="T13" i="1"/>
  <c r="E69" i="3"/>
  <c r="E237" i="3"/>
  <c r="E114" i="3"/>
  <c r="E261" i="3"/>
  <c r="E278" i="3"/>
  <c r="E304" i="3"/>
  <c r="E415" i="3"/>
  <c r="E528" i="3"/>
  <c r="E563" i="3"/>
  <c r="E565" i="3"/>
  <c r="E395" i="3"/>
  <c r="E183" i="3"/>
  <c r="E172" i="3"/>
  <c r="E213" i="3"/>
  <c r="E260" i="3"/>
  <c r="E361" i="3"/>
  <c r="E445" i="3"/>
  <c r="E17" i="3"/>
  <c r="E550" i="3"/>
  <c r="E503" i="3"/>
  <c r="E535" i="3"/>
  <c r="E302" i="3"/>
  <c r="D9" i="68"/>
  <c r="C9" i="68" s="1"/>
  <c r="S7"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E6" i="70"/>
  <c r="D3" i="34"/>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R7" i="1"/>
  <c r="F34" i="11"/>
  <c r="F11" i="12"/>
  <c r="C23" i="12" s="1"/>
  <c r="F34" i="68"/>
  <c r="R8" i="1"/>
  <c r="C34" i="69"/>
  <c r="C35" i="69" s="1"/>
  <c r="AE7" i="1"/>
  <c r="AE8" i="1"/>
  <c r="AG6" i="1"/>
  <c r="H109" i="9"/>
  <c r="D124" i="9" s="1"/>
  <c r="H110" i="9"/>
  <c r="D18" i="53" s="1"/>
  <c r="B35" i="72" s="1"/>
  <c r="D16" i="53"/>
  <c r="B34" i="72" s="1"/>
  <c r="H112" i="9"/>
  <c r="D21" i="53"/>
  <c r="B39" i="72" s="1"/>
  <c r="H111" i="9"/>
  <c r="D126" i="9" s="1"/>
  <c r="D19" i="53"/>
  <c r="B38" i="72" s="1"/>
  <c r="D20" i="53"/>
  <c r="B40" i="72" s="1"/>
  <c r="AD3" i="71"/>
  <c r="J1" i="73"/>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I59" i="34"/>
  <c r="J59" i="34" s="1"/>
  <c r="D15" i="71"/>
  <c r="T17" i="71"/>
  <c r="D16" i="71"/>
  <c r="D17" i="71"/>
  <c r="U17" i="71"/>
  <c r="E7" i="76"/>
  <c r="F20" i="31"/>
  <c r="B10" i="76"/>
  <c r="D2" i="33"/>
  <c r="F6" i="15"/>
  <c r="F36" i="15"/>
  <c r="F6" i="73"/>
  <c r="F9" i="15"/>
  <c r="D2" i="35"/>
  <c r="F6" i="67"/>
  <c r="E12" i="76"/>
  <c r="D6" i="73"/>
  <c r="D2" i="36"/>
  <c r="M9" i="67"/>
  <c r="AO13" i="1"/>
  <c r="M26" i="15"/>
  <c r="F4" i="73"/>
  <c r="L47" i="15"/>
  <c r="F3" i="73"/>
  <c r="F37" i="67"/>
  <c r="M27" i="15"/>
  <c r="M9" i="15"/>
  <c r="AO7" i="1"/>
  <c r="F13" i="67"/>
  <c r="F42" i="67"/>
  <c r="F41" i="67"/>
  <c r="E8" i="76"/>
  <c r="M29" i="67"/>
  <c r="J15" i="15"/>
  <c r="F36" i="67"/>
  <c r="F40" i="15"/>
  <c r="E13" i="76"/>
  <c r="M26" i="67"/>
  <c r="F40" i="67"/>
  <c r="AO8" i="1"/>
  <c r="B12" i="76"/>
  <c r="C76" i="67"/>
  <c r="E9" i="76"/>
  <c r="M6" i="15"/>
  <c r="AO11" i="1"/>
  <c r="M28" i="15"/>
  <c r="D2" i="21"/>
  <c r="AO12" i="1"/>
  <c r="M21" i="67"/>
  <c r="E2" i="68"/>
  <c r="F42" i="15"/>
  <c r="F26" i="15"/>
  <c r="F5" i="73"/>
  <c r="F9" i="67"/>
  <c r="M27" i="67"/>
  <c r="B7" i="76"/>
  <c r="J15" i="67"/>
  <c r="AO9" i="1"/>
  <c r="M24" i="15"/>
  <c r="F16" i="15"/>
  <c r="M8" i="15"/>
  <c r="F37" i="15"/>
  <c r="M22" i="15"/>
  <c r="AO10" i="1"/>
  <c r="E2" i="69"/>
  <c r="B13" i="76"/>
  <c r="F7" i="73"/>
  <c r="M23" i="67"/>
  <c r="D2" i="34"/>
  <c r="M23" i="15"/>
  <c r="F8" i="67"/>
  <c r="F7" i="67"/>
  <c r="F38" i="15"/>
  <c r="D2" i="37"/>
  <c r="M24" i="67"/>
  <c r="F8" i="15"/>
  <c r="B9" i="76"/>
  <c r="C76" i="15"/>
  <c r="D7" i="73"/>
  <c r="M28" i="67"/>
  <c r="B11" i="76"/>
  <c r="L47" i="67"/>
  <c r="F26" i="67"/>
  <c r="F43" i="67"/>
  <c r="B8" i="76"/>
  <c r="F38" i="67"/>
  <c r="M6" i="67"/>
  <c r="D4" i="73"/>
  <c r="F7" i="15"/>
  <c r="E11" i="76"/>
  <c r="F16" i="67"/>
  <c r="D3" i="73"/>
  <c r="F13" i="15"/>
  <c r="M22" i="67"/>
  <c r="D5" i="73"/>
  <c r="F43" i="15"/>
  <c r="M8" i="67"/>
  <c r="L48" i="15"/>
  <c r="E10" i="76"/>
  <c r="L48" i="67"/>
  <c r="F35" i="67"/>
  <c r="M29" i="15"/>
  <c r="C5" i="11" l="1"/>
  <c r="C20" i="11" s="1"/>
  <c r="P61" i="15"/>
  <c r="C94" i="9"/>
  <c r="C92" i="9"/>
  <c r="F30" i="69"/>
  <c r="F48" i="69" s="1"/>
  <c r="M18" i="15"/>
  <c r="F52" i="9"/>
  <c r="C30" i="69"/>
  <c r="F54" i="9"/>
  <c r="F32" i="15"/>
  <c r="F60" i="15" s="1"/>
  <c r="F32" i="67"/>
  <c r="F60" i="67" s="1"/>
  <c r="F28" i="67"/>
  <c r="C28" i="67" s="1"/>
  <c r="C24" i="12"/>
  <c r="C77" i="9"/>
  <c r="C74" i="9" s="1"/>
  <c r="C13" i="12"/>
  <c r="C36" i="11"/>
  <c r="C30" i="11"/>
  <c r="D68" i="9"/>
  <c r="F28" i="15"/>
  <c r="C28" i="15" s="1"/>
  <c r="C48" i="69"/>
  <c r="M18" i="67"/>
  <c r="F31" i="12"/>
  <c r="C31" i="12" s="1"/>
  <c r="F30" i="68"/>
  <c r="F53" i="9"/>
  <c r="C21" i="69"/>
  <c r="E2" i="70"/>
  <c r="L27" i="6"/>
  <c r="F27" i="6"/>
  <c r="E51" i="40"/>
  <c r="E56"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16" i="6"/>
  <c r="AY6" i="3"/>
  <c r="AY87" i="3" s="1"/>
  <c r="O7" i="1"/>
  <c r="P7" i="1" s="1"/>
  <c r="E65" i="39"/>
  <c r="M14" i="1"/>
  <c r="K16" i="1"/>
  <c r="AY83" i="3"/>
  <c r="AY66" i="3"/>
  <c r="AY23" i="3"/>
  <c r="AY176" i="3"/>
  <c r="AY155" i="3"/>
  <c r="AY115" i="3"/>
  <c r="AY59" i="3"/>
  <c r="AY188" i="3"/>
  <c r="AY152" i="3"/>
  <c r="AY131" i="3"/>
  <c r="AY281" i="3"/>
  <c r="AY276" i="3"/>
  <c r="AY111" i="3"/>
  <c r="AY58" i="3"/>
  <c r="AY168" i="3"/>
  <c r="AY297" i="3"/>
  <c r="AY253" i="3"/>
  <c r="AY268" i="3"/>
  <c r="AY236" i="3"/>
  <c r="AY225" i="3"/>
  <c r="AY382" i="3"/>
  <c r="AY371" i="3"/>
  <c r="AY366" i="3"/>
  <c r="AY335" i="3"/>
  <c r="AY303" i="3"/>
  <c r="AY318" i="3"/>
  <c r="AY473" i="3"/>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Q7" i="1"/>
  <c r="T7" i="1"/>
  <c r="P11" i="1"/>
  <c r="O12" i="1"/>
  <c r="P12" i="1" s="1"/>
  <c r="AR7" i="1"/>
  <c r="D3" i="21"/>
  <c r="E6" i="6"/>
  <c r="D37" i="11"/>
  <c r="C37" i="11" s="1"/>
  <c r="D14" i="12"/>
  <c r="D17" i="12" s="1"/>
  <c r="C17" i="12" s="1"/>
  <c r="M18" i="9"/>
  <c r="B118" i="9" s="1"/>
  <c r="B14" i="74" s="1"/>
  <c r="B1" i="74" s="1"/>
  <c r="O9" i="1"/>
  <c r="P9" i="1" s="1"/>
  <c r="O8" i="1"/>
  <c r="H16" i="1"/>
  <c r="Q16" i="1"/>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A15" i="62"/>
  <c r="B61" i="72" s="1"/>
  <c r="G12" i="1"/>
  <c r="G10" i="1"/>
  <c r="G8" i="1"/>
  <c r="D10" i="52"/>
  <c r="D125" i="9"/>
  <c r="D11" i="52" s="1"/>
  <c r="H14" i="74"/>
  <c r="B7" i="74" s="1"/>
  <c r="I14" i="74"/>
  <c r="B8" i="74" s="1"/>
  <c r="D127" i="9"/>
  <c r="D13" i="52" s="1"/>
  <c r="D12" i="52"/>
  <c r="D17" i="53"/>
  <c r="B36" i="72" s="1"/>
  <c r="Y5" i="71"/>
  <c r="Z5" i="71" s="1"/>
  <c r="X5" i="71"/>
  <c r="AB5" i="71"/>
  <c r="AA5" i="71"/>
  <c r="C69" i="39"/>
  <c r="D67" i="39"/>
  <c r="D69" i="39" s="1"/>
  <c r="E67" i="39"/>
  <c r="AC21" i="39"/>
  <c r="AB23" i="39"/>
  <c r="AB15" i="39"/>
  <c r="AC15" i="39"/>
  <c r="S25" i="39"/>
  <c r="W39" i="39"/>
  <c r="W42" i="39"/>
  <c r="W14" i="39"/>
  <c r="S29" i="39"/>
  <c r="G17" i="43"/>
  <c r="C16" i="43" s="1"/>
  <c r="C5" i="43" s="1"/>
  <c r="E11" i="43"/>
  <c r="E9" i="43"/>
  <c r="E10" i="43"/>
  <c r="E8" i="43"/>
  <c r="C7" i="43" s="1"/>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4" i="67"/>
  <c r="C14" i="15"/>
  <c r="G1" i="73"/>
  <c r="C17" i="15"/>
  <c r="C16" i="67"/>
  <c r="C17" i="67"/>
  <c r="F48" i="68" l="1"/>
  <c r="C30" i="68"/>
  <c r="C48" i="68"/>
  <c r="C18" i="15"/>
  <c r="C15" i="15"/>
  <c r="AY42" i="3"/>
  <c r="AY95" i="3"/>
  <c r="AY124" i="3"/>
  <c r="AY144" i="3"/>
  <c r="AY207" i="3"/>
  <c r="AY34" i="3"/>
  <c r="AY51" i="3"/>
  <c r="AY191" i="3"/>
  <c r="AY31" i="3"/>
  <c r="AY147" i="3"/>
  <c r="AY350" i="3"/>
  <c r="AY444" i="3"/>
  <c r="AY526" i="3"/>
  <c r="AY269" i="3"/>
  <c r="AY390" i="3"/>
  <c r="AY311" i="3"/>
  <c r="AY447" i="3"/>
  <c r="AY535" i="3"/>
  <c r="AY574" i="3"/>
  <c r="AY555" i="3"/>
  <c r="AY85" i="3"/>
  <c r="AY68" i="3"/>
  <c r="AY25" i="3"/>
  <c r="AY178" i="3"/>
  <c r="AY157"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82" i="3"/>
  <c r="AY292" i="3"/>
  <c r="AY486" i="3"/>
  <c r="AY199" i="3"/>
  <c r="AY355" i="3"/>
  <c r="AY404" i="3"/>
  <c r="BO6" i="3"/>
  <c r="AY53" i="3"/>
  <c r="AY182"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75" i="3"/>
  <c r="AY537"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32" i="3"/>
  <c r="AY220" i="3"/>
  <c r="AY425" i="3"/>
  <c r="AY244" i="3"/>
  <c r="AY481" i="3"/>
  <c r="AY562" i="3"/>
  <c r="AY89" i="3"/>
  <c r="AY36" i="3"/>
  <c r="AY146"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22" i="3"/>
  <c r="AY515"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E6" i="3" s="1"/>
  <c r="F31" i="6"/>
  <c r="E27" i="6"/>
  <c r="F27" i="69"/>
  <c r="F28" i="12"/>
  <c r="C29" i="12" s="1"/>
  <c r="D28" i="12" s="1"/>
  <c r="F27" i="11"/>
  <c r="F27" i="68"/>
  <c r="D19" i="6"/>
  <c r="D26" i="6"/>
  <c r="C18" i="4"/>
  <c r="D8" i="6"/>
  <c r="D23" i="6"/>
  <c r="D14" i="6"/>
  <c r="D5" i="6"/>
  <c r="D12" i="6"/>
  <c r="D11" i="6"/>
  <c r="D13" i="6"/>
  <c r="D28" i="6"/>
  <c r="E61" i="40"/>
  <c r="M19" i="9"/>
  <c r="C118" i="9" s="1"/>
  <c r="C14" i="74" s="1"/>
  <c r="B2" i="74" s="1"/>
  <c r="D25" i="6"/>
  <c r="D15" i="6"/>
  <c r="D22" i="6"/>
  <c r="D21" i="6"/>
  <c r="D24" i="6"/>
  <c r="D20" i="6"/>
  <c r="D6" i="6"/>
  <c r="D9" i="6"/>
  <c r="D10" i="6"/>
  <c r="L19" i="9"/>
  <c r="D29" i="6"/>
  <c r="O14" i="1"/>
  <c r="O16" i="1" s="1"/>
  <c r="M16" i="1"/>
  <c r="P8" i="1"/>
  <c r="D10" i="11"/>
  <c r="C10" i="11" s="1"/>
  <c r="D20" i="12"/>
  <c r="C20" i="12" s="1"/>
  <c r="D10" i="68"/>
  <c r="D10" i="69"/>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J10" i="40"/>
  <c r="AC10" i="40" s="1"/>
  <c r="H10" i="39"/>
  <c r="F10" i="40"/>
  <c r="S10" i="40" s="1"/>
  <c r="J10" i="39"/>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D16" i="6"/>
  <c r="K20" i="6"/>
  <c r="M20" i="6" s="1"/>
  <c r="I20" i="6" s="1"/>
  <c r="K24" i="6"/>
  <c r="M24" i="6" s="1"/>
  <c r="I24" i="6" s="1"/>
  <c r="K26" i="6"/>
  <c r="M26" i="6" s="1"/>
  <c r="I26" i="6" s="1"/>
  <c r="K19" i="6"/>
  <c r="S6" i="1" s="1"/>
  <c r="K23" i="6"/>
  <c r="M23" i="6" s="1"/>
  <c r="I23" i="6" s="1"/>
  <c r="K22" i="6"/>
  <c r="M22" i="6" s="1"/>
  <c r="I22" i="6" s="1"/>
  <c r="E31" i="6"/>
  <c r="K25" i="6"/>
  <c r="M25" i="6" s="1"/>
  <c r="I25" i="6" s="1"/>
  <c r="K21" i="6"/>
  <c r="M21" i="6" s="1"/>
  <c r="I21" i="6" s="1"/>
  <c r="D30" i="6"/>
  <c r="AA10" i="40"/>
  <c r="U10" i="40"/>
  <c r="C10" i="69"/>
  <c r="C8" i="69" s="1"/>
  <c r="C5" i="69" s="1"/>
  <c r="D19" i="69"/>
  <c r="N16" i="1"/>
  <c r="L16" i="1"/>
  <c r="C34" i="11"/>
  <c r="C34" i="68"/>
  <c r="P14" i="1"/>
  <c r="P16" i="1" s="1"/>
  <c r="C11" i="12" s="1"/>
  <c r="D7" i="74"/>
  <c r="D8" i="74"/>
  <c r="A7" i="51"/>
  <c r="B7" i="72" s="1"/>
  <c r="A10" i="51"/>
  <c r="B9" i="72" s="1"/>
  <c r="C4" i="52"/>
  <c r="B45" i="72" s="1"/>
  <c r="D27" i="6"/>
  <c r="F45" i="68"/>
  <c r="C47" i="68"/>
  <c r="D45" i="68" s="1"/>
  <c r="C29" i="68"/>
  <c r="D27" i="68" s="1"/>
  <c r="C10" i="68"/>
  <c r="B29" i="1" s="1"/>
  <c r="C8" i="68" s="1"/>
  <c r="C5" i="68" s="1"/>
  <c r="D19" i="68"/>
  <c r="C47" i="11"/>
  <c r="D45" i="11" s="1"/>
  <c r="C29" i="11"/>
  <c r="D27" i="11" s="1"/>
  <c r="C28" i="11"/>
  <c r="C27" i="11" s="1"/>
  <c r="F45" i="69"/>
  <c r="C29" i="69"/>
  <c r="D27" i="69" s="1"/>
  <c r="C47" i="69"/>
  <c r="D45" i="69" s="1"/>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18" i="12"/>
  <c r="AQ6" i="1"/>
  <c r="AR6" i="1"/>
  <c r="T6" i="1"/>
  <c r="T16" i="1" s="1"/>
  <c r="S16" i="1"/>
  <c r="S22" i="6"/>
  <c r="H22" i="6"/>
  <c r="R22" i="6" s="1"/>
  <c r="M19" i="6"/>
  <c r="K27" i="6"/>
  <c r="S24" i="6"/>
  <c r="H24" i="6"/>
  <c r="R24" i="6" s="1"/>
  <c r="S25" i="6"/>
  <c r="H25" i="6"/>
  <c r="R25" i="6" s="1"/>
  <c r="D31" i="6"/>
  <c r="I5" i="6" s="1"/>
  <c r="S21" i="6"/>
  <c r="H21" i="6"/>
  <c r="R21" i="6" s="1"/>
  <c r="S23" i="6"/>
  <c r="H23" i="6"/>
  <c r="R23" i="6" s="1"/>
  <c r="S26" i="6"/>
  <c r="H26" i="6"/>
  <c r="R26" i="6" s="1"/>
  <c r="S20" i="6"/>
  <c r="H20" i="6"/>
  <c r="R20" i="6" s="1"/>
  <c r="C15" i="12"/>
  <c r="C12" i="12"/>
  <c r="C19" i="68"/>
  <c r="C24" i="68" s="1"/>
  <c r="D37" i="68"/>
  <c r="C37" i="68" s="1"/>
  <c r="I6" i="6"/>
  <c r="C38" i="11"/>
  <c r="C35" i="11"/>
  <c r="F50" i="69"/>
  <c r="F50" i="11"/>
  <c r="F50" i="68"/>
  <c r="C19" i="69"/>
  <c r="C20" i="69" s="1"/>
  <c r="D37" i="69"/>
  <c r="C37" i="69" s="1"/>
  <c r="C33" i="69" s="1"/>
  <c r="C38" i="68"/>
  <c r="C35"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24" i="69"/>
  <c r="C42" i="69"/>
  <c r="C44" i="68"/>
  <c r="D41" i="68" s="1"/>
  <c r="C23" i="68"/>
  <c r="C26" i="68"/>
  <c r="D22" i="68" s="1"/>
  <c r="C26" i="12"/>
  <c r="D25" i="12" s="1"/>
  <c r="C44" i="11"/>
  <c r="D41" i="11" s="1"/>
  <c r="C23" i="11"/>
  <c r="C24" i="11"/>
  <c r="C25" i="11"/>
  <c r="C26" i="11"/>
  <c r="D22" i="11" s="1"/>
  <c r="C38" i="67"/>
  <c r="C38" i="15"/>
  <c r="C66" i="67"/>
  <c r="C60" i="67"/>
  <c r="C23" i="67"/>
  <c r="C29" i="67" s="1"/>
  <c r="E6" i="76"/>
  <c r="B6" i="76"/>
  <c r="C16" i="12" l="1"/>
  <c r="C21" i="12" s="1"/>
  <c r="C22" i="12" s="1"/>
  <c r="C27" i="12" s="1"/>
  <c r="C25" i="12" s="1"/>
  <c r="C33" i="11"/>
  <c r="M27" i="6"/>
  <c r="I19" i="6"/>
  <c r="C28" i="69"/>
  <c r="C27" i="69" s="1"/>
  <c r="C25" i="69"/>
  <c r="C22" i="69" s="1"/>
  <c r="C39" i="69"/>
  <c r="C43" i="69" s="1"/>
  <c r="C41" i="69" s="1"/>
  <c r="C20" i="68"/>
  <c r="C25" i="68" s="1"/>
  <c r="C33"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31" i="69" l="1"/>
  <c r="C39" i="11"/>
  <c r="C42" i="11"/>
  <c r="S19" i="6"/>
  <c r="S27" i="6" s="1"/>
  <c r="H19" i="6"/>
  <c r="I27" i="6"/>
  <c r="C30" i="12"/>
  <c r="C28" i="12" s="1"/>
  <c r="C32" i="12" s="1"/>
  <c r="B2" i="12" s="1"/>
  <c r="B3" i="12" s="1"/>
  <c r="C28" i="68"/>
  <c r="C27" i="68" s="1"/>
  <c r="C31" i="68" s="1"/>
  <c r="C46" i="69"/>
  <c r="C45" i="69" s="1"/>
  <c r="C49" i="69" s="1"/>
  <c r="C51" i="69" s="1"/>
  <c r="C52" i="69" s="1"/>
  <c r="B2" i="69" s="1"/>
  <c r="B3" i="69" s="1"/>
  <c r="C39" i="68"/>
  <c r="C42" i="68"/>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6" i="11" l="1"/>
  <c r="C45" i="11" s="1"/>
  <c r="C43" i="11"/>
  <c r="C41" i="11" s="1"/>
  <c r="H27" i="6"/>
  <c r="R19" i="6"/>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57" i="69"/>
  <c r="C56" i="69" s="1"/>
  <c r="C49" i="68" l="1"/>
  <c r="C51" i="68" s="1"/>
  <c r="C52" i="68" s="1"/>
  <c r="B2" i="68" s="1"/>
  <c r="C49" i="11"/>
  <c r="C51" i="11" s="1"/>
  <c r="C52" i="11" s="1"/>
  <c r="B2" i="11" s="1"/>
  <c r="B3" i="11"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C19" i="9"/>
  <c r="F35" i="15"/>
  <c r="C102" i="9" l="1"/>
  <c r="C21" i="9"/>
  <c r="B3" i="68"/>
  <c r="F63" i="15"/>
  <c r="C62" i="15" s="1"/>
  <c r="C59" i="15" s="1"/>
  <c r="C58" i="15" s="1"/>
  <c r="C67" i="15" s="1"/>
  <c r="C68" i="15" s="1"/>
  <c r="C34" i="15"/>
  <c r="C31" i="15" s="1"/>
  <c r="C30" i="15" s="1"/>
  <c r="C39" i="15" s="1"/>
  <c r="J20" i="15"/>
  <c r="J17" i="15" s="1"/>
  <c r="J16" i="15" s="1"/>
  <c r="J25" i="15" s="1"/>
  <c r="R16" i="1"/>
  <c r="C56" i="11"/>
  <c r="C57" i="11" s="1"/>
  <c r="C57" i="68"/>
  <c r="C56"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D34" i="9"/>
  <c r="L51" i="15"/>
  <c r="C20" i="9"/>
  <c r="D35" i="9"/>
  <c r="C103" i="9" l="1"/>
  <c r="L57" i="15"/>
  <c r="L60" i="15" s="1"/>
  <c r="Q67" i="15"/>
  <c r="C80" i="15"/>
  <c r="C79" i="15" s="1"/>
  <c r="Q69" i="15"/>
  <c r="Q68" i="15" s="1"/>
  <c r="C40" i="15"/>
  <c r="C46" i="15" s="1"/>
  <c r="C71" i="15"/>
  <c r="M69" i="39"/>
  <c r="N67" i="39"/>
  <c r="R39" i="35"/>
  <c r="E38" i="35"/>
  <c r="M63" i="40"/>
  <c r="L65" i="40"/>
  <c r="Q56" i="15" l="1"/>
  <c r="C43" i="15"/>
  <c r="C83" i="15"/>
  <c r="C82" i="15" s="1"/>
  <c r="Q65" i="15"/>
  <c r="Q47" i="15"/>
  <c r="Q53" i="15" s="1"/>
  <c r="L46" i="15"/>
  <c r="B2" i="15" s="1"/>
  <c r="Q57" i="15"/>
  <c r="Q62" i="15" s="1"/>
  <c r="Q66" i="15"/>
  <c r="Q75" i="15" s="1"/>
  <c r="O67" i="39"/>
  <c r="O69" i="39" s="1"/>
  <c r="N69" i="39"/>
  <c r="F7" i="39"/>
  <c r="C39" i="35"/>
  <c r="B2" i="35" s="1"/>
  <c r="B3" i="35" s="1"/>
  <c r="C38" i="35"/>
  <c r="N63" i="40"/>
  <c r="M65" i="40"/>
  <c r="E43" i="35"/>
  <c r="F43" i="35" s="1"/>
  <c r="E42" i="35"/>
  <c r="F42" i="35" s="1"/>
  <c r="I43" i="35"/>
  <c r="J43" i="35" s="1"/>
  <c r="AO6" i="1"/>
  <c r="D19" i="9"/>
  <c r="D22" i="9" l="1"/>
  <c r="D102" i="9"/>
  <c r="G19" i="9"/>
  <c r="G21" i="9" s="1"/>
  <c r="D21" i="9"/>
  <c r="B6" i="70"/>
  <c r="B2" i="70" s="1"/>
  <c r="B3" i="70" s="1"/>
  <c r="B3" i="15"/>
  <c r="H7" i="39"/>
  <c r="J7" i="39"/>
  <c r="S7" i="39"/>
  <c r="AA7" i="39"/>
  <c r="R47" i="39" s="1"/>
  <c r="O63" i="40"/>
  <c r="O65" i="40" s="1"/>
  <c r="N65" i="40"/>
  <c r="D20" i="9"/>
  <c r="G20" i="9" l="1"/>
  <c r="C32" i="9" s="1"/>
  <c r="D103" i="9"/>
  <c r="W7" i="39"/>
  <c r="AC7" i="39"/>
  <c r="V47" i="39" s="1"/>
  <c r="I47" i="39" s="1"/>
  <c r="E47" i="39"/>
  <c r="R48" i="39"/>
  <c r="U7" i="39"/>
  <c r="AB7" i="39"/>
  <c r="T47" i="39" s="1"/>
  <c r="G47" i="39" s="1"/>
  <c r="J7" i="40"/>
  <c r="F7" i="40"/>
  <c r="H7" i="40"/>
  <c r="C35" i="9" l="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4" i="52" s="1"/>
  <c r="B47" i="72" s="1"/>
  <c r="H118" i="9"/>
  <c r="I118" i="9" s="1"/>
  <c r="D119" i="9" l="1"/>
  <c r="D5" i="52" s="1"/>
  <c r="B49" i="72" s="1"/>
  <c r="H101" i="9"/>
  <c r="M48" i="9" s="1"/>
  <c r="C105" i="9"/>
  <c r="I4" i="52"/>
  <c r="H102" i="9"/>
  <c r="D7" i="53" s="1"/>
  <c r="B21" i="72" s="1"/>
  <c r="H107" i="9"/>
  <c r="C104" i="9"/>
  <c r="H4" i="52"/>
  <c r="D14" i="74"/>
  <c r="H119" i="9"/>
  <c r="H5" i="52" s="1"/>
  <c r="F4" i="52"/>
  <c r="B51" i="72" s="1"/>
  <c r="G118" i="9"/>
  <c r="G4" i="52" s="1"/>
  <c r="B52" i="72" s="1"/>
  <c r="D45" i="9" l="1"/>
  <c r="C93" i="9" s="1"/>
  <c r="C86" i="9" s="1"/>
  <c r="D5" i="53"/>
  <c r="D6" i="53" s="1"/>
  <c r="B22" i="72" s="1"/>
  <c r="F14" i="74"/>
  <c r="B5" i="74"/>
  <c r="E14" i="74"/>
  <c r="B20" i="72"/>
  <c r="E118" i="9"/>
  <c r="E4" i="52" s="1"/>
  <c r="B48" i="72" s="1"/>
  <c r="D122" i="9"/>
  <c r="D13" i="53"/>
  <c r="H108" i="9"/>
  <c r="D15" i="53" s="1"/>
  <c r="B31" i="72" s="1"/>
  <c r="M49" i="9"/>
  <c r="D52" i="9" l="1"/>
  <c r="D55" i="9"/>
  <c r="M53" i="9" s="1"/>
  <c r="C72" i="9"/>
  <c r="D53" i="9"/>
  <c r="C85" i="9"/>
  <c r="C95" i="9" s="1"/>
  <c r="C96" i="9" s="1"/>
  <c r="C78" i="9"/>
  <c r="C73" i="9" s="1"/>
  <c r="C64" i="9"/>
  <c r="C63" i="9" s="1"/>
  <c r="C67" i="9" s="1"/>
  <c r="D59" i="9" s="1"/>
  <c r="M55" i="9" s="1"/>
  <c r="D8" i="52"/>
  <c r="D123" i="9"/>
  <c r="D9" i="52" s="1"/>
  <c r="G14" i="74"/>
  <c r="B6" i="74" s="1"/>
  <c r="L64" i="9"/>
  <c r="M64" i="9" s="1"/>
  <c r="L66" i="9"/>
  <c r="M66" i="9" s="1"/>
  <c r="L65" i="9"/>
  <c r="M65" i="9" s="1"/>
  <c r="L68" i="9"/>
  <c r="M68" i="9" s="1"/>
  <c r="L67" i="9"/>
  <c r="M67" i="9" s="1"/>
  <c r="L63" i="9"/>
  <c r="M63" i="9" s="1"/>
  <c r="D14" i="53"/>
  <c r="B32" i="72" s="1"/>
  <c r="B30" i="72"/>
  <c r="C68" i="9"/>
  <c r="D54" i="9" s="1"/>
  <c r="D5" i="74"/>
  <c r="C5" i="74"/>
  <c r="E96" i="9" l="1"/>
  <c r="E97" i="9" s="1"/>
  <c r="C97" i="9"/>
  <c r="D58" i="9" s="1"/>
  <c r="D56" i="9" s="1"/>
  <c r="M54" i="9" s="1"/>
  <c r="N57" i="9" s="1"/>
  <c r="P57" i="9" s="1"/>
  <c r="C79" i="9"/>
  <c r="C80" i="9" s="1"/>
  <c r="E80" i="9" s="1"/>
  <c r="E81" i="9" s="1"/>
  <c r="M69" i="9"/>
  <c r="N69" i="9" s="1"/>
  <c r="C6" i="74"/>
  <c r="D6" i="74"/>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<sst xmlns="http://schemas.openxmlformats.org/spreadsheetml/2006/main" count="7425" uniqueCount="3205">
  <si>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</si>
  <si>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</si>
  <si>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</si>
  <si>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</si>
  <si>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</si>
  <si>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</si>
  <si>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</si>
  <si>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</si>
  <si>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</si>
  <si>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</si>
  <si>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</si>
  <si>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</si>
  <si>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</si>
  <si>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</si>
  <si>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</si>
  <si>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</si>
  <si>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</si>
  <si>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</si>
  <si>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</si>
  <si>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</si>
  <si>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</si>
  <si>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</si>
  <si>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</si>
  <si>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</si>
  <si>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</si>
  <si>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</si>
  <si>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</si>
  <si>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</si>
  <si>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</si>
  <si>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</si>
  <si>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</si>
  <si>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</si>
  <si>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</si>
  <si>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</si>
  <si>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</si>
  <si>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</si>
  <si>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</si>
  <si>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</si>
  <si>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</si>
  <si>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</si>
  <si>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</si>
  <si>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</si>
  <si>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</si>
  <si>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</si>
  <si>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</si>
  <si>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</si>
  <si>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</si>
  <si>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</si>
  <si>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</si>
  <si>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</si>
  <si>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</si>
  <si>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</si>
  <si>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</si>
  <si>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</si>
  <si>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</si>
  <si>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</si>
  <si>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</si>
  <si>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</si>
  <si>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</si>
  <si>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</si>
  <si>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</si>
  <si>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</si>
  <si>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</si>
  <si>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</si>
  <si>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</si>
  <si>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</si>
  <si>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</si>
  <si>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</si>
  <si>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</si>
  <si>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</si>
  <si>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</si>
  <si>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</si>
  <si>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</si>
  <si>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</si>
  <si>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</si>
  <si>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</si>
  <si>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</si>
  <si>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</si>
  <si>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</si>
  <si>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</si>
  <si>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</si>
  <si>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</si>
  <si>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</si>
  <si>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</si>
  <si>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</si>
  <si>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</si>
  <si>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</si>
  <si>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</si>
  <si>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</si>
  <si>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</si>
  <si>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</si>
  <si>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</si>
  <si>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</si>
  <si>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</si>
  <si>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</si>
  <si>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</si>
  <si>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</si>
  <si>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</si>
  <si>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</si>
  <si>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</si>
  <si>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</si>
  <si>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</si>
  <si>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</si>
  <si>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</si>
  <si>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</si>
  <si>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</si>
  <si>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</si>
  <si>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</si>
  <si>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</si>
  <si>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</si>
  <si>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</si>
  <si>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</si>
  <si>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</si>
  <si>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</si>
  <si>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</si>
  <si>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</si>
  <si>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</si>
  <si>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</si>
  <si>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</si>
  <si>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</si>
  <si>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</si>
  <si>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</si>
  <si>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</si>
  <si>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</si>
  <si>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</si>
  <si>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</si>
  <si>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</si>
  <si>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</si>
  <si>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</si>
  <si>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</si>
  <si>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</si>
  <si>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</si>
  <si>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</si>
  <si>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</si>
  <si>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</si>
  <si>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</si>
  <si>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</si>
  <si>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</si>
  <si>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</si>
  <si>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</si>
  <si>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</si>
  <si>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</si>
  <si>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</si>
  <si>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</si>
  <si>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</si>
  <si>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</si>
  <si>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</si>
  <si>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</si>
  <si>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</si>
  <si>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</si>
  <si>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</si>
  <si>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</si>
  <si>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</si>
  <si>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</si>
  <si>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</si>
  <si>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</si>
  <si>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</si>
  <si>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</si>
  <si>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</si>
  <si>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</si>
  <si>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</si>
  <si>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</si>
  <si>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</si>
  <si>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</si>
  <si>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</si>
  <si>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</si>
  <si>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</si>
  <si>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</si>
  <si>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</si>
  <si>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</si>
  <si>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</si>
  <si>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</si>
  <si>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</si>
  <si>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</si>
  <si>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</si>
  <si>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</si>
  <si>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</si>
  <si>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</si>
  <si>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</si>
  <si>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</si>
  <si>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</si>
  <si>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</si>
  <si>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</si>
  <si>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</si>
  <si>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</si>
  <si>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</si>
  <si>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</si>
  <si>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</si>
  <si>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</si>
  <si>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</si>
  <si>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</si>
  <si>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</si>
  <si>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</si>
  <si>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</si>
  <si>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</si>
  <si>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</si>
  <si>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</si>
  <si>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</si>
  <si>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</si>
  <si>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</si>
  <si>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</si>
  <si>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</si>
  <si>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</si>
  <si>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</si>
  <si>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</si>
  <si>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</si>
  <si>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</si>
  <si>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</si>
  <si>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</si>
  <si>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</si>
  <si>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</si>
  <si>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</si>
  <si>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</si>
  <si>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</si>
  <si>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</si>
  <si>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</si>
  <si>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</si>
  <si>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</si>
  <si>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</si>
  <si>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</si>
  <si>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</si>
  <si>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</si>
  <si>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</si>
  <si>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</si>
  <si>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</si>
  <si>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</si>
  <si>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</si>
  <si>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</si>
  <si>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</si>
  <si>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</si>
  <si>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</si>
  <si>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</si>
  <si>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</si>
  <si>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</si>
  <si>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</si>
  <si>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</si>
  <si>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</si>
  <si>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</si>
  <si>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</si>
  <si>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</si>
  <si>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</si>
  <si>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</si>
  <si>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</si>
  <si>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</si>
  <si>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</si>
  <si>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</si>
  <si>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</si>
  <si>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</si>
  <si>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</si>
  <si>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</si>
  <si>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</si>
  <si>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</si>
  <si>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</si>
  <si>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</si>
  <si>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</si>
  <si>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</si>
  <si>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</si>
  <si>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</si>
  <si>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</si>
  <si>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</si>
  <si>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</si>
  <si>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</si>
  <si>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</si>
  <si>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</si>
  <si>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</si>
  <si>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</si>
  <si>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</si>
  <si>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</si>
  <si>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</si>
  <si>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</si>
  <si>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</si>
  <si>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</si>
  <si>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</si>
  <si>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</si>
  <si>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</si>
  <si>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</si>
  <si>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</si>
  <si>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</si>
  <si>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</si>
  <si>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</si>
  <si>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</si>
  <si>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</si>
  <si>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</si>
  <si>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</si>
  <si>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</si>
  <si>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</si>
  <si>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</si>
  <si>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</si>
  <si>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</si>
  <si>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</si>
  <si>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</si>
  <si>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</si>
  <si>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</si>
  <si>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</si>
  <si>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</si>
  <si>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</si>
  <si>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</si>
  <si>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</si>
  <si>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</si>
  <si>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</si>
  <si>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</si>
  <si>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</si>
  <si>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</si>
  <si>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</si>
  <si>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</si>
  <si>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</si>
  <si>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</si>
  <si>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</si>
  <si>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</si>
  <si>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</si>
  <si>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</si>
  <si>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</si>
  <si>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</si>
  <si>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</si>
  <si>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</si>
  <si>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</si>
  <si>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</si>
  <si>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</si>
  <si>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</si>
  <si>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</si>
  <si>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</si>
  <si>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</si>
  <si>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</si>
  <si>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</si>
  <si>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</si>
  <si>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</si>
  <si>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</si>
  <si>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</si>
  <si>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</si>
  <si>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</si>
  <si>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</si>
  <si>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</si>
  <si>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</si>
  <si>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</si>
  <si>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</si>
  <si>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</si>
  <si>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</si>
  <si>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</si>
  <si>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</si>
  <si>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</si>
  <si>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</si>
  <si>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</si>
  <si>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</si>
  <si>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</si>
  <si>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</si>
  <si>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</si>
  <si>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</si>
  <si>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</si>
  <si>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</si>
  <si>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</si>
  <si>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</si>
  <si>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</si>
  <si>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</si>
  <si>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</si>
  <si>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</si>
  <si>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</si>
  <si>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</si>
  <si>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</si>
  <si>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</si>
  <si>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</si>
  <si>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</si>
  <si>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</si>
  <si>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</si>
  <si>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</si>
  <si>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</si>
  <si>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</si>
  <si>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</si>
  <si>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</si>
  <si>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</si>
  <si>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</si>
  <si>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</si>
  <si>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</si>
  <si>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</si>
  <si>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</si>
  <si>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</si>
  <si>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</si>
  <si>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</si>
  <si>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</si>
  <si>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</si>
  <si>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</si>
  <si>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</si>
  <si>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</si>
  <si>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</si>
  <si>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</si>
  <si>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</si>
  <si>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</si>
  <si>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</si>
  <si>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</si>
  <si>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</si>
  <si>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</si>
  <si>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</si>
  <si>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</si>
  <si>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</si>
  <si>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</si>
  <si>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</si>
  <si>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</si>
  <si>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</si>
  <si>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</si>
  <si>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</si>
  <si>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</si>
  <si>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</si>
  <si>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</si>
  <si>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</si>
  <si>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</si>
  <si>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</si>
  <si>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</si>
  <si>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</si>
  <si>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</si>
  <si>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</si>
  <si>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</si>
  <si>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</si>
  <si>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</si>
  <si>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</si>
  <si>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</si>
  <si>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</si>
  <si>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</si>
  <si>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</si>
  <si>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</si>
  <si>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</si>
  <si>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</si>
  <si>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</si>
  <si>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</si>
  <si>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</si>
  <si>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</si>
  <si>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</si>
  <si>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</si>
  <si>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</si>
  <si>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</si>
  <si>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</si>
  <si>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</si>
  <si>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</si>
  <si>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</si>
  <si>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</si>
  <si>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</si>
  <si>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</si>
  <si>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</si>
  <si>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</si>
  <si>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</si>
  <si>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</si>
  <si>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</si>
  <si>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</si>
  <si>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</si>
  <si>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</si>
  <si>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</si>
  <si>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</si>
  <si>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</si>
  <si>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</si>
  <si>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</si>
  <si>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</si>
  <si>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</si>
  <si>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</si>
  <si>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</si>
  <si>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</si>
  <si>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</si>
  <si>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</si>
  <si>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</si>
  <si>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</si>
  <si>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</si>
  <si>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</si>
  <si>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</si>
  <si>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</si>
  <si>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</si>
  <si>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</si>
  <si>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</si>
  <si>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</si>
  <si>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</si>
  <si>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</si>
  <si>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</si>
  <si>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</si>
  <si>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</si>
  <si>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</si>
  <si>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</si>
  <si>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</si>
  <si>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</si>
  <si>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</si>
  <si>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</si>
  <si>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</si>
  <si>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</si>
  <si>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</si>
  <si>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</si>
  <si>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</si>
  <si>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</si>
  <si>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</si>
  <si>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</si>
  <si>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</si>
  <si>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</si>
  <si>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</si>
  <si>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</si>
  <si>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</si>
  <si>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</si>
  <si>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</si>
  <si>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</si>
  <si>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</si>
  <si>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</si>
  <si>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</si>
  <si>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</si>
  <si>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</si>
  <si>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</si>
  <si>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</si>
  <si>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</si>
  <si>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</si>
  <si>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</si>
  <si>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</si>
  <si>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</si>
  <si>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</si>
  <si>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</si>
  <si>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</si>
  <si>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</si>
  <si>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</si>
  <si>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</si>
  <si>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</si>
  <si>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</si>
  <si>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</si>
  <si>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</si>
  <si>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</si>
  <si>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</si>
  <si>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</si>
  <si>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</si>
  <si>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</si>
  <si>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</si>
  <si>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</si>
  <si>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</si>
  <si>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</si>
  <si>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</si>
  <si>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</si>
  <si>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</si>
  <si>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</si>
  <si>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</si>
  <si>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</si>
  <si>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</si>
  <si>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</si>
  <si>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</si>
  <si>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</si>
  <si>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</si>
  <si>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</si>
  <si>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</si>
  <si>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</si>
  <si>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</si>
  <si>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</si>
  <si>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</si>
  <si>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</si>
  <si>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</si>
  <si>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</si>
  <si>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</si>
  <si>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</si>
  <si>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</si>
  <si>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</si>
  <si>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</si>
  <si>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</si>
  <si>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</si>
  <si>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</si>
  <si>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</si>
  <si>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</si>
  <si>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</si>
  <si>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</si>
  <si>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</si>
  <si>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</si>
  <si>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</si>
  <si>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</si>
  <si>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</si>
  <si>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</si>
  <si>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</si>
  <si>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</si>
  <si>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</si>
  <si>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</si>
  <si>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</si>
  <si>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</si>
  <si>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</si>
  <si>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</si>
  <si>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</si>
  <si>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</si>
  <si>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</si>
  <si>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</si>
  <si>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</si>
  <si>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</si>
  <si>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</si>
  <si>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</si>
  <si>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</si>
  <si>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</si>
  <si>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</si>
  <si>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</si>
  <si>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</si>
  <si>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</si>
  <si>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</si>
  <si>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</si>
  <si>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</si>
  <si>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</si>
  <si>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</si>
  <si>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</si>
  <si>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</si>
  <si>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</si>
  <si>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</si>
  <si>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</si>
  <si>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</si>
  <si>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</si>
  <si>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</si>
  <si>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</si>
  <si>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</si>
  <si>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</si>
  <si>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</si>
  <si>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</si>
  <si>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</si>
  <si>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</si>
  <si>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</si>
  <si>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</si>
  <si>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</si>
  <si>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</si>
  <si>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</si>
  <si>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</si>
  <si>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</si>
  <si>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</si>
  <si>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</si>
  <si>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</si>
  <si>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</si>
  <si>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</si>
  <si>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</si>
  <si>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</si>
  <si>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</si>
  <si>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</si>
  <si>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</si>
  <si>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</si>
  <si>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</si>
  <si>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</si>
  <si>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</si>
  <si>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</si>
  <si>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</si>
  <si>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</si>
  <si>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</si>
  <si>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</si>
  <si>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</si>
  <si>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</si>
  <si>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</si>
  <si>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</si>
  <si>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</si>
  <si>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</si>
  <si>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</si>
  <si>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</si>
  <si>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</si>
  <si>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</si>
  <si>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</si>
  <si>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</si>
  <si>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</si>
  <si>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</si>
  <si>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</si>
  <si>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</si>
  <si>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</si>
  <si>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</si>
  <si>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</si>
  <si>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</si>
  <si>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</si>
  <si>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</si>
  <si>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</si>
  <si>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</si>
  <si>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</si>
  <si>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</si>
  <si>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</si>
  <si>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</si>
  <si>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</si>
  <si>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</si>
  <si>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</si>
  <si>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</si>
  <si>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</si>
  <si>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</si>
  <si>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</si>
  <si>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</si>
  <si>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</si>
  <si>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</si>
  <si>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</si>
  <si>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</si>
  <si>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</si>
  <si>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</si>
  <si>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</si>
  <si>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</si>
  <si>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</si>
  <si>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</si>
  <si>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</si>
  <si>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</si>
  <si>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</si>
  <si>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</si>
  <si>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</si>
  <si>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</si>
  <si>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</si>
  <si>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</si>
  <si>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</si>
  <si>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</si>
  <si>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</si>
  <si>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</si>
  <si>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</si>
  <si>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</si>
  <si>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</si>
  <si>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</si>
  <si>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</si>
  <si>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</si>
  <si>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</si>
  <si>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</si>
  <si>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</si>
  <si>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</si>
  <si>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</si>
  <si>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</si>
  <si>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</si>
  <si>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</si>
  <si>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</si>
  <si>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</si>
  <si>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</si>
  <si>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</si>
  <si>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</si>
  <si>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</si>
  <si>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</si>
  <si>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</si>
  <si>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</si>
  <si>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</si>
  <si>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</si>
  <si>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</si>
  <si>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</si>
  <si>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</si>
  <si>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</si>
  <si>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</si>
  <si>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</si>
  <si>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</si>
  <si>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</si>
  <si>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</si>
  <si>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</si>
  <si>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</si>
  <si>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</si>
  <si>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</si>
  <si>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</si>
  <si>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</si>
  <si>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</si>
  <si>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</si>
  <si>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</si>
  <si>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</si>
  <si>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</si>
  <si>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</si>
  <si>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</si>
  <si>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</si>
  <si>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</si>
  <si>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</si>
  <si>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</si>
  <si>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</si>
  <si>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</si>
  <si>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</si>
  <si>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</si>
  <si>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</si>
  <si>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</si>
  <si>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</si>
  <si>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</si>
  <si>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</si>
  <si>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</si>
  <si>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</si>
  <si>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</si>
  <si>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</si>
  <si>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</si>
  <si>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</si>
  <si>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</si>
  <si>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</si>
  <si>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</si>
  <si>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</si>
  <si>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</si>
  <si>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</si>
  <si>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</si>
  <si>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</si>
  <si>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</si>
  <si>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</si>
  <si>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</si>
  <si>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</si>
  <si>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</si>
  <si>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</si>
  <si>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</si>
  <si>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</si>
  <si>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</si>
  <si>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</si>
  <si>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</si>
  <si>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</si>
  <si>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</si>
  <si>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</si>
  <si>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</si>
  <si>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</si>
  <si>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</si>
  <si>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</si>
  <si>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</si>
  <si>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</si>
  <si>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</si>
  <si>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</si>
  <si>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</si>
  <si>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</si>
  <si>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</si>
  <si>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</si>
  <si>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</si>
  <si>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</si>
  <si>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</si>
  <si>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</si>
  <si>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</si>
  <si>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</si>
  <si>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</si>
  <si>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</si>
  <si>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</si>
  <si>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</si>
  <si>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</si>
  <si>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</si>
  <si>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</si>
  <si>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</si>
  <si>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</si>
  <si>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</si>
  <si>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</si>
  <si>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</si>
  <si>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</si>
  <si>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</si>
  <si>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</si>
  <si>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</si>
  <si>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</si>
  <si>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</si>
  <si>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</si>
  <si>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</si>
  <si>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</si>
  <si>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</si>
  <si>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</si>
  <si>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</si>
  <si>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</si>
  <si>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</si>
  <si>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</si>
  <si>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</si>
  <si>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</si>
  <si>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</si>
  <si>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</si>
  <si>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</si>
  <si>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</si>
  <si>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</si>
  <si>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</si>
  <si>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</si>
  <si>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</si>
  <si>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</si>
  <si>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</si>
  <si>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</si>
  <si>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</si>
  <si>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</si>
  <si>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</si>
  <si>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</si>
  <si>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</si>
  <si>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</si>
  <si>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</si>
  <si>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</si>
  <si>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</si>
  <si>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</si>
  <si>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</si>
  <si>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</si>
  <si>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</si>
  <si>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</si>
  <si>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</si>
  <si>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</si>
  <si>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</si>
  <si>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</si>
  <si>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</si>
  <si>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</si>
  <si>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</si>
  <si>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</si>
  <si>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</si>
  <si>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</si>
  <si>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</si>
  <si>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</si>
  <si>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</si>
  <si>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</si>
  <si>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</si>
  <si>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</si>
  <si>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</si>
  <si>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</si>
  <si>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</si>
  <si>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</si>
  <si>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</si>
  <si>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</si>
  <si>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</si>
  <si>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</si>
  <si>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</si>
  <si>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</si>
  <si>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</si>
  <si>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</si>
  <si>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</si>
  <si>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</si>
  <si>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</si>
  <si>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</si>
  <si>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</si>
  <si>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</si>
  <si>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</si>
  <si>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</si>
  <si>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</si>
  <si>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</si>
  <si>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</si>
  <si>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</si>
  <si>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</si>
  <si>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</si>
  <si>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</si>
  <si>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</si>
  <si>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</si>
  <si>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</si>
  <si>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</si>
  <si>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</si>
  <si>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</si>
  <si>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</si>
  <si>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</si>
  <si>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</si>
  <si>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</si>
  <si>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</si>
  <si>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</si>
  <si>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</si>
  <si>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</si>
  <si>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</si>
  <si>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</si>
  <si>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</si>
  <si>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</si>
  <si>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</si>
  <si>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</si>
  <si>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</si>
  <si>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</si>
  <si>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</si>
  <si>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</si>
  <si>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</si>
  <si>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</si>
  <si>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</si>
  <si>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</si>
  <si>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</si>
  <si>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</si>
  <si>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</si>
  <si>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</si>
  <si>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</si>
  <si>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</si>
  <si>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</si>
  <si>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</si>
  <si>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</si>
  <si>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</si>
  <si>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</si>
  <si>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</si>
  <si>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</si>
  <si>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</si>
  <si>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</si>
  <si>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</si>
  <si>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</si>
  <si>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</si>
  <si>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</si>
  <si>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</si>
  <si>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</si>
  <si>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</si>
  <si>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</si>
  <si>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</si>
  <si>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</si>
  <si>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</si>
  <si>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</si>
  <si>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</si>
  <si>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</si>
  <si>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</si>
  <si>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</si>
  <si>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</si>
  <si>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</si>
  <si>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</si>
  <si>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</si>
  <si>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</si>
  <si>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</si>
  <si>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</si>
  <si>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</si>
  <si>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</si>
  <si>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</si>
  <si>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</si>
  <si>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</si>
  <si>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</si>
  <si>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</si>
  <si>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</si>
  <si>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</si>
  <si>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</si>
  <si>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</si>
  <si>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</si>
  <si>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</si>
  <si>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</si>
  <si>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</si>
  <si>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</si>
  <si>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</si>
  <si>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</si>
  <si>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</si>
  <si>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</si>
  <si>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</si>
  <si>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</si>
  <si>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</si>
  <si>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</si>
  <si>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</si>
  <si>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</si>
  <si>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</si>
  <si>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</si>
  <si>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</si>
  <si>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</si>
  <si>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</si>
  <si>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</si>
  <si>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</si>
  <si>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</si>
  <si>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</si>
  <si>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</si>
  <si>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</si>
  <si>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</si>
  <si>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</si>
  <si>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</si>
  <si>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</si>
  <si>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</si>
  <si>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</si>
  <si>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</si>
  <si>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</si>
  <si>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</si>
  <si>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</si>
  <si>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</si>
  <si>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</si>
  <si>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</si>
  <si>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</si>
  <si>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</si>
  <si>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</si>
  <si>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</si>
  <si>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</si>
  <si>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</si>
  <si>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</si>
  <si>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</si>
  <si>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</si>
  <si>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</si>
  <si>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</si>
  <si>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</si>
  <si>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</si>
  <si>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</si>
  <si>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</si>
  <si>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</si>
  <si>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</si>
  <si>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</si>
  <si>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</si>
  <si>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</si>
  <si>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</si>
  <si>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</si>
  <si>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</si>
  <si>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</si>
  <si>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</si>
  <si>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</si>
  <si>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</si>
  <si>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</si>
  <si>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</si>
  <si>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</si>
  <si>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</si>
  <si>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</si>
  <si>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</si>
  <si>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</si>
  <si>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</si>
  <si>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</si>
  <si>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</si>
  <si>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</si>
  <si>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</si>
  <si>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</si>
  <si>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</si>
  <si>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</si>
  <si>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</si>
  <si>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</si>
  <si>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</si>
  <si>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</si>
  <si>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</si>
  <si>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</si>
  <si>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</si>
  <si>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</si>
  <si>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</si>
  <si>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</si>
  <si>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</si>
  <si>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</si>
  <si>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</si>
  <si>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</si>
  <si>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</si>
  <si>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</si>
  <si>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</si>
  <si>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</si>
  <si>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</si>
  <si>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</si>
  <si>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</si>
  <si>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</si>
  <si>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</si>
  <si>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</si>
  <si>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</si>
  <si>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</si>
  <si>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</si>
  <si>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</si>
  <si>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</si>
  <si>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</si>
  <si>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</si>
  <si>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</si>
  <si>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</si>
  <si>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</si>
  <si>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</si>
  <si>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</si>
  <si>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</si>
  <si>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</si>
  <si>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</si>
  <si>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</si>
  <si>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</si>
  <si>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</si>
  <si>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</si>
  <si>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</si>
  <si>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</si>
  <si>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</si>
  <si>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</si>
  <si>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</si>
  <si>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</si>
  <si>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</si>
  <si>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</si>
  <si>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</si>
  <si>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</si>
  <si>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</si>
  <si>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</si>
  <si>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</si>
  <si>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</si>
  <si>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</si>
  <si>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</si>
  <si>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</si>
  <si>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</si>
  <si>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</si>
  <si>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</si>
  <si>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</si>
  <si>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</si>
  <si>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</si>
  <si>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</si>
  <si>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</si>
  <si>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</si>
  <si>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</si>
  <si>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</si>
  <si>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</si>
  <si>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</si>
  <si>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</si>
  <si>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</si>
  <si>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</si>
  <si>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</si>
  <si>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</si>
  <si>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</si>
  <si>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</si>
  <si>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</si>
  <si>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</si>
  <si>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</si>
  <si>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</si>
  <si>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</si>
  <si>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</si>
  <si>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</si>
  <si>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</si>
  <si>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</si>
  <si>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</si>
  <si>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</si>
  <si>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</si>
  <si>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</si>
  <si>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</si>
  <si>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</si>
  <si>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</si>
  <si>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</si>
  <si>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</si>
  <si>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</si>
  <si>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</si>
  <si>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</si>
  <si>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</si>
  <si>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</si>
  <si>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</si>
  <si>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</si>
  <si>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</si>
  <si>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</si>
  <si>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</si>
  <si>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</si>
  <si>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</si>
  <si>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</si>
  <si>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</si>
  <si>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</si>
  <si>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</si>
  <si>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</si>
  <si>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</si>
  <si>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</si>
  <si>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</si>
  <si>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</si>
  <si>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</si>
  <si>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</si>
  <si>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</si>
  <si>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</si>
  <si>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</si>
  <si>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</si>
  <si>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</si>
  <si>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</si>
  <si>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</si>
  <si>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</si>
  <si>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</si>
  <si>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</si>
  <si>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</si>
  <si>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</si>
  <si>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</si>
  <si>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</si>
  <si>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</si>
  <si>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</si>
  <si>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</si>
  <si>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</si>
  <si>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</si>
  <si>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</si>
  <si>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</si>
  <si>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</si>
  <si>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</si>
  <si>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</si>
  <si>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</si>
  <si>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</si>
  <si>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</si>
  <si>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</si>
  <si>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</si>
  <si>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</si>
  <si>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</si>
  <si>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</si>
  <si>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</si>
  <si>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</si>
  <si>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</si>
  <si>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</si>
  <si>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</si>
  <si>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</si>
  <si>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</si>
  <si>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</si>
  <si>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</si>
  <si>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</si>
  <si>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</si>
  <si>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</si>
  <si>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</si>
  <si>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</si>
  <si>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</si>
  <si>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</si>
  <si>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</si>
  <si>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</si>
  <si>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</si>
  <si>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</si>
  <si>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</si>
  <si>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</si>
  <si>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</si>
  <si>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</si>
  <si>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</si>
  <si>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</si>
  <si>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</si>
  <si>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</si>
  <si>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</si>
  <si>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</si>
  <si>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</si>
  <si>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</si>
  <si>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</si>
  <si>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</si>
  <si>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</si>
  <si>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</si>
  <si>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</si>
  <si>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</si>
  <si>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</si>
  <si>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</si>
  <si>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</si>
  <si>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</si>
  <si>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</si>
  <si>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</si>
  <si>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</si>
  <si>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</si>
  <si>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</si>
  <si>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</si>
  <si>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</si>
  <si>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</si>
  <si>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</si>
  <si>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</si>
  <si>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</si>
  <si>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</si>
  <si>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</si>
  <si>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</si>
  <si>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</si>
  <si>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</si>
  <si>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</si>
  <si>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</si>
  <si>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</si>
  <si>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</si>
  <si>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</si>
  <si>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</si>
  <si>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</si>
  <si>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</si>
  <si>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</si>
  <si>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</si>
  <si>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</si>
  <si>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</si>
  <si>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</si>
  <si>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</si>
  <si>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</si>
  <si>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</si>
  <si>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</si>
  <si>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</si>
  <si>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</si>
  <si>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</si>
  <si>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</si>
  <si>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</si>
  <si>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</si>
  <si>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</si>
  <si>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</si>
  <si>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</si>
  <si>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</si>
  <si>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</si>
  <si>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</si>
  <si>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</si>
  <si>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</si>
  <si>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</si>
  <si>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</si>
  <si>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</si>
  <si>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</si>
  <si>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</si>
  <si>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</si>
  <si>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</si>
  <si>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</si>
  <si>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</si>
  <si>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</si>
  <si>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</si>
  <si>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</si>
  <si>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</si>
  <si>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</si>
  <si>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</si>
  <si>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</si>
  <si>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</si>
  <si>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</si>
  <si>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</si>
  <si>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</si>
  <si>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</si>
  <si>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</si>
  <si>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</si>
  <si>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</si>
  <si>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</si>
  <si>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</si>
  <si>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</si>
  <si>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</si>
  <si>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</si>
  <si>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</si>
  <si>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</si>
  <si>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</si>
  <si>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</si>
  <si>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</si>
  <si>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</si>
  <si>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</si>
  <si>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</si>
  <si>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</si>
  <si>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</si>
  <si>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</si>
  <si>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</si>
  <si>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</si>
  <si>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</si>
  <si>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</si>
  <si>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</si>
  <si>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</si>
  <si>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</si>
  <si>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</si>
  <si>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</si>
  <si>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</si>
  <si>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</si>
  <si>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</si>
  <si>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</si>
  <si>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</si>
  <si>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</si>
  <si>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</si>
  <si>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</si>
  <si>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</si>
  <si>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</si>
  <si>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</si>
  <si>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</si>
  <si>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</si>
  <si>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</si>
  <si>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</si>
  <si>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</si>
  <si>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</si>
  <si>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</si>
  <si>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</si>
  <si>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</si>
  <si>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</si>
  <si>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</si>
  <si>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</si>
  <si>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</si>
  <si>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</si>
  <si>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</si>
  <si>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</si>
  <si>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</si>
  <si>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</si>
  <si>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</si>
  <si>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</si>
  <si>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</si>
  <si>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</si>
  <si>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</si>
  <si>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</si>
  <si>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</si>
  <si>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</si>
  <si>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</si>
  <si>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</si>
  <si>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</si>
  <si>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</si>
  <si>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</si>
  <si>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</si>
  <si>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</si>
  <si>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</si>
  <si>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</si>
  <si>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</si>
  <si>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</si>
  <si>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</si>
  <si>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</si>
  <si>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</si>
  <si>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</si>
  <si>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</si>
  <si>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</si>
  <si>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</si>
  <si>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</si>
  <si>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</si>
  <si>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</si>
  <si>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</si>
  <si>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</si>
  <si>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</si>
  <si>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</si>
  <si>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</si>
  <si>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</si>
  <si>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</si>
  <si>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</si>
  <si>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</si>
  <si>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</si>
  <si>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</si>
  <si>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</si>
  <si>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</si>
  <si>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</si>
  <si>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</si>
  <si>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</si>
  <si>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</si>
  <si>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</si>
  <si>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</si>
  <si>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</si>
  <si>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</si>
  <si>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</si>
  <si>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</si>
  <si>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</si>
  <si>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</si>
  <si>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</si>
  <si>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</si>
  <si>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</si>
  <si>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</si>
  <si>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</si>
  <si>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</si>
  <si>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</si>
  <si>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</si>
  <si>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</si>
  <si>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</si>
  <si>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</si>
  <si>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</si>
  <si>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</si>
  <si>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</si>
  <si>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</si>
  <si>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</si>
  <si>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</si>
  <si>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</si>
  <si>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</si>
  <si>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</si>
  <si>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</si>
  <si>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</si>
  <si>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</si>
  <si>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</si>
  <si>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</si>
  <si>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</si>
  <si>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</si>
  <si>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</si>
  <si>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</si>
  <si>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</si>
  <si>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</si>
  <si>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</si>
  <si>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</si>
  <si>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</si>
  <si>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</si>
  <si>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</si>
  <si>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</si>
  <si>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</si>
  <si>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</si>
  <si>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</si>
  <si>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</si>
  <si>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</si>
  <si>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</si>
  <si>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</si>
  <si>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</si>
  <si>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</si>
  <si>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</si>
  <si>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</si>
  <si>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</si>
  <si>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</si>
  <si>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</si>
  <si>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</si>
  <si>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</si>
  <si>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</si>
  <si>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</si>
  <si>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</si>
  <si>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</si>
  <si>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</si>
  <si>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</si>
  <si>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</si>
  <si>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</si>
  <si>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</si>
  <si>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</si>
  <si>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</si>
  <si>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</si>
  <si>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</si>
  <si>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</si>
  <si>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</si>
  <si>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</si>
  <si>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</si>
  <si>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</si>
  <si>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</si>
  <si>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</si>
  <si>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</si>
  <si>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</si>
  <si>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</si>
  <si>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</si>
  <si>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</si>
  <si>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</si>
  <si>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</si>
  <si>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</si>
  <si>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</si>
  <si>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</si>
  <si>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</si>
  <si>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</si>
  <si>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</si>
  <si>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</si>
  <si>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</si>
  <si>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</si>
  <si>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</si>
  <si>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</si>
  <si>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</si>
  <si>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</si>
  <si>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</si>
  <si>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</si>
  <si>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</si>
  <si>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</si>
  <si>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</si>
  <si>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</si>
  <si>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</si>
  <si>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</si>
  <si>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</si>
  <si>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</si>
  <si>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</si>
  <si>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</si>
  <si>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</si>
  <si>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</si>
  <si>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</si>
  <si>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</si>
  <si>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</si>
  <si>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</si>
  <si>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</si>
  <si>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</si>
  <si>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</si>
  <si>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</si>
  <si>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</si>
  <si>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</si>
  <si>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</si>
  <si>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</si>
  <si>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</si>
  <si>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</si>
  <si>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</si>
  <si>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</si>
  <si>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</si>
  <si>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</si>
  <si>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</si>
  <si>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</si>
  <si>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</si>
  <si>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</si>
  <si>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</si>
  <si>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</si>
  <si>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</si>
  <si>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</si>
  <si>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</si>
  <si>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</si>
  <si>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</si>
  <si>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</si>
  <si>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</si>
  <si>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</si>
  <si>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</si>
  <si>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</si>
  <si>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</si>
  <si>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</si>
  <si>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</si>
  <si>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</si>
  <si>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</si>
  <si>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</si>
  <si>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</si>
  <si>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</si>
  <si>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</si>
  <si>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</si>
  <si>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</si>
  <si>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</si>
  <si>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</si>
  <si>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</si>
  <si>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</si>
  <si>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</si>
  <si>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</si>
  <si>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</si>
  <si>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</si>
  <si>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</si>
  <si>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</si>
  <si>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</si>
  <si>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</si>
  <si>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</si>
  <si>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</si>
  <si>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</si>
  <si>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</si>
  <si>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</si>
  <si>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</si>
  <si>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</si>
  <si>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</si>
  <si>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</si>
  <si>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</si>
  <si>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</si>
  <si>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</si>
  <si>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</si>
  <si>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</si>
  <si>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</si>
  <si>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</si>
  <si>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</si>
  <si>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</si>
  <si>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</si>
  <si>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</si>
  <si>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</si>
  <si>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</si>
  <si>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</si>
  <si>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</si>
  <si>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</si>
  <si>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</si>
  <si>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</si>
  <si>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</si>
  <si>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</si>
  <si>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</si>
  <si>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</si>
  <si>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</si>
  <si>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</si>
  <si>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</si>
  <si>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</si>
  <si>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</si>
  <si>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</si>
  <si>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</si>
  <si>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</si>
  <si>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</si>
  <si>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</si>
  <si>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</si>
  <si>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</si>
  <si>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</si>
  <si>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</si>
  <si>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</si>
  <si>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</si>
  <si>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</si>
  <si>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</si>
  <si>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</si>
  <si>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</si>
  <si>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</si>
  <si>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</si>
  <si>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</si>
  <si>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</si>
  <si>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</si>
  <si>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</si>
  <si>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</si>
  <si>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</si>
  <si>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</si>
  <si>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</si>
  <si>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</si>
  <si>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</si>
  <si>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</si>
  <si>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</si>
  <si>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</si>
  <si>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</si>
  <si>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</si>
  <si>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</si>
  <si>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</si>
  <si>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</si>
  <si>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</si>
  <si>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</si>
  <si>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</si>
  <si>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</si>
  <si>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</si>
  <si>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</si>
  <si>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</si>
  <si>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</si>
  <si>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</si>
  <si>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</si>
  <si>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</si>
  <si>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</si>
  <si>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</si>
  <si>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</si>
  <si>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</si>
  <si>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</si>
  <si>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</si>
  <si>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</si>
  <si>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</si>
  <si>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</si>
  <si>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</si>
  <si>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</si>
  <si>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</si>
  <si>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</si>
  <si>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</si>
  <si>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</si>
  <si>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</si>
  <si>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</si>
  <si>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</si>
  <si>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</si>
  <si>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</si>
  <si>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</si>
  <si>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</si>
  <si>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</si>
  <si>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</si>
  <si>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</si>
  <si>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</si>
  <si>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</si>
  <si>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</si>
  <si>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</si>
  <si>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</si>
  <si>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</si>
  <si>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</si>
  <si>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</si>
  <si>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</si>
  <si>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</si>
  <si>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</si>
  <si>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</si>
  <si>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</si>
  <si>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</si>
  <si>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</si>
  <si>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</si>
  <si>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</si>
  <si>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</si>
  <si>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</si>
  <si>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</si>
  <si>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</si>
  <si>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</si>
  <si>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</si>
  <si>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</si>
  <si>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</si>
  <si>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</si>
  <si>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</si>
  <si>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</si>
  <si>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</si>
  <si>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</si>
  <si>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</si>
  <si>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</si>
  <si>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</si>
  <si>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</si>
  <si>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</si>
  <si>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</si>
  <si>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</si>
  <si>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</si>
  <si>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</si>
  <si>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</si>
  <si>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</si>
  <si>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</si>
  <si>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</si>
  <si>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</si>
  <si>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</si>
  <si>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</si>
  <si>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</si>
  <si>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</si>
  <si>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</si>
  <si>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</si>
  <si>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</si>
  <si>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</si>
  <si>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</si>
  <si>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</si>
  <si>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</si>
  <si>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</si>
  <si>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</si>
  <si>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</si>
  <si>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</si>
  <si>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</si>
  <si>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</si>
  <si>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</si>
  <si>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</si>
  <si>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</si>
  <si>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</si>
  <si>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</si>
  <si>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</si>
  <si>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</si>
  <si>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</si>
  <si>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</si>
  <si>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</si>
  <si>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</si>
  <si>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</si>
  <si>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</si>
  <si>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</si>
  <si>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</si>
  <si>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</si>
  <si>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</si>
  <si>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</si>
  <si>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</si>
  <si>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</si>
  <si>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</si>
  <si>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</si>
  <si>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</si>
  <si>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</si>
  <si>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</si>
  <si>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</si>
  <si>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</si>
  <si>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</si>
  <si>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</si>
  <si>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</si>
  <si>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</si>
  <si>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</si>
  <si>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</si>
  <si>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</si>
  <si>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</si>
  <si>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</si>
  <si>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</si>
  <si>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</si>
  <si>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</si>
  <si>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</si>
  <si>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</si>
  <si>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</si>
  <si>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</si>
  <si>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</si>
  <si>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</si>
  <si>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</si>
  <si>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</si>
  <si>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</si>
  <si>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</si>
  <si>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</si>
  <si>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</si>
  <si>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</si>
  <si>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</si>
  <si>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</si>
  <si>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</si>
  <si>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</si>
  <si>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</si>
  <si>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</si>
  <si>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</si>
  <si>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</si>
  <si>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</si>
  <si>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</si>
  <si>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</si>
  <si>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</si>
  <si>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</si>
  <si>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</si>
  <si>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</si>
  <si>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</si>
  <si>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</si>
  <si>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</si>
  <si>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</si>
  <si>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</si>
  <si>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</si>
  <si>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</si>
  <si>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</si>
  <si>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</si>
  <si>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</si>
  <si>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</si>
  <si>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</si>
  <si>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</si>
  <si>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</si>
  <si>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</si>
  <si>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</si>
  <si>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</si>
  <si>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</si>
  <si>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</si>
  <si>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</si>
  <si>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</si>
  <si>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</si>
  <si>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</si>
  <si>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</si>
  <si>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</si>
  <si>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</si>
  <si>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</si>
  <si>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</si>
  <si>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</si>
  <si>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</si>
  <si>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</si>
  <si>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</si>
  <si>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</si>
  <si>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</si>
  <si>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</si>
  <si>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</si>
  <si>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</si>
  <si>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</si>
  <si>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</si>
  <si>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</si>
  <si>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</si>
  <si>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</si>
  <si>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</si>
  <si>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</si>
  <si>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</si>
  <si>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</si>
  <si>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</si>
  <si>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</si>
  <si>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</si>
  <si>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</si>
  <si>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</si>
  <si>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</si>
  <si>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</si>
  <si>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</si>
  <si>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</si>
  <si>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</si>
  <si>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</si>
  <si>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</si>
  <si>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</si>
  <si>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</si>
  <si>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</si>
  <si>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</si>
  <si>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</si>
  <si>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</si>
  <si>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</si>
  <si>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</si>
  <si>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</si>
  <si>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</si>
  <si>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</si>
  <si>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</si>
  <si>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</si>
  <si>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</si>
  <si>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</si>
  <si>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</si>
  <si>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</si>
  <si>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</si>
  <si>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</si>
  <si>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</si>
  <si>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</si>
  <si>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</si>
  <si>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</si>
  <si>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</si>
  <si>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</si>
  <si>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</si>
  <si>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</si>
  <si>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</si>
  <si>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</si>
  <si>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</si>
  <si>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</si>
  <si>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</si>
  <si>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</si>
  <si>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</si>
  <si>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</si>
  <si>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</si>
  <si>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</si>
  <si>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</si>
  <si>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</si>
  <si>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</si>
  <si>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</si>
  <si>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</si>
  <si>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</si>
  <si>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</si>
  <si>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</si>
  <si>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</si>
  <si>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</si>
  <si>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</si>
  <si>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</si>
  <si>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</si>
  <si>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</si>
  <si>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</si>
  <si>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</si>
  <si>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</si>
  <si>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</si>
  <si>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</si>
  <si>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</si>
  <si>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</si>
  <si>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</si>
  <si>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</si>
  <si>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</si>
  <si>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</si>
  <si>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</si>
  <si>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</si>
  <si>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</si>
  <si>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</si>
  <si>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</si>
  <si>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</si>
  <si>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</si>
  <si>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</si>
  <si>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</si>
  <si>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</si>
  <si>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</si>
  <si>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</si>
  <si>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</si>
  <si>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</si>
  <si>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</si>
  <si>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</si>
  <si>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</si>
  <si>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</si>
  <si>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</si>
  <si>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</si>
  <si>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</si>
  <si>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</si>
  <si>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</si>
  <si>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</si>
  <si>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</si>
  <si>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</si>
  <si>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</si>
  <si>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</si>
  <si>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</si>
  <si>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</si>
  <si>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</si>
  <si>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</si>
  <si>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</si>
  <si>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</si>
  <si>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</si>
  <si>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</si>
  <si>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</si>
  <si>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</si>
  <si>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</si>
  <si>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</si>
  <si>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</si>
  <si>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</si>
  <si>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</si>
  <si>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</si>
  <si>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</si>
  <si>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</si>
  <si>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</si>
  <si>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</si>
  <si>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</si>
  <si>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</si>
  <si>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</si>
  <si>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</si>
  <si>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</si>
  <si>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</si>
  <si>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</si>
  <si>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</si>
  <si>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</si>
  <si>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</si>
  <si>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</si>
  <si>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</si>
  <si>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</si>
  <si>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</si>
  <si>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</si>
  <si>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</si>
  <si>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</si>
  <si>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</si>
  <si>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</si>
  <si>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</si>
  <si>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</si>
  <si>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</si>
  <si>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</si>
  <si>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</si>
  <si>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</si>
  <si>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</si>
  <si>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</si>
  <si>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</si>
  <si>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</si>
  <si>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</si>
  <si>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</si>
  <si>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</si>
  <si>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</si>
  <si>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</si>
  <si>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</si>
  <si>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</si>
  <si>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</si>
  <si>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</si>
  <si>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</si>
  <si>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</si>
  <si>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</si>
  <si>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</si>
  <si>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</si>
  <si>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</si>
  <si>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</si>
  <si>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</si>
  <si>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</si>
  <si>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</si>
  <si>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</si>
  <si>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</si>
  <si>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</si>
  <si>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</si>
  <si>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</si>
  <si>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</si>
  <si>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</si>
  <si>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</si>
  <si>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</si>
  <si>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</si>
  <si>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</si>
  <si>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</si>
  <si>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</si>
  <si>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</si>
  <si>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</si>
  <si>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</si>
  <si>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</si>
  <si>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</si>
  <si>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</si>
  <si>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</si>
  <si>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</si>
  <si>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</si>
  <si>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</si>
  <si>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</si>
  <si>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</si>
  <si>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</si>
  <si>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</si>
  <si>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</si>
  <si>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</si>
  <si>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</si>
  <si>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</si>
  <si>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</si>
  <si>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</si>
  <si>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</si>
  <si>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</si>
  <si>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</si>
  <si>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</si>
  <si>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</si>
  <si>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</si>
  <si>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</si>
  <si>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</si>
  <si>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</si>
  <si>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</si>
  <si>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</si>
  <si>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</si>
  <si>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</si>
  <si>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</si>
  <si>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</si>
  <si>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</si>
  <si>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</si>
  <si>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</si>
  <si>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</si>
  <si>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</si>
  <si>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</si>
  <si>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</si>
  <si>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</si>
  <si>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</si>
  <si>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</si>
  <si>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</si>
  <si>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</si>
  <si>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</si>
  <si>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</si>
  <si>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</si>
  <si>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</si>
  <si>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</si>
  <si>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</si>
  <si>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</si>
  <si>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</si>
  <si>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</si>
  <si>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</si>
  <si>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</si>
  <si>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</si>
  <si>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</si>
  <si>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</si>
  <si>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</si>
  <si>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</si>
  <si>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</si>
  <si>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</si>
  <si>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</si>
  <si>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</si>
  <si>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</si>
  <si>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</si>
  <si>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</si>
  <si>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</si>
  <si>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</si>
  <si>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</si>
  <si>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</si>
  <si>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</si>
  <si>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</si>
  <si>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</si>
  <si>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</si>
  <si>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</si>
  <si>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</si>
  <si>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</si>
  <si>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</si>
  <si>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</si>
  <si>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</si>
  <si>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</si>
  <si>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</si>
  <si>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</si>
  <si>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</si>
  <si>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</si>
  <si>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</si>
  <si>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</si>
  <si>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</si>
  <si>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</si>
  <si>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</si>
  <si>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</si>
  <si>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</si>
  <si>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</si>
  <si>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</si>
  <si>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</si>
  <si>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</si>
  <si>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</si>
  <si>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</si>
  <si>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</si>
  <si>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</si>
  <si>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</si>
  <si>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</si>
  <si>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</si>
  <si>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</si>
  <si>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</si>
  <si>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</si>
  <si>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</si>
  <si>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</si>
  <si>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</si>
  <si>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</si>
  <si>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</si>
  <si>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</si>
  <si>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</si>
  <si>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</si>
  <si>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</si>
  <si>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</si>
  <si>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</si>
  <si>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</si>
  <si>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</si>
  <si>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</si>
  <si>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</si>
  <si>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</si>
  <si>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</si>
  <si>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</si>
  <si>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</si>
  <si>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</si>
  <si>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</si>
  <si>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</si>
  <si>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</si>
  <si>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</si>
  <si>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</si>
  <si>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</si>
  <si>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</si>
  <si>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</si>
  <si>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</si>
  <si>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</si>
  <si>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</si>
  <si>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</si>
  <si>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</si>
  <si>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</si>
  <si>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</si>
  <si>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</si>
  <si>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</si>
  <si>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</si>
  <si>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</si>
  <si>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</si>
  <si>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</si>
  <si>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</si>
  <si>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</si>
  <si>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</si>
  <si>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</si>
  <si>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</si>
  <si>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</si>
  <si>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</si>
  <si>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</si>
  <si>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</si>
  <si>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</si>
  <si>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</si>
  <si>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</si>
  <si>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</si>
  <si>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</si>
  <si>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</si>
  <si>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</si>
  <si>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</si>
  <si>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</si>
  <si>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</si>
  <si>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</si>
  <si>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</si>
  <si>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</si>
  <si>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</si>
  <si>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</si>
  <si>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</si>
  <si>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</si>
  <si>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</si>
  <si>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</si>
  <si>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</si>
  <si>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</si>
  <si>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</si>
  <si>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</si>
  <si>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</si>
  <si>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</si>
  <si>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</si>
  <si>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</si>
  <si>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</si>
  <si>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</si>
  <si>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</si>
  <si>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</si>
  <si>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</si>
  <si>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</si>
  <si>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</si>
  <si>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</si>
  <si>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</si>
  <si>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</si>
  <si>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</si>
  <si>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</si>
  <si>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</si>
  <si>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</si>
  <si>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</si>
  <si>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</si>
  <si>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</si>
  <si>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</si>
  <si>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</si>
  <si>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</si>
  <si>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</si>
  <si>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</si>
  <si>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</si>
  <si>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</si>
  <si>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</si>
  <si>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</si>
  <si>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</si>
  <si>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</si>
  <si>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</si>
  <si>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</si>
  <si>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</si>
  <si>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</si>
  <si>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</si>
  <si>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</si>
  <si>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</si>
  <si>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</si>
  <si>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</si>
  <si>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</si>
  <si>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</si>
  <si>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</si>
  <si>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</si>
  <si>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</si>
  <si>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</si>
  <si>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</si>
  <si>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</si>
  <si>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</si>
  <si>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</si>
  <si>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</si>
  <si>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</si>
  <si>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</si>
  <si>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</si>
  <si>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</si>
  <si>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</si>
  <si>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</si>
  <si>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</si>
  <si>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</si>
  <si>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</si>
  <si>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</si>
  <si>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</si>
  <si>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</si>
  <si>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</si>
  <si>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</si>
  <si>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</si>
  <si>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</si>
  <si>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</si>
  <si>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</si>
  <si>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</si>
  <si>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</si>
  <si>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</si>
  <si>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</si>
  <si>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</si>
  <si>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</si>
  <si>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</si>
  <si>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</si>
  <si>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</si>
  <si>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</si>
  <si>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</si>
  <si>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</si>
  <si>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</si>
  <si>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</si>
  <si>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</si>
  <si>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</si>
  <si>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</si>
  <si>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</si>
  <si>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</si>
  <si>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</si>
  <si>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</si>
  <si>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</si>
  <si>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</si>
  <si>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</si>
  <si>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</si>
  <si>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</si>
  <si>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</si>
  <si>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</si>
  <si>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</si>
  <si>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</si>
  <si>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</si>
  <si>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</si>
  <si>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</si>
  <si>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</si>
  <si>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</si>
  <si>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</si>
  <si>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</si>
  <si>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</si>
  <si>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</si>
  <si>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</si>
  <si>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</si>
  <si>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</si>
  <si>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</si>
  <si>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</si>
  <si>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</si>
  <si>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</si>
  <si>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</si>
  <si>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</si>
  <si>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</si>
  <si>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</si>
  <si>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</si>
  <si>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</si>
  <si>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</si>
  <si>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</si>
  <si>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</si>
  <si>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</si>
  <si>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</si>
  <si>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</si>
  <si>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</si>
  <si>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</si>
  <si>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</si>
  <si>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</si>
  <si>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</si>
  <si>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</si>
  <si>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</si>
  <si>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</si>
  <si>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</si>
  <si>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</si>
  <si>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</si>
  <si>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</si>
  <si>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</si>
  <si>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</si>
  <si>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</si>
  <si>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</si>
  <si>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</si>
  <si>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</si>
  <si>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</si>
  <si>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</si>
  <si>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</si>
  <si>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</si>
  <si>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</si>
  <si>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</si>
  <si>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</si>
  <si>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</si>
  <si>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</si>
  <si>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</si>
  <si>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</si>
  <si>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</si>
  <si>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</si>
  <si>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</si>
  <si>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</si>
  <si>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</si>
  <si>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</si>
  <si>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</si>
  <si>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</si>
  <si>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</si>
  <si>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</si>
  <si>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</si>
  <si>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</si>
  <si>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</si>
  <si>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</si>
  <si>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</si>
  <si>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</si>
  <si>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</si>
  <si>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</si>
  <si>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</si>
  <si>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</si>
  <si>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</si>
  <si>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</si>
  <si>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</si>
  <si>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</si>
  <si>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</si>
  <si>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</si>
  <si>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</si>
  <si>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</si>
  <si>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</si>
  <si>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</si>
  <si>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</si>
  <si>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</si>
  <si>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</si>
  <si>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</si>
  <si>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</si>
  <si>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</si>
  <si>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</si>
  <si>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</si>
  <si>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</si>
  <si>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</si>
  <si>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</si>
  <si>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</si>
  <si>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</si>
  <si>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</si>
  <si>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</si>
  <si>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</si>
  <si>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</si>
  <si>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</si>
  <si>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</si>
  <si>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</si>
  <si>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</si>
  <si>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</si>
  <si>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</si>
  <si>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</si>
  <si>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</si>
  <si>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</si>
  <si>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</si>
  <si>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</si>
  <si>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</si>
  <si>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</si>
  <si>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</si>
  <si>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</si>
  <si>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</si>
  <si>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</si>
  <si>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</si>
  <si>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</si>
  <si>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</si>
  <si>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</si>
  <si>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</si>
  <si>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</si>
  <si>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</si>
  <si>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</si>
  <si>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</si>
  <si>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</si>
  <si>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</si>
  <si>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</si>
  <si>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</si>
  <si>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</si>
  <si>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</si>
  <si>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</si>
  <si>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</si>
  <si>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</si>
  <si>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</si>
  <si>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</si>
  <si>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</si>
  <si>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</si>
  <si>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</si>
  <si>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</si>
  <si>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</si>
  <si>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</si>
  <si>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</si>
  <si>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</si>
  <si>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</si>
  <si>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</si>
  <si>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</si>
  <si>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</si>
  <si>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</si>
  <si>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</si>
  <si>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</si>
  <si>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</si>
  <si>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</si>
  <si>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</si>
  <si>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</si>
  <si>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</si>
  <si>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</si>
  <si>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</si>
  <si>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</si>
  <si>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</si>
  <si>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</si>
  <si>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</si>
  <si>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</si>
  <si>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</si>
  <si>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</si>
  <si>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</si>
  <si>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</si>
  <si>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</si>
  <si>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</si>
  <si>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</si>
  <si>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</si>
  <si>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</si>
  <si>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</si>
  <si>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</si>
  <si>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</si>
  <si>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</si>
  <si>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</si>
  <si>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</si>
  <si>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</si>
  <si>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</si>
  <si>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</si>
  <si>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</si>
  <si>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</si>
  <si>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</si>
  <si>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</si>
  <si>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</si>
  <si>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</si>
  <si>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</si>
  <si>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</si>
  <si>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</si>
  <si>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</si>
  <si>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</si>
  <si>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</si>
  <si>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</si>
  <si>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</si>
  <si>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</si>
  <si>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</si>
  <si>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</si>
  <si>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</si>
  <si>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</si>
  <si>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</si>
  <si>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</si>
  <si>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</si>
  <si>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</si>
  <si>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</si>
  <si>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</si>
  <si>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</si>
  <si>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</si>
  <si>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</si>
  <si>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</si>
  <si>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</si>
  <si>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</si>
  <si>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</si>
  <si>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</si>
  <si>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</si>
  <si>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</si>
  <si>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</si>
  <si>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</si>
  <si>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</si>
  <si>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</si>
  <si>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</si>
  <si>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</si>
  <si>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</si>
  <si>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</si>
  <si>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</si>
  <si>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</si>
  <si>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</si>
  <si>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</si>
  <si>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</si>
  <si>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</si>
  <si>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</si>
  <si>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</si>
  <si>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</si>
  <si>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</si>
  <si>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</si>
  <si>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</si>
  <si>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</si>
  <si>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</si>
  <si>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</si>
  <si>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</si>
  <si>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</si>
  <si>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</si>
  <si>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</si>
  <si>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</si>
  <si>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</si>
  <si>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</si>
  <si>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</si>
  <si>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</si>
  <si>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</si>
  <si>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</si>
  <si>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</si>
  <si>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</si>
  <si>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</si>
  <si>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</si>
  <si>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</si>
  <si>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</si>
  <si>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</si>
  <si>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</si>
  <si>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</si>
  <si>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</si>
  <si>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</si>
  <si>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</si>
  <si>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</si>
  <si>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</si>
  <si>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</si>
  <si>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</si>
  <si>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</si>
  <si>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</si>
  <si>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</si>
  <si>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</si>
  <si>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</si>
  <si>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</si>
  <si>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</si>
  <si>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</si>
  <si>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</si>
  <si>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</si>
  <si>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</si>
  <si>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</si>
  <si>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</si>
  <si>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</si>
  <si>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</si>
  <si>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</si>
  <si>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</si>
  <si>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</si>
  <si>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</si>
  <si>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</si>
  <si>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</si>
  <si>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</si>
  <si>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</si>
  <si>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</si>
  <si>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</si>
  <si>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</si>
  <si>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</si>
  <si>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</si>
  <si>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</si>
  <si>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</si>
  <si>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</si>
  <si>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</si>
  <si>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</si>
  <si>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</si>
  <si>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</si>
  <si>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</si>
  <si>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</si>
  <si>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</si>
  <si>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</si>
  <si>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</si>
  <si>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</si>
  <si>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</si>
  <si>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</si>
  <si>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</si>
  <si>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</si>
  <si>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</si>
  <si>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</si>
  <si>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</si>
  <si>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</si>
  <si>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</si>
  <si>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</si>
  <si>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</si>
  <si>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</si>
  <si>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</si>
  <si>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</si>
  <si>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</si>
  <si>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</si>
  <si>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</si>
  <si>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</si>
  <si>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</si>
  <si>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</si>
  <si>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</si>
  <si>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</si>
  <si>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</si>
  <si>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</si>
  <si>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</si>
  <si>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</si>
  <si>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</si>
  <si>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</si>
  <si>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</si>
  <si>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</si>
  <si>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</si>
  <si>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</si>
  <si>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</si>
  <si>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</si>
  <si>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</si>
  <si>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</si>
  <si>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</si>
  <si>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</si>
  <si>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</si>
  <si>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</si>
  <si>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</si>
  <si>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</si>
  <si>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</si>
  <si>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</si>
  <si>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</si>
  <si>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</si>
  <si>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</si>
  <si>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</si>
  <si>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</si>
  <si>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</si>
  <si>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</si>
  <si>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</si>
  <si>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</si>
  <si>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</si>
  <si>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</si>
  <si>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</si>
  <si>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</si>
  <si>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</si>
  <si>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</si>
  <si>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</si>
  <si>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</si>
  <si>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</si>
  <si>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</si>
  <si>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</si>
  <si>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</si>
  <si>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</si>
  <si>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</si>
  <si>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</si>
  <si>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</si>
  <si>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</si>
  <si>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</si>
  <si>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</si>
  <si>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</si>
  <si>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</si>
  <si>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</si>
  <si>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</si>
  <si>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</si>
  <si>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</si>
  <si>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</si>
  <si>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</si>
  <si>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</si>
  <si>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</si>
  <si>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</si>
  <si>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</si>
  <si>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</si>
  <si>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</si>
  <si>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</si>
  <si>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</si>
  <si>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</si>
  <si>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</si>
  <si>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</si>
  <si>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</si>
  <si>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</si>
  <si>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</si>
  <si>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</si>
  <si>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</si>
  <si>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</si>
  <si>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</si>
  <si>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</si>
  <si>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</si>
  <si>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</si>
  <si>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</si>
  <si>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</si>
  <si>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</si>
  <si>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</si>
  <si>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</si>
  <si>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</si>
  <si>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</si>
  <si>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</si>
  <si>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</si>
  <si>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</si>
  <si>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</si>
  <si>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</si>
  <si>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</si>
  <si>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</si>
  <si>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</si>
  <si>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</si>
  <si>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</si>
  <si>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</si>
  <si>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</si>
  <si>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</si>
  <si>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</si>
  <si>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</si>
  <si>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</si>
  <si>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</si>
  <si>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</si>
  <si>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</si>
  <si>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</si>
  <si>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</si>
  <si>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</si>
  <si>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</si>
  <si>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</si>
  <si>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</si>
  <si>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</si>
  <si>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</si>
  <si>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</si>
  <si>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</si>
  <si>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</si>
  <si>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</si>
  <si>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</si>
  <si>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</si>
  <si>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</si>
  <si>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</si>
  <si>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</si>
  <si>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</si>
  <si>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</si>
  <si>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</si>
  <si>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</si>
  <si>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</si>
  <si>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</si>
  <si>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</si>
  <si>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</si>
  <si>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</si>
  <si>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</si>
  <si>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</si>
  <si>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</si>
  <si>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</si>
  <si>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</si>
  <si>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</si>
  <si>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</si>
  <si>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</si>
  <si>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</si>
  <si>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</si>
  <si>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</si>
  <si>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</si>
  <si>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</si>
  <si>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</si>
  <si>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</si>
  <si>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</si>
  <si>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</si>
  <si>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</si>
  <si>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</si>
  <si>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</si>
  <si>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</si>
  <si>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</si>
  <si>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</si>
  <si>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</si>
  <si>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</si>
  <si>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</si>
  <si>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</si>
  <si>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</si>
  <si>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</si>
  <si>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</si>
  <si>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</si>
  <si>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</si>
  <si>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</si>
  <si>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</si>
  <si>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</si>
  <si>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</si>
  <si>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</si>
  <si>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</si>
  <si>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</si>
  <si>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</si>
  <si>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</si>
  <si>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</si>
  <si>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</si>
  <si>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</si>
  <si>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</si>
  <si>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</si>
  <si>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</si>
  <si>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</si>
  <si>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</si>
  <si>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</si>
  <si>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</si>
  <si>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</si>
  <si>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</si>
  <si>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</si>
  <si>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</si>
  <si>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</si>
  <si>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</si>
  <si>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</si>
  <si>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</si>
  <si>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</si>
  <si>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</si>
  <si>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</si>
  <si>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</si>
  <si>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</si>
  <si>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</si>
  <si>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</si>
  <si>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</si>
  <si>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</si>
  <si>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</si>
  <si>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</si>
  <si>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</si>
  <si>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</si>
  <si>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</si>
  <si>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</si>
  <si>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</si>
  <si>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</si>
  <si>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</si>
  <si>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</si>
  <si>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</si>
  <si>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</si>
  <si>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</si>
  <si>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</si>
  <si>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</si>
  <si>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</si>
  <si>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</si>
  <si>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</si>
  <si>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</si>
  <si>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</si>
  <si>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</si>
  <si>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</si>
  <si>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</si>
  <si>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</si>
  <si>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</si>
  <si>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</si>
  <si>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</si>
  <si>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</si>
  <si>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</si>
  <si>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</si>
  <si>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</si>
  <si>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</si>
  <si>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</si>
  <si>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</si>
  <si>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</si>
  <si>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</si>
  <si>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</si>
  <si>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</si>
  <si>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</si>
  <si>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</si>
  <si>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</si>
  <si>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</si>
  <si>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</si>
  <si>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</si>
  <si>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</si>
  <si>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</si>
  <si>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</si>
  <si>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</si>
  <si>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</si>
  <si>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</si>
  <si>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</si>
  <si>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</si>
  <si>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</si>
  <si>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</si>
  <si>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</si>
  <si>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</si>
  <si>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</si>
  <si>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</si>
  <si>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</si>
  <si>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</si>
  <si>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</si>
  <si>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</si>
  <si>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</si>
  <si>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</si>
  <si>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</si>
  <si>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</si>
  <si>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</si>
  <si>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</si>
  <si>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</si>
  <si>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</si>
  <si>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</si>
  <si>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</si>
  <si>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</si>
  <si>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</si>
  <si>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</si>
  <si>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</si>
  <si>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</si>
  <si>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</si>
  <si>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</si>
  <si>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</si>
  <si>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</si>
  <si>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</si>
  <si>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</si>
  <si>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</si>
  <si>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</si>
  <si>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</si>
  <si>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</si>
  <si>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</si>
  <si>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</si>
  <si>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</si>
  <si>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</si>
  <si>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</si>
  <si>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</si>
  <si>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</si>
  <si>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</si>
  <si>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</si>
  <si>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</si>
  <si>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</si>
  <si>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</si>
  <si>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</si>
  <si>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</si>
  <si>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</si>
  <si>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</si>
  <si>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</si>
  <si>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</si>
  <si>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</si>
  <si>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</si>
  <si>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</si>
  <si>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</si>
  <si>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</si>
  <si>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</si>
  <si>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</si>
  <si>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</si>
  <si>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</si>
  <si>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</si>
  <si>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</si>
  <si>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</si>
  <si>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</si>
  <si>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</si>
  <si>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</si>
  <si>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</si>
  <si>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</si>
  <si>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</si>
  <si>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</si>
  <si>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</si>
  <si>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</si>
  <si>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</si>
  <si>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</si>
  <si>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</si>
  <si>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</si>
  <si>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</si>
  <si>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</si>
  <si>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</si>
  <si>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</si>
  <si>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</si>
  <si>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</si>
  <si>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</si>
  <si>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</si>
  <si>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</si>
  <si>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</si>
  <si>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</si>
  <si>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</si>
  <si>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</si>
  <si>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</si>
  <si>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</si>
  <si>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</si>
  <si>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</si>
  <si>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</si>
  <si>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</si>
  <si>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</si>
  <si>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</si>
  <si>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</si>
  <si>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</si>
  <si>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</si>
  <si>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</si>
  <si>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</si>
  <si>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</si>
  <si>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</si>
  <si>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</si>
  <si>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</si>
  <si>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</si>
  <si>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</si>
  <si>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</si>
  <si>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</si>
  <si>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</si>
  <si>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</si>
  <si>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</si>
  <si>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</si>
  <si>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</si>
  <si>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</si>
  <si>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</si>
  <si>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</si>
  <si>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</si>
  <si>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</si>
  <si>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</si>
  <si>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</si>
  <si>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</si>
  <si>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</si>
  <si>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</si>
  <si>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</si>
  <si>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</si>
  <si>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</si>
  <si>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</si>
  <si>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</si>
  <si>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</si>
  <si>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</si>
  <si>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</si>
  <si>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</si>
  <si>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</si>
  <si>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</si>
  <si>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</si>
  <si>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</si>
  <si>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</si>
  <si>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</si>
  <si>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</si>
  <si>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</si>
  <si>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</si>
  <si>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</si>
  <si>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</si>
  <si>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</si>
  <si>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</si>
  <si>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</si>
  <si>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</si>
  <si>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</si>
  <si>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</si>
  <si>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</si>
  <si>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</si>
  <si>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</si>
  <si>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</si>
  <si>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</si>
  <si>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</si>
  <si>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</si>
  <si>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</si>
  <si>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</si>
  <si>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</si>
  <si>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</si>
  <si>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</si>
  <si>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</si>
  <si>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</si>
  <si>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</si>
  <si>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</si>
  <si>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</si>
  <si>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</si>
  <si>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</si>
  <si>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</si>
  <si>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</si>
  <si>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</si>
  <si>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</si>
  <si>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</si>
  <si>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</si>
  <si>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</si>
  <si>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</si>
  <si>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</si>
  <si>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</si>
  <si>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</si>
  <si>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</si>
  <si>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</si>
  <si>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</si>
  <si>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</si>
  <si>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</si>
  <si>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</si>
  <si>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</si>
  <si>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</si>
  <si>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</si>
  <si>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</si>
  <si>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</si>
  <si>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</si>
  <si>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</si>
  <si>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</si>
  <si>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</si>
  <si>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</si>
  <si>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</si>
  <si>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</si>
  <si>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</si>
  <si>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</si>
  <si>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</si>
  <si>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</si>
  <si>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</si>
  <si>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</si>
  <si>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</si>
  <si>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</si>
  <si>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</si>
  <si>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</si>
  <si>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</si>
  <si>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</si>
  <si>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</si>
  <si>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</si>
  <si>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</si>
  <si>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</si>
  <si>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</si>
  <si>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</si>
  <si>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</si>
  <si>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</si>
  <si>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</si>
  <si>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</si>
  <si>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</si>
  <si>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</si>
  <si>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</si>
  <si>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</si>
  <si>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</si>
  <si>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</si>
  <si>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</si>
  <si>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</si>
  <si>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</si>
  <si>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</si>
  <si>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</si>
  <si>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</si>
  <si>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</si>
  <si>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</si>
  <si>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</si>
  <si>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</si>
  <si>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</si>
  <si>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</si>
  <si>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</si>
  <si>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</si>
  <si>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</si>
  <si>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</si>
  <si>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</si>
  <si>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</si>
  <si>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</si>
  <si>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</si>
  <si>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</si>
  <si>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</si>
  <si>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</si>
  <si>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</si>
  <si>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</si>
  <si>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</si>
  <si>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</si>
  <si>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</si>
  <si>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</si>
  <si>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</si>
  <si>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</si>
  <si>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</si>
  <si>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</si>
  <si>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</si>
  <si>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</si>
  <si>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</si>
  <si>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</si>
  <si>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</si>
  <si>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</si>
  <si>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</si>
  <si>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</si>
  <si>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</si>
  <si>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</si>
  <si>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地上</t>
  </si>
  <si>
    <t>工业</t>
    <phoneticPr fontId="7" type="noConversion"/>
  </si>
  <si>
    <t>成新度</t>
  </si>
  <si>
    <t>收益法</t>
  </si>
  <si>
    <t>利息：取LPR加浮动点数</t>
  </si>
  <si>
    <t>押一</t>
  </si>
  <si>
    <t>按租金收入计税</t>
  </si>
  <si>
    <t>钢</t>
  </si>
  <si>
    <t>生产用房</t>
  </si>
  <si>
    <t>成本法</t>
  </si>
  <si>
    <t>未包含在土地购买价格中</t>
  </si>
  <si>
    <t>全部缴纳</t>
  </si>
  <si>
    <t>已包含在土地取得成本中</t>
  </si>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</sst>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9" fontId="49" fillId="0" borderId="1" xfId="10" applyNumberFormat="1" applyFont="1" applyBorder="1" applyAlignment="1" applyProtection="1">
      <alignment horizontal="center" vertical="center" wrapText="1"/>
      <protection locked="0"/>
    </xf>
    <xf numFmtId="176" fontId="49" fillId="0" borderId="1" xfId="1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46" fillId="0" borderId="1" xfId="10" applyNumberFormat="1" applyFont="1" applyFill="1" applyBorder="1" applyAlignment="1" applyProtection="1">
      <alignment horizontal="center" vertical="center"/>
      <protection locked="0"/>
    </xf>
    <xf numFmtId="181" fontId="103" fillId="0" borderId="1" xfId="10" applyNumberFormat="1" applyFont="1" applyFill="1" applyBorder="1" applyAlignment="1" applyProtection="1">
      <alignment horizontal="center" vertical="center"/>
      <protection locked="0"/>
    </xf>
    <xf numFmtId="181" fontId="46" fillId="0" borderId="1" xfId="10" applyNumberFormat="1" applyFont="1" applyBorder="1" applyAlignment="1" applyProtection="1">
      <alignment vertical="center"/>
      <protection locked="0"/>
    </xf>
    <xf numFmtId="10" fontId="46" fillId="0" borderId="1" xfId="10" applyNumberFormat="1" applyFont="1" applyBorder="1" applyAlignment="1" applyProtection="1">
      <alignment horizontal="center" vertical="center"/>
      <protection locked="0"/>
    </xf>
    <xf numFmtId="183" fontId="46" fillId="0" borderId="1" xfId="10" applyNumberFormat="1" applyFont="1" applyBorder="1" applyAlignment="1" applyProtection="1">
      <alignment horizontal="center" vertical="center"/>
      <protection locked="0"/>
    </xf>
    <xf numFmtId="181" fontId="46" fillId="0" borderId="24" xfId="10" applyNumberFormat="1" applyFont="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4" fontId="118" fillId="5" borderId="1" xfId="0" applyNumberFormat="1" applyFont="1" applyFill="1" applyBorder="1" applyAlignment="1" applyProtection="1">
      <alignment horizontal="center" vertical="center" shrinkToFit="1"/>
      <protection locked="0"/>
    </xf>
    <xf numFmtId="184" fontId="118" fillId="5" borderId="1" xfId="0" applyNumberFormat="1" applyFont="1" applyFill="1" applyBorder="1" applyAlignment="1" applyProtection="1">
      <alignment horizontal="center" vertical="center"/>
    </xf>
    <xf numFmtId="10" fontId="118" fillId="5" borderId="1" xfId="1" applyNumberFormat="1" applyFont="1" applyFill="1" applyBorder="1" applyAlignment="1" applyProtection="1">
      <alignment horizontal="center" vertical="center"/>
      <protection locked="0"/>
    </xf>
    <xf numFmtId="0" fontId="53" fillId="7" borderId="23" xfId="10" applyFont="1" applyFill="1" applyBorder="1" applyAlignment="1" applyProtection="1">
      <alignment vertical="center"/>
      <protection locked="0"/>
    </xf>
    <xf numFmtId="181" fontId="53" fillId="7" borderId="1" xfId="10"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11</xdr:col>
      <xdr:colOff>19050</xdr:colOff>
      <xdr:row>29</xdr:row>
      <xdr:rowOff>67177</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0"/>
          <a:ext cx="7515225" cy="5039227"/>
        </a:xfrm>
        <a:prstGeom prst="rect">
          <a:avLst/>
        </a:prstGeom>
      </xdr:spPr>
    </xdr:pic>
    <xdr:clientData/>
  </xdr:twoCellAnchor>
  <xdr:twoCellAnchor editAs="oneCell">
    <xdr:from>
      <xdr:col>0</xdr:col>
      <xdr:colOff>0</xdr:colOff>
      <xdr:row>31</xdr:row>
      <xdr:rowOff>0</xdr:rowOff>
    </xdr:from>
    <xdr:to>
      <xdr:col>11</xdr:col>
      <xdr:colOff>275638</xdr:colOff>
      <xdr:row>62</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819438" cy="5362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6124;&#24179;&#24503;&#38451;&#27773;&#36710;-&#29579;&#32043;&#29020;20220426-1034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725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估价对象为北京市房地产，为所有。根据《国有土地使用证》[]，估价对象（分摊）出让国有建设用地使用权面积为18753.7平方米，建筑面积为8363.37平方米。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估价对象为北京市房地产,属开发建设的工业项目，该项目尚在开发建设中。根据《国有土地使用证》[]，估价对象（分摊）出让国有建设用地使用权面积为18753.7平方米，规划建筑面积为8363.37平方米。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2022年4月26日</v>
      </c>
    </row>
    <row r="13" spans="1:2" s="1317" customFormat="1">
      <c r="A13" s="1315" t="s">
        <v>954</v>
      </c>
      <c r="B13" s="1316" t="str">
        <f>'预评函-1'!A18</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5309</v>
      </c>
    </row>
    <row r="21" spans="1:2" s="1317" customFormat="1">
      <c r="A21" s="1315" t="s">
        <v>962</v>
      </c>
      <c r="B21" s="1316">
        <f ca="1">'预评函-2'!D7</f>
        <v>6348</v>
      </c>
    </row>
    <row r="22" spans="1:2" s="1317" customFormat="1">
      <c r="A22" s="1315" t="s">
        <v>963</v>
      </c>
      <c r="B22" s="1316" t="str">
        <f ca="1">'预评函-2'!D6</f>
        <v>伍仟叁佰零玖万元整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5309</v>
      </c>
    </row>
    <row r="31" spans="1:2" s="1317" customFormat="1">
      <c r="A31" s="1315" t="s">
        <v>1001</v>
      </c>
      <c r="B31" s="1316">
        <f ca="1">'预评函-2'!D15</f>
        <v>6348</v>
      </c>
    </row>
    <row r="32" spans="1:2" s="1317" customFormat="1">
      <c r="A32" s="1315" t="s">
        <v>968</v>
      </c>
      <c r="B32" s="1316" t="str">
        <f ca="1">'预评函-2'!D14</f>
        <v>伍仟叁佰零玖万元整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8363.3700000000008</v>
      </c>
    </row>
    <row r="44" spans="1:2" s="1317" customFormat="1">
      <c r="A44" s="1315" t="s">
        <v>1000</v>
      </c>
      <c r="B44" s="1316" t="str">
        <f>'预评函-3'!C2</f>
        <v>(分摊)土地面积</v>
      </c>
    </row>
    <row r="45" spans="1:2" s="1317" customFormat="1">
      <c r="A45" s="1315" t="s">
        <v>972</v>
      </c>
      <c r="B45" s="1316">
        <f>'预评函-3'!C4</f>
        <v>18753.7</v>
      </c>
    </row>
    <row r="46" spans="1:2" s="1317" customFormat="1">
      <c r="A46" s="1315" t="s">
        <v>998</v>
      </c>
      <c r="B46" s="1316" t="str">
        <f>'预评函-3'!D2</f>
        <v>出让国有建设用地使用权价值</v>
      </c>
    </row>
    <row r="47" spans="1:2" s="1317" customFormat="1">
      <c r="A47" s="1315" t="s">
        <v>973</v>
      </c>
      <c r="B47" s="1316">
        <f ca="1">'预评函-3'!D4</f>
        <v>2554</v>
      </c>
    </row>
    <row r="48" spans="1:2" s="1317" customFormat="1">
      <c r="A48" s="1315" t="s">
        <v>974</v>
      </c>
      <c r="B48" s="1316">
        <f ca="1">'预评函-3'!E4</f>
        <v>3054</v>
      </c>
    </row>
    <row r="49" spans="1:2" s="1317" customFormat="1">
      <c r="A49" s="1315" t="s">
        <v>975</v>
      </c>
      <c r="B49" s="1316" t="str">
        <f ca="1">'预评函-3'!D5</f>
        <v>贰仟伍佰伍拾肆万元整</v>
      </c>
    </row>
    <row r="50" spans="1:2" s="1317" customFormat="1">
      <c r="A50" s="1315" t="s">
        <v>999</v>
      </c>
      <c r="B50" s="1316" t="str">
        <f>'预评函-3'!F2</f>
        <v>在建建筑物价值</v>
      </c>
    </row>
    <row r="51" spans="1:2" s="1317" customFormat="1">
      <c r="A51" s="1315" t="s">
        <v>976</v>
      </c>
      <c r="B51" s="1316">
        <f ca="1">'预评函-3'!F4</f>
        <v>2755</v>
      </c>
    </row>
    <row r="52" spans="1:2" s="1317" customFormat="1">
      <c r="A52" s="1315" t="s">
        <v>977</v>
      </c>
      <c r="B52" s="1316">
        <f ca="1">'预评函-3'!G4</f>
        <v>3294</v>
      </c>
    </row>
    <row r="53" spans="1:2" s="1317" customFormat="1">
      <c r="A53" s="1315" t="s">
        <v>1005</v>
      </c>
      <c r="B53" s="1316" t="str">
        <f ca="1">'预评函-3'!F5</f>
        <v>贰仟柒佰伍拾伍万元整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2938</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1"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89" t="s">
        <v>651</v>
      </c>
      <c r="C54" s="1686" t="s">
        <v>1008</v>
      </c>
    </row>
    <row r="55" spans="1:4">
      <c r="A55" s="3281"/>
      <c r="B55" s="1689" t="s">
        <v>652</v>
      </c>
      <c r="C55" s="1686" t="s">
        <v>1009</v>
      </c>
    </row>
    <row r="56" spans="1:4">
      <c r="A56" s="3281"/>
      <c r="B56" s="1689" t="s">
        <v>653</v>
      </c>
      <c r="C56" s="1686" t="s">
        <v>1013</v>
      </c>
    </row>
    <row r="57" spans="1:4">
      <c r="A57" s="3281"/>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14" sqref="I14"/>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c r="C3" s="2547" t="s">
        <v>2672</v>
      </c>
      <c r="D3" s="2546">
        <v>44677</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285" t="s">
        <v>2678</v>
      </c>
      <c r="E8" s="2564" t="s">
        <v>3176</v>
      </c>
      <c r="F8" s="2565"/>
      <c r="G8" s="2839"/>
      <c r="H8" s="2839"/>
      <c r="I8" s="2839"/>
      <c r="J8" s="2614"/>
      <c r="K8" s="2789"/>
      <c r="L8" s="2788"/>
      <c r="M8" s="2788"/>
      <c r="N8" s="2614"/>
      <c r="O8" s="2625"/>
      <c r="P8" s="2614"/>
      <c r="Q8" s="2614"/>
      <c r="R8" s="2614"/>
    </row>
    <row r="9" spans="1:28" ht="13.5" thickBot="1">
      <c r="A9" s="2566" t="s">
        <v>2679</v>
      </c>
      <c r="B9" s="2567" t="s">
        <v>3176</v>
      </c>
      <c r="C9" s="2568"/>
      <c r="D9" s="3286"/>
      <c r="E9" s="2567"/>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c r="F13" s="945"/>
      <c r="G13" s="945"/>
      <c r="H13" s="945"/>
      <c r="I13" s="3586">
        <v>56388</v>
      </c>
      <c r="J13" s="2614"/>
      <c r="K13" s="2791"/>
      <c r="L13" s="2788"/>
      <c r="M13" s="2788"/>
      <c r="N13" s="2614"/>
      <c r="O13" s="2625"/>
      <c r="P13" s="2614"/>
      <c r="Q13" s="2614"/>
      <c r="R13" s="2614"/>
    </row>
    <row r="14" spans="1:28">
      <c r="A14" s="1193"/>
      <c r="B14" s="2580"/>
      <c r="C14" s="2581" t="s">
        <v>2692</v>
      </c>
      <c r="D14" s="2582"/>
      <c r="E14" s="2582"/>
      <c r="F14" s="2582"/>
      <c r="G14" s="2582"/>
      <c r="H14" s="2582"/>
      <c r="I14" s="2582">
        <v>50</v>
      </c>
      <c r="J14" s="2614"/>
      <c r="K14" s="2792"/>
      <c r="L14" s="2788"/>
      <c r="M14" s="2788"/>
      <c r="N14" s="2614"/>
      <c r="O14" s="2625"/>
      <c r="P14" s="2614"/>
      <c r="Q14" s="2614"/>
      <c r="R14" s="2614"/>
    </row>
    <row r="15" spans="1:28">
      <c r="A15" s="325"/>
      <c r="B15" s="2583"/>
      <c r="C15" s="2584" t="s">
        <v>2693</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32.08</v>
      </c>
      <c r="J15" s="2614"/>
      <c r="K15" s="2793"/>
      <c r="L15" s="2626"/>
      <c r="M15" s="2626"/>
      <c r="N15" s="2684"/>
      <c r="O15" s="2626"/>
      <c r="P15" s="2684"/>
      <c r="Q15" s="2614"/>
      <c r="R15" s="2614"/>
    </row>
    <row r="16" spans="1:28">
      <c r="A16" s="2573" t="s">
        <v>2694</v>
      </c>
      <c r="B16" s="3292"/>
      <c r="C16" s="3293"/>
      <c r="D16" s="3294"/>
      <c r="E16" s="2588" t="s">
        <v>2695</v>
      </c>
      <c r="F16" s="3295"/>
      <c r="G16" s="3296"/>
      <c r="H16" s="3296"/>
      <c r="I16" s="3297"/>
      <c r="J16" s="2614"/>
      <c r="K16" s="2793"/>
      <c r="L16" s="2626"/>
      <c r="M16" s="2626"/>
      <c r="N16" s="2684"/>
      <c r="O16" s="2626"/>
      <c r="P16" s="2684"/>
      <c r="Q16" s="2614"/>
      <c r="R16" s="2614"/>
    </row>
    <row r="17" spans="1:28">
      <c r="A17" s="318" t="s">
        <v>2696</v>
      </c>
      <c r="B17" s="307" t="s">
        <v>2697</v>
      </c>
      <c r="C17" s="11">
        <f>'数据-汇总表'!E3</f>
        <v>8363.3700000000008</v>
      </c>
      <c r="D17" s="2495" t="s">
        <v>2698</v>
      </c>
      <c r="E17" s="3298" t="s">
        <v>2699</v>
      </c>
      <c r="F17" s="3299"/>
      <c r="G17" s="3299"/>
      <c r="H17" s="3299"/>
      <c r="I17" s="3300"/>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18753.7</v>
      </c>
      <c r="D18" s="1204" t="s">
        <v>2702</v>
      </c>
      <c r="E18" s="3301" t="s">
        <v>2703</v>
      </c>
      <c r="F18" s="3302"/>
      <c r="G18" s="3302"/>
      <c r="H18" s="3302"/>
      <c r="I18" s="3303"/>
      <c r="J18" s="2614"/>
      <c r="K18" s="2794"/>
      <c r="L18" s="2626"/>
      <c r="M18" s="2626"/>
      <c r="N18" s="2684"/>
      <c r="O18" s="2626"/>
      <c r="P18" s="2684"/>
      <c r="Q18" s="2614"/>
      <c r="R18" s="2614"/>
      <c r="S18" s="2614"/>
      <c r="T18" s="2614"/>
      <c r="U18" s="2614"/>
      <c r="V18" s="2614"/>
    </row>
    <row r="19" spans="1:28" ht="39.75" thickTop="1" thickBot="1">
      <c r="A19" s="332" t="s">
        <v>1500</v>
      </c>
      <c r="B19" s="312" t="s">
        <v>2704</v>
      </c>
      <c r="C19" s="1698" t="s">
        <v>3180</v>
      </c>
      <c r="D19" s="1699" t="s">
        <v>2705</v>
      </c>
      <c r="E19" s="1700" t="s">
        <v>3181</v>
      </c>
      <c r="F19" s="1701" t="str">
        <f>IF(AND(C19="是",E19="否"),"是否提供他项权证或相关说明","")</f>
        <v>是否提供他项权证或相关说明</v>
      </c>
      <c r="G19" s="1702"/>
      <c r="H19" s="2840"/>
      <c r="I19" s="2840"/>
      <c r="J19" s="2614"/>
      <c r="K19" s="2791"/>
      <c r="L19" s="2788"/>
      <c r="M19" s="2788"/>
      <c r="N19" s="2684"/>
      <c r="O19" s="2626"/>
      <c r="P19" s="2684"/>
      <c r="Q19" s="2614"/>
      <c r="R19" s="2614"/>
      <c r="S19" s="2614"/>
      <c r="T19" s="2614"/>
      <c r="U19" s="2614"/>
      <c r="V19" s="2614"/>
    </row>
    <row r="20" spans="1:28">
      <c r="A20" s="2808" t="s">
        <v>2706</v>
      </c>
      <c r="B20" s="3288" t="s">
        <v>2707</v>
      </c>
      <c r="C20" s="3289"/>
      <c r="D20" s="3290" t="s">
        <v>2708</v>
      </c>
      <c r="E20" s="3291"/>
      <c r="F20" s="2823" t="s">
        <v>1501</v>
      </c>
      <c r="G20" s="2840"/>
      <c r="H20" s="2840"/>
      <c r="I20" s="2840"/>
      <c r="J20" s="2614"/>
      <c r="K20" s="3287"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28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28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05" t="s">
        <v>2715</v>
      </c>
      <c r="B27" s="325" t="s">
        <v>2716</v>
      </c>
      <c r="C27" s="2591" t="s">
        <v>3182</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305"/>
      <c r="B28" s="307" t="s">
        <v>2717</v>
      </c>
      <c r="C28" s="2593" t="s">
        <v>3183</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305"/>
      <c r="B29" s="307" t="s">
        <v>2718</v>
      </c>
      <c r="C29" s="2595" t="s">
        <v>3181</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306"/>
      <c r="B30" s="307" t="s">
        <v>2719</v>
      </c>
      <c r="C30" s="3307"/>
      <c r="D30" s="3308"/>
      <c r="E30" s="2840"/>
      <c r="F30" s="2840"/>
      <c r="G30" s="2840"/>
      <c r="H30" s="2840"/>
      <c r="I30" s="2840"/>
      <c r="J30" s="2614"/>
      <c r="K30" s="2791"/>
      <c r="L30" s="2788"/>
      <c r="M30" s="2788"/>
      <c r="N30" s="2614"/>
      <c r="O30" s="2625"/>
      <c r="P30" s="2614"/>
      <c r="Q30" s="2614"/>
      <c r="R30" s="2614"/>
      <c r="S30" s="2614"/>
      <c r="T30" s="2614"/>
      <c r="U30" s="2614"/>
      <c r="V30" s="2614"/>
    </row>
    <row r="31" spans="1:28">
      <c r="A31" s="3309" t="s">
        <v>2720</v>
      </c>
      <c r="B31" s="2597" t="s">
        <v>3184</v>
      </c>
      <c r="C31" s="2496" t="str">
        <f>IF(B31="现房","成新及维护状况正常否",IF(B31="在建","工程状态是否正常",IF(B31="土地","是否闲置","-")))</f>
        <v>成新及维护状况正常否</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10"/>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10"/>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t="s">
        <v>3185</v>
      </c>
      <c r="C34" s="2164" t="s">
        <v>3186</v>
      </c>
      <c r="D34" s="2164" t="s">
        <v>3187</v>
      </c>
      <c r="E34" s="2164" t="s">
        <v>3188</v>
      </c>
      <c r="F34" s="2164" t="s">
        <v>3189</v>
      </c>
      <c r="G34" s="2164"/>
      <c r="H34" s="2164"/>
      <c r="I34" s="2840"/>
      <c r="J34" s="2614"/>
      <c r="K34" s="2602">
        <f>COUNTIF(B34:H34,"——")</f>
        <v>0</v>
      </c>
      <c r="L34" s="328" t="s">
        <v>2722</v>
      </c>
      <c r="M34" s="328" t="s">
        <v>2723</v>
      </c>
      <c r="N34" s="328" t="s">
        <v>2724</v>
      </c>
      <c r="O34" s="328" t="s">
        <v>2725</v>
      </c>
      <c r="P34" s="328" t="s">
        <v>2726</v>
      </c>
      <c r="Q34" s="328" t="s">
        <v>2727</v>
      </c>
      <c r="R34" s="328" t="s">
        <v>2728</v>
      </c>
      <c r="S34" s="3304" t="s">
        <v>2729</v>
      </c>
      <c r="T34" s="2603" t="str">
        <f>NUMBERSTRING(7-K34,1)&amp;"通"</f>
        <v>七通</v>
      </c>
      <c r="U34" s="2614"/>
      <c r="V34" s="2614"/>
    </row>
    <row r="35" spans="1:30">
      <c r="A35" s="2604"/>
      <c r="B35" s="3311" t="s">
        <v>2730</v>
      </c>
      <c r="C35" s="3311"/>
      <c r="D35" s="3311"/>
      <c r="E35" s="3311"/>
      <c r="F35" s="672">
        <f>C10</f>
        <v>0</v>
      </c>
      <c r="G35" s="2840"/>
      <c r="H35" s="2840"/>
      <c r="I35" s="2840"/>
      <c r="J35" s="2614"/>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v>
      </c>
      <c r="R35" s="334" t="str">
        <f>B34&amp;"、"&amp;C34&amp;"、"&amp;D34&amp;"、"&amp;E34&amp;"、"&amp;F34&amp;"、"&amp;G34&amp;"、"&amp;H34</f>
        <v>通路、通电、通讯、通上水、通下水、、</v>
      </c>
      <c r="S35" s="3304"/>
      <c r="T35" s="334" t="str">
        <f>IF(T34="一通",L35,IF(T34="二通",M35,IF(T34="三通",N35,IF(T34="四通",O35,IF(T34="五通",P35,IF(T34="六通",Q35,R35))))))</f>
        <v>通路、通电、通讯、通上水、通下水、、</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t="s">
        <v>533</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t="s">
        <v>318</v>
      </c>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3" sqref="I33"/>
    </sheetView>
  </sheetViews>
  <sheetFormatPr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9"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3230">
        <v>18753.7</v>
      </c>
      <c r="B3" s="13">
        <f>IF(C3="否",G5-AT5,G5)</f>
        <v>8363.3700000000008</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4" t="s">
        <v>1516</v>
      </c>
      <c r="B5" s="1481"/>
      <c r="C5" s="1481"/>
      <c r="D5" s="1483"/>
      <c r="E5" s="15" t="s">
        <v>1</v>
      </c>
      <c r="F5" s="15">
        <f>SUM(F13:F587)</f>
        <v>0</v>
      </c>
      <c r="G5" s="15">
        <f>SUM(G13:G587)</f>
        <v>8363.3700000000008</v>
      </c>
      <c r="H5" s="15">
        <f t="shared" ref="H5:AT5" si="0">SUM(H13:H656)</f>
        <v>8363.3700000000008</v>
      </c>
      <c r="I5" s="15">
        <f t="shared" si="0"/>
        <v>8363.3700000000008</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80"/>
      <c r="AV5" s="14" t="s">
        <v>1516</v>
      </c>
      <c r="AW5" s="1481"/>
      <c r="AX5" s="1481"/>
      <c r="AY5" s="16" t="s">
        <v>3</v>
      </c>
      <c r="AZ5" s="17">
        <f t="shared" ref="AZ5:BT5" si="1">SUM(AZ13:AZ656)</f>
        <v>8363.3700000000008</v>
      </c>
      <c r="BA5" s="17">
        <f t="shared" si="1"/>
        <v>8363.3700000000008</v>
      </c>
      <c r="BB5" s="17">
        <f t="shared" si="1"/>
        <v>8363.3700000000008</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4" customFormat="1" ht="12.75">
      <c r="A6" s="14" t="s">
        <v>1517</v>
      </c>
      <c r="B6" s="1721"/>
      <c r="C6" s="1721"/>
      <c r="D6" s="1722"/>
      <c r="E6" s="15">
        <f>H6+AC6+AT6</f>
        <v>18753.7</v>
      </c>
      <c r="F6" s="15" t="s">
        <v>1</v>
      </c>
      <c r="G6" s="15" t="s">
        <v>2</v>
      </c>
      <c r="H6" s="19">
        <f>SUMIF(I$12:AB$12,"总值",I6:AB6)</f>
        <v>18753.7</v>
      </c>
      <c r="I6" s="15">
        <f t="shared" ref="I6:AB6" si="2">ROUND($A$3*I5/$B$3,2)</f>
        <v>18753.7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3"/>
      <c r="AV6" s="14" t="s">
        <v>1517</v>
      </c>
      <c r="AW6" s="1721"/>
      <c r="AX6" s="1721"/>
      <c r="AY6" s="20">
        <f>IF(AY3&gt;0,AY3,ROUND($A$3*AZ5/$B$3,2))</f>
        <v>18753.7</v>
      </c>
      <c r="AZ6" s="15" t="s">
        <v>3</v>
      </c>
      <c r="BA6" s="15">
        <f>ROUND($AY$6*BA5/$AZ$5,2)</f>
        <v>18753.7</v>
      </c>
      <c r="BB6" s="15">
        <f>ROUND($AY$6*BB5/$AZ$5,2)</f>
        <v>18753.7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2" t="s">
        <v>1526</v>
      </c>
      <c r="AW7" s="1713" t="s">
        <v>1527</v>
      </c>
      <c r="AX7" s="22"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5"/>
    </row>
    <row r="9" spans="1:72" s="1736" customFormat="1" ht="12.75">
      <c r="A9" s="1729"/>
      <c r="B9" s="1729"/>
      <c r="C9" s="1729"/>
      <c r="D9" s="1729"/>
      <c r="E9" s="1729"/>
      <c r="F9" s="1729"/>
      <c r="G9" s="1182"/>
      <c r="H9" s="1737" t="s">
        <v>1536</v>
      </c>
      <c r="I9" s="1738" t="s">
        <v>3190</v>
      </c>
      <c r="J9" s="898"/>
      <c r="K9" s="1738"/>
      <c r="L9" s="898"/>
      <c r="M9" s="1738"/>
      <c r="N9" s="898"/>
      <c r="O9" s="1738"/>
      <c r="P9" s="898"/>
      <c r="Q9" s="1738"/>
      <c r="R9" s="898"/>
      <c r="S9" s="1738"/>
      <c r="T9" s="898"/>
      <c r="U9" s="1738"/>
      <c r="V9" s="898"/>
      <c r="W9" s="1738"/>
      <c r="X9" s="1739"/>
      <c r="Y9" s="1738"/>
      <c r="Z9" s="898"/>
      <c r="AA9" s="1738"/>
      <c r="AB9" s="898"/>
      <c r="AC9" s="1730" t="s">
        <v>1536</v>
      </c>
      <c r="AD9" s="14" t="s">
        <v>1537</v>
      </c>
      <c r="AE9" s="1188"/>
      <c r="AF9" s="14" t="s">
        <v>1538</v>
      </c>
      <c r="AG9" s="1188"/>
      <c r="AH9" s="14" t="s">
        <v>1537</v>
      </c>
      <c r="AI9" s="1188"/>
      <c r="AJ9" s="14" t="s">
        <v>1538</v>
      </c>
      <c r="AK9" s="1188"/>
      <c r="AL9" s="14" t="s">
        <v>1537</v>
      </c>
      <c r="AM9" s="1188"/>
      <c r="AN9" s="14" t="s">
        <v>1538</v>
      </c>
      <c r="AO9" s="1188"/>
      <c r="AP9" s="14" t="s">
        <v>1537</v>
      </c>
      <c r="AQ9" s="1188"/>
      <c r="AR9" s="14" t="s">
        <v>1538</v>
      </c>
      <c r="AS9" s="1740"/>
      <c r="AT9" s="1729"/>
      <c r="AU9" s="1729" t="s">
        <v>1539</v>
      </c>
      <c r="AV9" s="1182"/>
      <c r="AW9" s="1712"/>
      <c r="AX9" s="1182"/>
      <c r="AY9" s="27"/>
      <c r="AZ9" s="27" t="s">
        <v>1529</v>
      </c>
      <c r="BA9" s="1741" t="s">
        <v>1540</v>
      </c>
      <c r="BB9" s="1742"/>
      <c r="BC9" s="1200"/>
      <c r="BD9" s="1200"/>
      <c r="BE9" s="1200"/>
      <c r="BF9" s="1200"/>
      <c r="BG9" s="1200"/>
      <c r="BH9" s="1200"/>
      <c r="BI9" s="1200"/>
      <c r="BJ9" s="1200"/>
      <c r="BK9" s="1743"/>
      <c r="BL9" s="14" t="s">
        <v>1541</v>
      </c>
      <c r="BM9" s="1494"/>
      <c r="BN9" s="1732"/>
      <c r="BO9" s="1494"/>
      <c r="BP9" s="1494"/>
      <c r="BQ9" s="1494"/>
      <c r="BR9" s="1494"/>
      <c r="BS9" s="1494"/>
      <c r="BT9" s="25"/>
    </row>
    <row r="10" spans="1:72" s="1736" customFormat="1" ht="12.75">
      <c r="A10" s="1729"/>
      <c r="B10" s="1729"/>
      <c r="C10" s="1729"/>
      <c r="D10" s="1729"/>
      <c r="E10" s="1729"/>
      <c r="F10" s="1729"/>
      <c r="G10" s="1182"/>
      <c r="H10" s="27"/>
      <c r="I10" s="1738" t="s">
        <v>6</v>
      </c>
      <c r="J10" s="898"/>
      <c r="K10" s="1744"/>
      <c r="L10" s="898"/>
      <c r="M10" s="1744"/>
      <c r="N10" s="898"/>
      <c r="O10" s="1744"/>
      <c r="P10" s="898"/>
      <c r="Q10" s="1744"/>
      <c r="R10" s="898"/>
      <c r="S10" s="1744"/>
      <c r="T10" s="898"/>
      <c r="U10" s="1744"/>
      <c r="V10" s="898"/>
      <c r="W10" s="1744"/>
      <c r="X10" s="898"/>
      <c r="Y10" s="1744"/>
      <c r="Z10" s="898"/>
      <c r="AA10" s="1744"/>
      <c r="AB10" s="898"/>
      <c r="AC10" s="1182"/>
      <c r="AD10" s="14" t="s">
        <v>1542</v>
      </c>
      <c r="AE10" s="1745"/>
      <c r="AF10" s="14" t="s">
        <v>1542</v>
      </c>
      <c r="AG10" s="1745"/>
      <c r="AH10" s="14" t="s">
        <v>1543</v>
      </c>
      <c r="AI10" s="1745"/>
      <c r="AJ10" s="14" t="s">
        <v>1543</v>
      </c>
      <c r="AK10" s="1745"/>
      <c r="AL10" s="14" t="s">
        <v>1544</v>
      </c>
      <c r="AM10" s="1188"/>
      <c r="AN10" s="14" t="s">
        <v>1544</v>
      </c>
      <c r="AO10" s="1188"/>
      <c r="AP10" s="14" t="s">
        <v>1545</v>
      </c>
      <c r="AQ10" s="1188"/>
      <c r="AR10" s="14" t="s">
        <v>1545</v>
      </c>
      <c r="AS10" s="1188"/>
      <c r="AT10" s="1729"/>
      <c r="AU10" s="1729"/>
      <c r="AV10" s="1182"/>
      <c r="AW10" s="1712"/>
      <c r="AX10" s="1182"/>
      <c r="AY10" s="27"/>
      <c r="AZ10" s="27"/>
      <c r="BA10" s="1746" t="s">
        <v>1536</v>
      </c>
      <c r="BB10" s="1747" t="str">
        <f>I9</f>
        <v>地上</v>
      </c>
      <c r="BC10" s="28">
        <f>K9</f>
        <v>0</v>
      </c>
      <c r="BD10" s="28">
        <f>M9</f>
        <v>0</v>
      </c>
      <c r="BE10" s="28">
        <f>O9</f>
        <v>0</v>
      </c>
      <c r="BF10" s="28">
        <f>Q9</f>
        <v>0</v>
      </c>
      <c r="BG10" s="28">
        <f>S9</f>
        <v>0</v>
      </c>
      <c r="BH10" s="28">
        <f>U9</f>
        <v>0</v>
      </c>
      <c r="BI10" s="28">
        <f>W9</f>
        <v>0</v>
      </c>
      <c r="BJ10" s="28">
        <f>Y9</f>
        <v>0</v>
      </c>
      <c r="BK10" s="28">
        <f>AA9</f>
        <v>0</v>
      </c>
      <c r="BL10" s="24" t="s">
        <v>1536</v>
      </c>
      <c r="BM10" s="1493" t="str">
        <f>AD9</f>
        <v>地上</v>
      </c>
      <c r="BN10" s="28" t="str">
        <f>AF9</f>
        <v>地下</v>
      </c>
      <c r="BO10" s="1493" t="str">
        <f>AH9</f>
        <v>地上</v>
      </c>
      <c r="BP10" s="28" t="str">
        <f>AJ9</f>
        <v>地下</v>
      </c>
      <c r="BQ10" s="1493" t="str">
        <f>AL9</f>
        <v>地上</v>
      </c>
      <c r="BR10" s="28"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7"/>
      <c r="AZ11" s="27"/>
      <c r="BA11" s="27"/>
      <c r="BB11" s="1734" t="str">
        <f>I10</f>
        <v>工业</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3" t="str">
        <f>AH10</f>
        <v>物业管理用房</v>
      </c>
      <c r="BP11" s="23" t="str">
        <f>AJ10</f>
        <v>物业管理用房</v>
      </c>
      <c r="BQ11" s="23" t="str">
        <f>AL10</f>
        <v>设备及其他</v>
      </c>
      <c r="BR11" s="23" t="str">
        <f>AN10</f>
        <v>设备及其他</v>
      </c>
      <c r="BS11" s="24" t="str">
        <f>AP10</f>
        <v>未注明</v>
      </c>
      <c r="BT11" s="1753" t="str">
        <f>AR10</f>
        <v>未注明</v>
      </c>
    </row>
    <row r="12" spans="1:72" s="1714" customFormat="1" ht="12.75">
      <c r="A12" s="1754"/>
      <c r="B12" s="1754"/>
      <c r="C12" s="1754"/>
      <c r="D12" s="1754"/>
      <c r="E12" s="1754"/>
      <c r="F12" s="1754"/>
      <c r="G12" s="29"/>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29" t="s">
        <v>1548</v>
      </c>
      <c r="AS12" s="1754" t="s">
        <v>1549</v>
      </c>
      <c r="AT12" s="1757"/>
      <c r="AU12" s="1754"/>
      <c r="AV12" s="30"/>
      <c r="AW12" s="1713"/>
      <c r="AX12" s="30"/>
      <c r="AY12" s="1758"/>
      <c r="AZ12" s="27"/>
      <c r="BA12" s="1746"/>
      <c r="BB12" s="23">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3" t="str">
        <f>AH11</f>
        <v>（住宅、计出让金）</v>
      </c>
      <c r="BP12" s="23" t="str">
        <f>AJ11</f>
        <v>（住宅、计出让金）</v>
      </c>
      <c r="BQ12" s="23">
        <f>AL11</f>
        <v>0</v>
      </c>
      <c r="BR12" s="23">
        <f>AN11</f>
        <v>0</v>
      </c>
      <c r="BS12" s="24">
        <f>AP11</f>
        <v>0</v>
      </c>
      <c r="BT12" s="1753">
        <f>AR11</f>
        <v>0</v>
      </c>
    </row>
    <row r="13" spans="1:72" s="1714" customFormat="1" ht="12.75">
      <c r="A13" s="1162"/>
      <c r="B13" s="1162"/>
      <c r="C13" s="1162"/>
      <c r="D13" s="1760" t="s">
        <v>3180</v>
      </c>
      <c r="E13" s="15">
        <f>IF($C$3="是",ROUND($A$3*G13/$B$3,2),ROUND($A$3*(G13-AT13)/$B$3,2))</f>
        <v>18753.7</v>
      </c>
      <c r="F13" s="31"/>
      <c r="G13" s="32">
        <f>H13+AC13+AT13</f>
        <v>8363.3700000000008</v>
      </c>
      <c r="H13" s="19">
        <f>SUMIF(I$12:AB$12,"总值",I13:AB13)</f>
        <v>8363.3700000000008</v>
      </c>
      <c r="I13" s="3231">
        <v>8363.3700000000008</v>
      </c>
      <c r="J13" s="1761"/>
      <c r="K13" s="1761"/>
      <c r="L13" s="1761"/>
      <c r="M13" s="1761"/>
      <c r="N13" s="1761"/>
      <c r="O13" s="1761"/>
      <c r="P13" s="1761"/>
      <c r="Q13" s="1761"/>
      <c r="R13" s="1761"/>
      <c r="S13" s="1761"/>
      <c r="T13" s="1761"/>
      <c r="U13" s="1761"/>
      <c r="V13" s="1761"/>
      <c r="W13" s="1761"/>
      <c r="X13" s="1761"/>
      <c r="Y13" s="1761"/>
      <c r="Z13" s="1761"/>
      <c r="AA13" s="1761"/>
      <c r="AB13" s="1761"/>
      <c r="AC13" s="15">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18753.7</v>
      </c>
      <c r="AZ13" s="15">
        <f>BA13+BL13</f>
        <v>8363.3700000000008</v>
      </c>
      <c r="BA13" s="15">
        <f>SUM(BB13:BK13)</f>
        <v>8363.3700000000008</v>
      </c>
      <c r="BB13" s="15">
        <f>IF($D13="是",I13-J13,0)</f>
        <v>8363.3700000000008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4" customFormat="1" ht="12.75">
      <c r="A14" s="1162"/>
      <c r="B14" s="1162"/>
      <c r="C14" s="1705"/>
      <c r="D14" s="1760"/>
      <c r="E14" s="15">
        <f>IF($C$3="是",ROUND($A$3*G14/$B$3,2),ROUND($A$3*(G14-AT14)/$B$3,2))</f>
        <v>0</v>
      </c>
      <c r="F14" s="31"/>
      <c r="G14" s="32">
        <f>H14+AC14+AT14</f>
        <v>0</v>
      </c>
      <c r="H14" s="19">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5">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4" customFormat="1" ht="12.75">
      <c r="A15" s="1162"/>
      <c r="B15" s="1162"/>
      <c r="C15" s="1705"/>
      <c r="D15" s="1760"/>
      <c r="E15" s="15">
        <f>IF($C$3="是",ROUND($A$3*G15/$B$3,2),ROUND($A$3*(G15-AT15)/$B$3,2))</f>
        <v>0</v>
      </c>
      <c r="F15" s="31"/>
      <c r="G15" s="32">
        <f>H15+AC15+AT15</f>
        <v>0</v>
      </c>
      <c r="H15" s="19">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5">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4" customFormat="1" ht="12.75">
      <c r="A16" s="1162"/>
      <c r="B16" s="1162"/>
      <c r="C16" s="1705"/>
      <c r="D16" s="1760"/>
      <c r="E16" s="15">
        <f>IF($C$3="是",ROUND($A$3*G16/$B$3,2),ROUND($A$3*(G16-AT16)/$B$3,2))</f>
        <v>0</v>
      </c>
      <c r="F16" s="31"/>
      <c r="G16" s="32">
        <f>H16+AC16+AT16</f>
        <v>0</v>
      </c>
      <c r="H16" s="19">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5">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4" customFormat="1" ht="12.75">
      <c r="A17" s="1162"/>
      <c r="B17" s="1162"/>
      <c r="C17" s="1705"/>
      <c r="D17" s="1760"/>
      <c r="E17" s="15">
        <f>IF($C$3="是",ROUND($A$3*G17/$B$3,2),ROUND($A$3*(G17-AT17)/$B$3,2))</f>
        <v>0</v>
      </c>
      <c r="F17" s="31"/>
      <c r="G17" s="32">
        <f>H17+AC17+AT17</f>
        <v>0</v>
      </c>
      <c r="H17" s="19">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5">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6"/>
      <c r="AV18" s="1477">
        <f t="shared" ref="AV18:AV112" si="11">A18</f>
        <v>0</v>
      </c>
      <c r="AW18" s="1477">
        <f t="shared" ref="AW18:AW112" si="12">B18</f>
        <v>0</v>
      </c>
      <c r="AX18" s="147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6"/>
      <c r="AV19" s="1477">
        <f t="shared" si="11"/>
        <v>0</v>
      </c>
      <c r="AW19" s="1477">
        <f t="shared" si="12"/>
        <v>0</v>
      </c>
      <c r="AX19" s="147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6"/>
      <c r="AV20" s="1477">
        <f t="shared" si="11"/>
        <v>0</v>
      </c>
      <c r="AW20" s="1477">
        <f t="shared" si="12"/>
        <v>0</v>
      </c>
      <c r="AX20" s="147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6"/>
      <c r="AV21" s="1477">
        <f t="shared" si="11"/>
        <v>0</v>
      </c>
      <c r="AW21" s="1477">
        <f t="shared" si="12"/>
        <v>0</v>
      </c>
      <c r="AX21" s="147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6"/>
      <c r="AV22" s="1477">
        <f t="shared" si="11"/>
        <v>0</v>
      </c>
      <c r="AW22" s="1477">
        <f t="shared" si="12"/>
        <v>0</v>
      </c>
      <c r="AX22" s="147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6"/>
      <c r="AV23" s="1477">
        <f t="shared" si="11"/>
        <v>0</v>
      </c>
      <c r="AW23" s="1477">
        <f t="shared" si="12"/>
        <v>0</v>
      </c>
      <c r="AX23" s="147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6"/>
      <c r="AV24" s="1477">
        <f t="shared" si="11"/>
        <v>0</v>
      </c>
      <c r="AW24" s="1477">
        <f t="shared" si="12"/>
        <v>0</v>
      </c>
      <c r="AX24" s="147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6"/>
      <c r="AV25" s="1477">
        <f t="shared" si="11"/>
        <v>0</v>
      </c>
      <c r="AW25" s="1477">
        <f t="shared" si="12"/>
        <v>0</v>
      </c>
      <c r="AX25" s="147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6"/>
      <c r="AV26" s="1477">
        <f t="shared" si="11"/>
        <v>0</v>
      </c>
      <c r="AW26" s="1477">
        <f t="shared" si="12"/>
        <v>0</v>
      </c>
      <c r="AX26" s="147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6"/>
      <c r="AV27" s="1477">
        <f t="shared" si="11"/>
        <v>0</v>
      </c>
      <c r="AW27" s="1477">
        <f t="shared" si="12"/>
        <v>0</v>
      </c>
      <c r="AX27" s="147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6"/>
      <c r="AV28" s="1477">
        <f t="shared" si="11"/>
        <v>0</v>
      </c>
      <c r="AW28" s="1477">
        <f t="shared" si="12"/>
        <v>0</v>
      </c>
      <c r="AX28" s="147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6"/>
      <c r="AV29" s="1477">
        <f t="shared" si="11"/>
        <v>0</v>
      </c>
      <c r="AW29" s="1477">
        <f t="shared" si="12"/>
        <v>0</v>
      </c>
      <c r="AX29" s="147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6"/>
      <c r="AV30" s="1477">
        <f t="shared" si="11"/>
        <v>0</v>
      </c>
      <c r="AW30" s="1477">
        <f t="shared" si="12"/>
        <v>0</v>
      </c>
      <c r="AX30" s="147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6"/>
      <c r="AV31" s="1477">
        <f t="shared" si="11"/>
        <v>0</v>
      </c>
      <c r="AW31" s="1477">
        <f t="shared" si="12"/>
        <v>0</v>
      </c>
      <c r="AX31" s="147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6"/>
      <c r="AV32" s="1477">
        <f t="shared" si="11"/>
        <v>0</v>
      </c>
      <c r="AW32" s="1477">
        <f t="shared" si="12"/>
        <v>0</v>
      </c>
      <c r="AX32" s="147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6"/>
      <c r="AV33" s="1477">
        <f t="shared" si="11"/>
        <v>0</v>
      </c>
      <c r="AW33" s="1477">
        <f t="shared" si="12"/>
        <v>0</v>
      </c>
      <c r="AX33" s="147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6"/>
      <c r="AV34" s="1477">
        <f t="shared" si="11"/>
        <v>0</v>
      </c>
      <c r="AW34" s="1477">
        <f t="shared" si="12"/>
        <v>0</v>
      </c>
      <c r="AX34" s="147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6"/>
      <c r="AV35" s="1477">
        <f t="shared" si="11"/>
        <v>0</v>
      </c>
      <c r="AW35" s="1477">
        <f t="shared" si="12"/>
        <v>0</v>
      </c>
      <c r="AX35" s="147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6"/>
      <c r="AV36" s="1477">
        <f t="shared" si="11"/>
        <v>0</v>
      </c>
      <c r="AW36" s="1477">
        <f t="shared" si="12"/>
        <v>0</v>
      </c>
      <c r="AX36" s="147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6"/>
      <c r="AV37" s="1477">
        <f t="shared" si="11"/>
        <v>0</v>
      </c>
      <c r="AW37" s="1477">
        <f t="shared" si="12"/>
        <v>0</v>
      </c>
      <c r="AX37" s="147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6"/>
      <c r="AV38" s="1477">
        <f t="shared" si="11"/>
        <v>0</v>
      </c>
      <c r="AW38" s="1477">
        <f t="shared" si="12"/>
        <v>0</v>
      </c>
      <c r="AX38" s="147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6"/>
      <c r="AV39" s="1477">
        <f t="shared" si="11"/>
        <v>0</v>
      </c>
      <c r="AW39" s="1477">
        <f t="shared" si="12"/>
        <v>0</v>
      </c>
      <c r="AX39" s="147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6"/>
      <c r="AV40" s="1477">
        <f t="shared" si="11"/>
        <v>0</v>
      </c>
      <c r="AW40" s="1477">
        <f t="shared" si="12"/>
        <v>0</v>
      </c>
      <c r="AX40" s="147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6"/>
      <c r="AV41" s="1477">
        <f t="shared" si="11"/>
        <v>0</v>
      </c>
      <c r="AW41" s="1477">
        <f t="shared" si="12"/>
        <v>0</v>
      </c>
      <c r="AX41" s="147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6"/>
      <c r="AV42" s="1477">
        <f t="shared" si="11"/>
        <v>0</v>
      </c>
      <c r="AW42" s="1477">
        <f t="shared" si="12"/>
        <v>0</v>
      </c>
      <c r="AX42" s="147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6"/>
      <c r="AV43" s="1477">
        <f t="shared" si="11"/>
        <v>0</v>
      </c>
      <c r="AW43" s="1477">
        <f t="shared" si="12"/>
        <v>0</v>
      </c>
      <c r="AX43" s="147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6"/>
      <c r="AV44" s="1477">
        <f t="shared" si="11"/>
        <v>0</v>
      </c>
      <c r="AW44" s="1477">
        <f t="shared" si="12"/>
        <v>0</v>
      </c>
      <c r="AX44" s="147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6"/>
      <c r="AV45" s="1477">
        <f t="shared" si="11"/>
        <v>0</v>
      </c>
      <c r="AW45" s="1477">
        <f t="shared" si="12"/>
        <v>0</v>
      </c>
      <c r="AX45" s="147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6"/>
      <c r="AV46" s="1477">
        <f t="shared" si="11"/>
        <v>0</v>
      </c>
      <c r="AW46" s="1477">
        <f t="shared" si="12"/>
        <v>0</v>
      </c>
      <c r="AX46" s="147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6"/>
      <c r="AV47" s="1477">
        <f t="shared" si="11"/>
        <v>0</v>
      </c>
      <c r="AW47" s="1477">
        <f t="shared" si="12"/>
        <v>0</v>
      </c>
      <c r="AX47" s="147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6"/>
      <c r="AV48" s="1477">
        <f t="shared" si="11"/>
        <v>0</v>
      </c>
      <c r="AW48" s="1477">
        <f t="shared" si="12"/>
        <v>0</v>
      </c>
      <c r="AX48" s="147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6"/>
      <c r="AV49" s="1477">
        <f t="shared" si="11"/>
        <v>0</v>
      </c>
      <c r="AW49" s="1477">
        <f t="shared" si="12"/>
        <v>0</v>
      </c>
      <c r="AX49" s="147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6"/>
      <c r="AV50" s="1477">
        <f t="shared" si="11"/>
        <v>0</v>
      </c>
      <c r="AW50" s="1477">
        <f t="shared" si="12"/>
        <v>0</v>
      </c>
      <c r="AX50" s="147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6"/>
      <c r="AV51" s="1477">
        <f t="shared" si="11"/>
        <v>0</v>
      </c>
      <c r="AW51" s="1477">
        <f t="shared" si="12"/>
        <v>0</v>
      </c>
      <c r="AX51" s="147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6"/>
      <c r="AV52" s="1477">
        <f t="shared" si="11"/>
        <v>0</v>
      </c>
      <c r="AW52" s="1477">
        <f t="shared" si="12"/>
        <v>0</v>
      </c>
      <c r="AX52" s="147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6"/>
      <c r="AV53" s="1477">
        <f t="shared" si="11"/>
        <v>0</v>
      </c>
      <c r="AW53" s="1477">
        <f t="shared" si="12"/>
        <v>0</v>
      </c>
      <c r="AX53" s="147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6"/>
      <c r="AV54" s="1477">
        <f t="shared" si="11"/>
        <v>0</v>
      </c>
      <c r="AW54" s="1477">
        <f t="shared" si="12"/>
        <v>0</v>
      </c>
      <c r="AX54" s="147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6"/>
      <c r="AV55" s="1477">
        <f t="shared" si="11"/>
        <v>0</v>
      </c>
      <c r="AW55" s="1477">
        <f t="shared" si="12"/>
        <v>0</v>
      </c>
      <c r="AX55" s="147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6"/>
      <c r="AV56" s="1477">
        <f t="shared" si="11"/>
        <v>0</v>
      </c>
      <c r="AW56" s="1477">
        <f t="shared" si="12"/>
        <v>0</v>
      </c>
      <c r="AX56" s="147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6"/>
      <c r="AV57" s="1477">
        <f t="shared" si="11"/>
        <v>0</v>
      </c>
      <c r="AW57" s="1477">
        <f t="shared" si="12"/>
        <v>0</v>
      </c>
      <c r="AX57" s="147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6"/>
      <c r="AV58" s="1477">
        <f t="shared" si="11"/>
        <v>0</v>
      </c>
      <c r="AW58" s="1477">
        <f t="shared" si="12"/>
        <v>0</v>
      </c>
      <c r="AX58" s="147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6"/>
      <c r="AV59" s="1477">
        <f t="shared" si="11"/>
        <v>0</v>
      </c>
      <c r="AW59" s="1477">
        <f t="shared" si="12"/>
        <v>0</v>
      </c>
      <c r="AX59" s="147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6"/>
      <c r="AV60" s="1477">
        <f t="shared" si="11"/>
        <v>0</v>
      </c>
      <c r="AW60" s="1477">
        <f t="shared" si="12"/>
        <v>0</v>
      </c>
      <c r="AX60" s="147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6"/>
      <c r="AV61" s="1477">
        <f t="shared" si="11"/>
        <v>0</v>
      </c>
      <c r="AW61" s="1477">
        <f t="shared" si="12"/>
        <v>0</v>
      </c>
      <c r="AX61" s="147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6"/>
      <c r="AV62" s="1477">
        <f t="shared" si="11"/>
        <v>0</v>
      </c>
      <c r="AW62" s="1477">
        <f t="shared" si="12"/>
        <v>0</v>
      </c>
      <c r="AX62" s="147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6"/>
      <c r="AV63" s="1477">
        <f t="shared" si="11"/>
        <v>0</v>
      </c>
      <c r="AW63" s="1477">
        <f t="shared" si="12"/>
        <v>0</v>
      </c>
      <c r="AX63" s="147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6"/>
      <c r="AV64" s="1477">
        <f t="shared" si="11"/>
        <v>0</v>
      </c>
      <c r="AW64" s="1477">
        <f t="shared" si="12"/>
        <v>0</v>
      </c>
      <c r="AX64" s="147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6"/>
      <c r="AV65" s="1477">
        <f t="shared" si="11"/>
        <v>0</v>
      </c>
      <c r="AW65" s="1477">
        <f t="shared" si="12"/>
        <v>0</v>
      </c>
      <c r="AX65" s="147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6"/>
      <c r="AV66" s="1477">
        <f t="shared" si="11"/>
        <v>0</v>
      </c>
      <c r="AW66" s="1477">
        <f t="shared" si="12"/>
        <v>0</v>
      </c>
      <c r="AX66" s="147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6"/>
      <c r="AV67" s="1477">
        <f t="shared" si="11"/>
        <v>0</v>
      </c>
      <c r="AW67" s="1477">
        <f t="shared" si="12"/>
        <v>0</v>
      </c>
      <c r="AX67" s="147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6"/>
      <c r="AV68" s="1477">
        <f t="shared" si="11"/>
        <v>0</v>
      </c>
      <c r="AW68" s="1477">
        <f t="shared" si="12"/>
        <v>0</v>
      </c>
      <c r="AX68" s="147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6"/>
      <c r="AV69" s="1477">
        <f t="shared" si="11"/>
        <v>0</v>
      </c>
      <c r="AW69" s="1477">
        <f t="shared" si="12"/>
        <v>0</v>
      </c>
      <c r="AX69" s="147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6"/>
      <c r="AV70" s="1477">
        <f t="shared" si="11"/>
        <v>0</v>
      </c>
      <c r="AW70" s="1477">
        <f t="shared" si="12"/>
        <v>0</v>
      </c>
      <c r="AX70" s="147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6"/>
      <c r="AV71" s="1477">
        <f t="shared" si="11"/>
        <v>0</v>
      </c>
      <c r="AW71" s="1477">
        <f t="shared" si="12"/>
        <v>0</v>
      </c>
      <c r="AX71" s="147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6"/>
      <c r="AV72" s="1477">
        <f t="shared" si="11"/>
        <v>0</v>
      </c>
      <c r="AW72" s="1477">
        <f t="shared" si="12"/>
        <v>0</v>
      </c>
      <c r="AX72" s="147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6"/>
      <c r="AV73" s="1477">
        <f t="shared" si="11"/>
        <v>0</v>
      </c>
      <c r="AW73" s="1477">
        <f t="shared" si="12"/>
        <v>0</v>
      </c>
      <c r="AX73" s="147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6"/>
      <c r="AV74" s="1477">
        <f t="shared" si="11"/>
        <v>0</v>
      </c>
      <c r="AW74" s="1477">
        <f t="shared" si="12"/>
        <v>0</v>
      </c>
      <c r="AX74" s="147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6"/>
      <c r="AV75" s="1477">
        <f t="shared" si="11"/>
        <v>0</v>
      </c>
      <c r="AW75" s="1477">
        <f t="shared" si="12"/>
        <v>0</v>
      </c>
      <c r="AX75" s="147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6"/>
      <c r="AV76" s="1477">
        <f t="shared" si="11"/>
        <v>0</v>
      </c>
      <c r="AW76" s="1477">
        <f t="shared" si="12"/>
        <v>0</v>
      </c>
      <c r="AX76" s="147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6"/>
      <c r="AV77" s="1477">
        <f t="shared" si="11"/>
        <v>0</v>
      </c>
      <c r="AW77" s="1477">
        <f t="shared" si="12"/>
        <v>0</v>
      </c>
      <c r="AX77" s="147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6"/>
      <c r="AV78" s="1477">
        <f t="shared" si="11"/>
        <v>0</v>
      </c>
      <c r="AW78" s="1477">
        <f t="shared" si="12"/>
        <v>0</v>
      </c>
      <c r="AX78" s="147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6"/>
      <c r="AV79" s="1477">
        <f t="shared" si="11"/>
        <v>0</v>
      </c>
      <c r="AW79" s="1477">
        <f t="shared" si="12"/>
        <v>0</v>
      </c>
      <c r="AX79" s="147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6"/>
      <c r="AV80" s="1477">
        <f t="shared" si="11"/>
        <v>0</v>
      </c>
      <c r="AW80" s="1477">
        <f t="shared" si="12"/>
        <v>0</v>
      </c>
      <c r="AX80" s="147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6"/>
      <c r="AV81" s="1477">
        <f t="shared" si="11"/>
        <v>0</v>
      </c>
      <c r="AW81" s="1477">
        <f t="shared" si="12"/>
        <v>0</v>
      </c>
      <c r="AX81" s="147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6"/>
      <c r="AV82" s="1477">
        <f t="shared" si="11"/>
        <v>0</v>
      </c>
      <c r="AW82" s="1477">
        <f t="shared" si="12"/>
        <v>0</v>
      </c>
      <c r="AX82" s="147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6"/>
      <c r="AV83" s="1477">
        <f t="shared" si="11"/>
        <v>0</v>
      </c>
      <c r="AW83" s="1477">
        <f t="shared" si="12"/>
        <v>0</v>
      </c>
      <c r="AX83" s="147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6"/>
      <c r="AV84" s="1477">
        <f t="shared" si="11"/>
        <v>0</v>
      </c>
      <c r="AW84" s="1477">
        <f t="shared" si="12"/>
        <v>0</v>
      </c>
      <c r="AX84" s="147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6"/>
      <c r="AV85" s="1477">
        <f t="shared" si="11"/>
        <v>0</v>
      </c>
      <c r="AW85" s="1477">
        <f t="shared" si="12"/>
        <v>0</v>
      </c>
      <c r="AX85" s="147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6"/>
      <c r="AV86" s="1477">
        <f t="shared" si="11"/>
        <v>0</v>
      </c>
      <c r="AW86" s="1477">
        <f t="shared" si="12"/>
        <v>0</v>
      </c>
      <c r="AX86" s="147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6"/>
      <c r="AV87" s="1477">
        <f t="shared" si="11"/>
        <v>0</v>
      </c>
      <c r="AW87" s="1477">
        <f t="shared" si="12"/>
        <v>0</v>
      </c>
      <c r="AX87" s="147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6"/>
      <c r="AV88" s="1477">
        <f t="shared" si="11"/>
        <v>0</v>
      </c>
      <c r="AW88" s="1477">
        <f t="shared" si="12"/>
        <v>0</v>
      </c>
      <c r="AX88" s="147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6"/>
      <c r="AV89" s="1477">
        <f t="shared" si="11"/>
        <v>0</v>
      </c>
      <c r="AW89" s="1477">
        <f t="shared" si="12"/>
        <v>0</v>
      </c>
      <c r="AX89" s="147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6"/>
      <c r="AV90" s="1477">
        <f t="shared" si="11"/>
        <v>0</v>
      </c>
      <c r="AW90" s="1477">
        <f t="shared" si="12"/>
        <v>0</v>
      </c>
      <c r="AX90" s="147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6"/>
      <c r="AV91" s="1477">
        <f t="shared" si="11"/>
        <v>0</v>
      </c>
      <c r="AW91" s="1477">
        <f t="shared" si="12"/>
        <v>0</v>
      </c>
      <c r="AX91" s="147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6"/>
      <c r="AV92" s="1477">
        <f t="shared" si="11"/>
        <v>0</v>
      </c>
      <c r="AW92" s="1477">
        <f t="shared" si="12"/>
        <v>0</v>
      </c>
      <c r="AX92" s="147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6"/>
      <c r="AV93" s="1477">
        <f t="shared" si="11"/>
        <v>0</v>
      </c>
      <c r="AW93" s="1477">
        <f t="shared" si="12"/>
        <v>0</v>
      </c>
      <c r="AX93" s="147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6"/>
      <c r="AV94" s="1477">
        <f t="shared" si="11"/>
        <v>0</v>
      </c>
      <c r="AW94" s="1477">
        <f t="shared" si="12"/>
        <v>0</v>
      </c>
      <c r="AX94" s="147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6"/>
      <c r="AV95" s="1477">
        <f t="shared" si="11"/>
        <v>0</v>
      </c>
      <c r="AW95" s="1477">
        <f t="shared" si="12"/>
        <v>0</v>
      </c>
      <c r="AX95" s="147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6"/>
      <c r="AV96" s="1477">
        <f t="shared" si="11"/>
        <v>0</v>
      </c>
      <c r="AW96" s="1477">
        <f t="shared" si="12"/>
        <v>0</v>
      </c>
      <c r="AX96" s="147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6"/>
      <c r="AV97" s="1477">
        <f t="shared" si="11"/>
        <v>0</v>
      </c>
      <c r="AW97" s="1477">
        <f t="shared" si="12"/>
        <v>0</v>
      </c>
      <c r="AX97" s="147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6"/>
      <c r="AV98" s="1477">
        <f t="shared" si="11"/>
        <v>0</v>
      </c>
      <c r="AW98" s="1477">
        <f t="shared" si="12"/>
        <v>0</v>
      </c>
      <c r="AX98" s="147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6"/>
      <c r="AV99" s="1477">
        <f t="shared" si="11"/>
        <v>0</v>
      </c>
      <c r="AW99" s="1477">
        <f t="shared" si="12"/>
        <v>0</v>
      </c>
      <c r="AX99" s="147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6"/>
      <c r="AV100" s="1477">
        <f t="shared" si="11"/>
        <v>0</v>
      </c>
      <c r="AW100" s="1477">
        <f t="shared" si="12"/>
        <v>0</v>
      </c>
      <c r="AX100" s="147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6"/>
      <c r="AV101" s="1477">
        <f t="shared" si="11"/>
        <v>0</v>
      </c>
      <c r="AW101" s="1477">
        <f t="shared" si="12"/>
        <v>0</v>
      </c>
      <c r="AX101" s="147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6"/>
      <c r="AV102" s="1477">
        <f t="shared" si="11"/>
        <v>0</v>
      </c>
      <c r="AW102" s="1477">
        <f t="shared" si="12"/>
        <v>0</v>
      </c>
      <c r="AX102" s="147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6"/>
      <c r="AV103" s="1477">
        <f t="shared" si="11"/>
        <v>0</v>
      </c>
      <c r="AW103" s="1477">
        <f t="shared" si="12"/>
        <v>0</v>
      </c>
      <c r="AX103" s="147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6"/>
      <c r="AV104" s="1477">
        <f t="shared" si="11"/>
        <v>0</v>
      </c>
      <c r="AW104" s="1477">
        <f t="shared" si="12"/>
        <v>0</v>
      </c>
      <c r="AX104" s="147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6"/>
      <c r="AV105" s="1477">
        <f t="shared" si="11"/>
        <v>0</v>
      </c>
      <c r="AW105" s="1477">
        <f t="shared" si="12"/>
        <v>0</v>
      </c>
      <c r="AX105" s="147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6"/>
      <c r="AV106" s="1477">
        <f t="shared" si="11"/>
        <v>0</v>
      </c>
      <c r="AW106" s="1477">
        <f t="shared" si="12"/>
        <v>0</v>
      </c>
      <c r="AX106" s="147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6"/>
      <c r="AV107" s="1477">
        <f t="shared" si="11"/>
        <v>0</v>
      </c>
      <c r="AW107" s="1477">
        <f t="shared" si="12"/>
        <v>0</v>
      </c>
      <c r="AX107" s="147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6"/>
      <c r="AV108" s="1477">
        <f t="shared" si="11"/>
        <v>0</v>
      </c>
      <c r="AW108" s="1477">
        <f t="shared" si="12"/>
        <v>0</v>
      </c>
      <c r="AX108" s="147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6"/>
      <c r="AV109" s="1477">
        <f t="shared" si="11"/>
        <v>0</v>
      </c>
      <c r="AW109" s="1477">
        <f t="shared" si="12"/>
        <v>0</v>
      </c>
      <c r="AX109" s="147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6"/>
      <c r="AV110" s="1477">
        <f t="shared" si="11"/>
        <v>0</v>
      </c>
      <c r="AW110" s="1477">
        <f t="shared" si="12"/>
        <v>0</v>
      </c>
      <c r="AX110" s="147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6"/>
      <c r="AV111" s="1477">
        <f t="shared" si="11"/>
        <v>0</v>
      </c>
      <c r="AW111" s="1477">
        <f t="shared" si="12"/>
        <v>0</v>
      </c>
      <c r="AX111" s="147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6"/>
      <c r="AV112" s="1477">
        <f t="shared" si="11"/>
        <v>0</v>
      </c>
      <c r="AW112" s="1477">
        <f t="shared" si="12"/>
        <v>0</v>
      </c>
      <c r="AX112" s="147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6"/>
      <c r="AV113" s="1477">
        <f t="shared" ref="AV113:AV144" si="62">A113</f>
        <v>0</v>
      </c>
      <c r="AW113" s="1477">
        <f t="shared" ref="AW113:AW144" si="63">B113</f>
        <v>0</v>
      </c>
      <c r="AX113" s="147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6"/>
      <c r="AV114" s="1477">
        <f t="shared" si="62"/>
        <v>0</v>
      </c>
      <c r="AW114" s="1477">
        <f t="shared" si="63"/>
        <v>0</v>
      </c>
      <c r="AX114" s="147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6"/>
      <c r="AV115" s="1477">
        <f t="shared" si="62"/>
        <v>0</v>
      </c>
      <c r="AW115" s="1477">
        <f t="shared" si="63"/>
        <v>0</v>
      </c>
      <c r="AX115" s="147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6"/>
      <c r="AV116" s="1477">
        <f t="shared" si="62"/>
        <v>0</v>
      </c>
      <c r="AW116" s="1477">
        <f t="shared" si="63"/>
        <v>0</v>
      </c>
      <c r="AX116" s="147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6"/>
      <c r="AV117" s="1477">
        <f t="shared" si="62"/>
        <v>0</v>
      </c>
      <c r="AW117" s="1477">
        <f t="shared" si="63"/>
        <v>0</v>
      </c>
      <c r="AX117" s="147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6"/>
      <c r="AV118" s="1477">
        <f t="shared" si="62"/>
        <v>0</v>
      </c>
      <c r="AW118" s="1477">
        <f t="shared" si="63"/>
        <v>0</v>
      </c>
      <c r="AX118" s="147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6"/>
      <c r="AV119" s="1477">
        <f t="shared" si="62"/>
        <v>0</v>
      </c>
      <c r="AW119" s="1477">
        <f t="shared" si="63"/>
        <v>0</v>
      </c>
      <c r="AX119" s="147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6"/>
      <c r="AV120" s="1477">
        <f t="shared" si="62"/>
        <v>0</v>
      </c>
      <c r="AW120" s="1477">
        <f t="shared" si="63"/>
        <v>0</v>
      </c>
      <c r="AX120" s="147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6"/>
      <c r="AV121" s="1477">
        <f t="shared" si="62"/>
        <v>0</v>
      </c>
      <c r="AW121" s="1477">
        <f t="shared" si="63"/>
        <v>0</v>
      </c>
      <c r="AX121" s="147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6"/>
      <c r="AV122" s="1477">
        <f t="shared" si="62"/>
        <v>0</v>
      </c>
      <c r="AW122" s="1477">
        <f t="shared" si="63"/>
        <v>0</v>
      </c>
      <c r="AX122" s="147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6"/>
      <c r="AV123" s="1477">
        <f t="shared" si="62"/>
        <v>0</v>
      </c>
      <c r="AW123" s="1477">
        <f t="shared" si="63"/>
        <v>0</v>
      </c>
      <c r="AX123" s="147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6"/>
      <c r="AV124" s="1477">
        <f t="shared" si="62"/>
        <v>0</v>
      </c>
      <c r="AW124" s="1477">
        <f t="shared" si="63"/>
        <v>0</v>
      </c>
      <c r="AX124" s="147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6"/>
      <c r="AV125" s="1477">
        <f t="shared" si="62"/>
        <v>0</v>
      </c>
      <c r="AW125" s="1477">
        <f t="shared" si="63"/>
        <v>0</v>
      </c>
      <c r="AX125" s="147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6"/>
      <c r="AV126" s="1477">
        <f t="shared" si="62"/>
        <v>0</v>
      </c>
      <c r="AW126" s="1477">
        <f t="shared" si="63"/>
        <v>0</v>
      </c>
      <c r="AX126" s="147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6"/>
      <c r="AV127" s="1477">
        <f t="shared" si="62"/>
        <v>0</v>
      </c>
      <c r="AW127" s="1477">
        <f t="shared" si="63"/>
        <v>0</v>
      </c>
      <c r="AX127" s="147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6"/>
      <c r="AV128" s="1477">
        <f t="shared" si="62"/>
        <v>0</v>
      </c>
      <c r="AW128" s="1477">
        <f t="shared" si="63"/>
        <v>0</v>
      </c>
      <c r="AX128" s="147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6"/>
      <c r="AV129" s="1477">
        <f t="shared" si="62"/>
        <v>0</v>
      </c>
      <c r="AW129" s="1477">
        <f t="shared" si="63"/>
        <v>0</v>
      </c>
      <c r="AX129" s="147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6"/>
      <c r="AV130" s="1477">
        <f t="shared" si="62"/>
        <v>0</v>
      </c>
      <c r="AW130" s="1477">
        <f t="shared" si="63"/>
        <v>0</v>
      </c>
      <c r="AX130" s="147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6"/>
      <c r="AV131" s="1477">
        <f t="shared" si="62"/>
        <v>0</v>
      </c>
      <c r="AW131" s="1477">
        <f t="shared" si="63"/>
        <v>0</v>
      </c>
      <c r="AX131" s="147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6"/>
      <c r="AV132" s="1477">
        <f t="shared" si="62"/>
        <v>0</v>
      </c>
      <c r="AW132" s="1477">
        <f t="shared" si="63"/>
        <v>0</v>
      </c>
      <c r="AX132" s="147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6"/>
      <c r="AV133" s="1477">
        <f t="shared" si="62"/>
        <v>0</v>
      </c>
      <c r="AW133" s="1477">
        <f t="shared" si="63"/>
        <v>0</v>
      </c>
      <c r="AX133" s="147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6"/>
      <c r="AV134" s="1477">
        <f t="shared" si="62"/>
        <v>0</v>
      </c>
      <c r="AW134" s="1477">
        <f t="shared" si="63"/>
        <v>0</v>
      </c>
      <c r="AX134" s="147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6"/>
      <c r="AV135" s="1477">
        <f t="shared" si="62"/>
        <v>0</v>
      </c>
      <c r="AW135" s="1477">
        <f t="shared" si="63"/>
        <v>0</v>
      </c>
      <c r="AX135" s="147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6"/>
      <c r="AV136" s="1477">
        <f t="shared" si="62"/>
        <v>0</v>
      </c>
      <c r="AW136" s="1477">
        <f t="shared" si="63"/>
        <v>0</v>
      </c>
      <c r="AX136" s="147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6"/>
      <c r="AV137" s="1477">
        <f t="shared" si="62"/>
        <v>0</v>
      </c>
      <c r="AW137" s="1477">
        <f t="shared" si="63"/>
        <v>0</v>
      </c>
      <c r="AX137" s="147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6"/>
      <c r="AV138" s="1477">
        <f t="shared" si="62"/>
        <v>0</v>
      </c>
      <c r="AW138" s="1477">
        <f t="shared" si="63"/>
        <v>0</v>
      </c>
      <c r="AX138" s="147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6"/>
      <c r="AV139" s="1477">
        <f t="shared" si="62"/>
        <v>0</v>
      </c>
      <c r="AW139" s="1477">
        <f t="shared" si="63"/>
        <v>0</v>
      </c>
      <c r="AX139" s="147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6"/>
      <c r="AV140" s="1477">
        <f t="shared" si="62"/>
        <v>0</v>
      </c>
      <c r="AW140" s="1477">
        <f t="shared" si="63"/>
        <v>0</v>
      </c>
      <c r="AX140" s="147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6"/>
      <c r="AV141" s="1477">
        <f t="shared" si="62"/>
        <v>0</v>
      </c>
      <c r="AW141" s="1477">
        <f t="shared" si="63"/>
        <v>0</v>
      </c>
      <c r="AX141" s="147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6"/>
      <c r="AV142" s="1477">
        <f t="shared" si="62"/>
        <v>0</v>
      </c>
      <c r="AW142" s="1477">
        <f t="shared" si="63"/>
        <v>0</v>
      </c>
      <c r="AX142" s="147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6"/>
      <c r="AV143" s="1477">
        <f t="shared" si="62"/>
        <v>0</v>
      </c>
      <c r="AW143" s="1477">
        <f t="shared" si="63"/>
        <v>0</v>
      </c>
      <c r="AX143" s="147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6"/>
      <c r="AV144" s="1477">
        <f t="shared" si="62"/>
        <v>0</v>
      </c>
      <c r="AW144" s="1477">
        <f t="shared" si="63"/>
        <v>0</v>
      </c>
      <c r="AX144" s="147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6"/>
      <c r="AV145" s="1477">
        <f t="shared" ref="AV145:AV176" si="91">A145</f>
        <v>0</v>
      </c>
      <c r="AW145" s="1477">
        <f t="shared" ref="AW145:AW176" si="92">B145</f>
        <v>0</v>
      </c>
      <c r="AX145" s="147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6"/>
      <c r="AV146" s="1477">
        <f t="shared" si="91"/>
        <v>0</v>
      </c>
      <c r="AW146" s="1477">
        <f t="shared" si="92"/>
        <v>0</v>
      </c>
      <c r="AX146" s="147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6"/>
      <c r="AV147" s="1477">
        <f t="shared" si="91"/>
        <v>0</v>
      </c>
      <c r="AW147" s="1477">
        <f t="shared" si="92"/>
        <v>0</v>
      </c>
      <c r="AX147" s="147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6"/>
      <c r="AV148" s="1477">
        <f t="shared" si="91"/>
        <v>0</v>
      </c>
      <c r="AW148" s="1477">
        <f t="shared" si="92"/>
        <v>0</v>
      </c>
      <c r="AX148" s="147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6"/>
      <c r="AV149" s="1477">
        <f t="shared" si="91"/>
        <v>0</v>
      </c>
      <c r="AW149" s="1477">
        <f t="shared" si="92"/>
        <v>0</v>
      </c>
      <c r="AX149" s="147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6"/>
      <c r="AV150" s="1477">
        <f t="shared" si="91"/>
        <v>0</v>
      </c>
      <c r="AW150" s="1477">
        <f t="shared" si="92"/>
        <v>0</v>
      </c>
      <c r="AX150" s="147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6"/>
      <c r="AV151" s="1477">
        <f t="shared" si="91"/>
        <v>0</v>
      </c>
      <c r="AW151" s="1477">
        <f t="shared" si="92"/>
        <v>0</v>
      </c>
      <c r="AX151" s="147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6"/>
      <c r="AV152" s="1477">
        <f t="shared" si="91"/>
        <v>0</v>
      </c>
      <c r="AW152" s="1477">
        <f t="shared" si="92"/>
        <v>0</v>
      </c>
      <c r="AX152" s="147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6"/>
      <c r="AV153" s="1477">
        <f t="shared" si="91"/>
        <v>0</v>
      </c>
      <c r="AW153" s="1477">
        <f t="shared" si="92"/>
        <v>0</v>
      </c>
      <c r="AX153" s="147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6"/>
      <c r="AV154" s="1477">
        <f t="shared" si="91"/>
        <v>0</v>
      </c>
      <c r="AW154" s="1477">
        <f t="shared" si="92"/>
        <v>0</v>
      </c>
      <c r="AX154" s="147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6"/>
      <c r="AV155" s="1477">
        <f t="shared" si="91"/>
        <v>0</v>
      </c>
      <c r="AW155" s="1477">
        <f t="shared" si="92"/>
        <v>0</v>
      </c>
      <c r="AX155" s="147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6"/>
      <c r="AV156" s="1477">
        <f t="shared" si="91"/>
        <v>0</v>
      </c>
      <c r="AW156" s="1477">
        <f t="shared" si="92"/>
        <v>0</v>
      </c>
      <c r="AX156" s="147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6"/>
      <c r="AV157" s="1477">
        <f t="shared" si="91"/>
        <v>0</v>
      </c>
      <c r="AW157" s="1477">
        <f t="shared" si="92"/>
        <v>0</v>
      </c>
      <c r="AX157" s="147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6"/>
      <c r="AV158" s="1477">
        <f t="shared" si="91"/>
        <v>0</v>
      </c>
      <c r="AW158" s="1477">
        <f t="shared" si="92"/>
        <v>0</v>
      </c>
      <c r="AX158" s="147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6"/>
      <c r="AV159" s="1477">
        <f t="shared" si="91"/>
        <v>0</v>
      </c>
      <c r="AW159" s="1477">
        <f t="shared" si="92"/>
        <v>0</v>
      </c>
      <c r="AX159" s="147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6"/>
      <c r="AV160" s="1477">
        <f t="shared" si="91"/>
        <v>0</v>
      </c>
      <c r="AW160" s="1477">
        <f t="shared" si="92"/>
        <v>0</v>
      </c>
      <c r="AX160" s="147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6"/>
      <c r="AV161" s="1477">
        <f t="shared" si="91"/>
        <v>0</v>
      </c>
      <c r="AW161" s="1477">
        <f t="shared" si="92"/>
        <v>0</v>
      </c>
      <c r="AX161" s="147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6"/>
      <c r="AV162" s="1477">
        <f t="shared" si="91"/>
        <v>0</v>
      </c>
      <c r="AW162" s="1477">
        <f t="shared" si="92"/>
        <v>0</v>
      </c>
      <c r="AX162" s="147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6"/>
      <c r="AV163" s="1477">
        <f t="shared" si="91"/>
        <v>0</v>
      </c>
      <c r="AW163" s="1477">
        <f t="shared" si="92"/>
        <v>0</v>
      </c>
      <c r="AX163" s="147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6"/>
      <c r="AV164" s="1477">
        <f t="shared" si="91"/>
        <v>0</v>
      </c>
      <c r="AW164" s="1477">
        <f t="shared" si="92"/>
        <v>0</v>
      </c>
      <c r="AX164" s="147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6"/>
      <c r="AV165" s="1477">
        <f t="shared" si="91"/>
        <v>0</v>
      </c>
      <c r="AW165" s="1477">
        <f t="shared" si="92"/>
        <v>0</v>
      </c>
      <c r="AX165" s="147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6"/>
      <c r="AV166" s="1477">
        <f t="shared" si="91"/>
        <v>0</v>
      </c>
      <c r="AW166" s="1477">
        <f t="shared" si="92"/>
        <v>0</v>
      </c>
      <c r="AX166" s="147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6"/>
      <c r="AV167" s="1477">
        <f t="shared" si="91"/>
        <v>0</v>
      </c>
      <c r="AW167" s="1477">
        <f t="shared" si="92"/>
        <v>0</v>
      </c>
      <c r="AX167" s="147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6"/>
      <c r="AV168" s="1477">
        <f t="shared" si="91"/>
        <v>0</v>
      </c>
      <c r="AW168" s="1477">
        <f t="shared" si="92"/>
        <v>0</v>
      </c>
      <c r="AX168" s="147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6"/>
      <c r="AV169" s="1477">
        <f t="shared" si="91"/>
        <v>0</v>
      </c>
      <c r="AW169" s="1477">
        <f t="shared" si="92"/>
        <v>0</v>
      </c>
      <c r="AX169" s="147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6"/>
      <c r="AV170" s="1477">
        <f t="shared" si="91"/>
        <v>0</v>
      </c>
      <c r="AW170" s="1477">
        <f t="shared" si="92"/>
        <v>0</v>
      </c>
      <c r="AX170" s="147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6"/>
      <c r="AV171" s="1477">
        <f t="shared" si="91"/>
        <v>0</v>
      </c>
      <c r="AW171" s="1477">
        <f t="shared" si="92"/>
        <v>0</v>
      </c>
      <c r="AX171" s="147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6"/>
      <c r="AV172" s="1477">
        <f t="shared" si="91"/>
        <v>0</v>
      </c>
      <c r="AW172" s="1477">
        <f t="shared" si="92"/>
        <v>0</v>
      </c>
      <c r="AX172" s="147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6"/>
      <c r="AV173" s="1477">
        <f t="shared" si="91"/>
        <v>0</v>
      </c>
      <c r="AW173" s="1477">
        <f t="shared" si="92"/>
        <v>0</v>
      </c>
      <c r="AX173" s="147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6"/>
      <c r="AV174" s="1477">
        <f t="shared" si="91"/>
        <v>0</v>
      </c>
      <c r="AW174" s="1477">
        <f t="shared" si="92"/>
        <v>0</v>
      </c>
      <c r="AX174" s="147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6"/>
      <c r="AV175" s="1477">
        <f t="shared" si="91"/>
        <v>0</v>
      </c>
      <c r="AW175" s="1477">
        <f t="shared" si="92"/>
        <v>0</v>
      </c>
      <c r="AX175" s="147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6"/>
      <c r="AV176" s="1477">
        <f t="shared" si="91"/>
        <v>0</v>
      </c>
      <c r="AW176" s="1477">
        <f t="shared" si="92"/>
        <v>0</v>
      </c>
      <c r="AX176" s="147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6"/>
      <c r="AV177" s="1477">
        <f t="shared" ref="AV177:AV207" si="120">A177</f>
        <v>0</v>
      </c>
      <c r="AW177" s="1477">
        <f t="shared" ref="AW177:AW207" si="121">B177</f>
        <v>0</v>
      </c>
      <c r="AX177" s="147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6"/>
      <c r="AV178" s="1477">
        <f t="shared" si="120"/>
        <v>0</v>
      </c>
      <c r="AW178" s="1477">
        <f t="shared" si="121"/>
        <v>0</v>
      </c>
      <c r="AX178" s="147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6"/>
      <c r="AV179" s="1477">
        <f t="shared" si="120"/>
        <v>0</v>
      </c>
      <c r="AW179" s="1477">
        <f t="shared" si="121"/>
        <v>0</v>
      </c>
      <c r="AX179" s="147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6"/>
      <c r="AV180" s="1477">
        <f t="shared" si="120"/>
        <v>0</v>
      </c>
      <c r="AW180" s="1477">
        <f t="shared" si="121"/>
        <v>0</v>
      </c>
      <c r="AX180" s="147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6"/>
      <c r="AV181" s="1477">
        <f t="shared" si="120"/>
        <v>0</v>
      </c>
      <c r="AW181" s="1477">
        <f t="shared" si="121"/>
        <v>0</v>
      </c>
      <c r="AX181" s="147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6"/>
      <c r="AV182" s="1477">
        <f t="shared" si="120"/>
        <v>0</v>
      </c>
      <c r="AW182" s="1477">
        <f t="shared" si="121"/>
        <v>0</v>
      </c>
      <c r="AX182" s="147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6"/>
      <c r="AV183" s="1477">
        <f t="shared" si="120"/>
        <v>0</v>
      </c>
      <c r="AW183" s="1477">
        <f t="shared" si="121"/>
        <v>0</v>
      </c>
      <c r="AX183" s="147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6"/>
      <c r="AV184" s="1477">
        <f t="shared" si="120"/>
        <v>0</v>
      </c>
      <c r="AW184" s="1477">
        <f t="shared" si="121"/>
        <v>0</v>
      </c>
      <c r="AX184" s="147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6"/>
      <c r="AV185" s="1477">
        <f t="shared" si="120"/>
        <v>0</v>
      </c>
      <c r="AW185" s="1477">
        <f t="shared" si="121"/>
        <v>0</v>
      </c>
      <c r="AX185" s="147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6"/>
      <c r="AV186" s="1477">
        <f t="shared" si="120"/>
        <v>0</v>
      </c>
      <c r="AW186" s="1477">
        <f t="shared" si="121"/>
        <v>0</v>
      </c>
      <c r="AX186" s="147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6"/>
      <c r="AV187" s="1477">
        <f t="shared" si="120"/>
        <v>0</v>
      </c>
      <c r="AW187" s="1477">
        <f t="shared" si="121"/>
        <v>0</v>
      </c>
      <c r="AX187" s="147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6"/>
      <c r="AV188" s="1477">
        <f t="shared" si="120"/>
        <v>0</v>
      </c>
      <c r="AW188" s="1477">
        <f t="shared" si="121"/>
        <v>0</v>
      </c>
      <c r="AX188" s="147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6"/>
      <c r="AV189" s="1477">
        <f t="shared" si="120"/>
        <v>0</v>
      </c>
      <c r="AW189" s="1477">
        <f t="shared" si="121"/>
        <v>0</v>
      </c>
      <c r="AX189" s="147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6"/>
      <c r="AV190" s="1477">
        <f t="shared" si="120"/>
        <v>0</v>
      </c>
      <c r="AW190" s="1477">
        <f t="shared" si="121"/>
        <v>0</v>
      </c>
      <c r="AX190" s="147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6"/>
      <c r="AV191" s="1477">
        <f t="shared" si="120"/>
        <v>0</v>
      </c>
      <c r="AW191" s="1477">
        <f t="shared" si="121"/>
        <v>0</v>
      </c>
      <c r="AX191" s="147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6"/>
      <c r="AV192" s="1477">
        <f t="shared" si="120"/>
        <v>0</v>
      </c>
      <c r="AW192" s="1477">
        <f t="shared" si="121"/>
        <v>0</v>
      </c>
      <c r="AX192" s="147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6"/>
      <c r="AV193" s="1477">
        <f t="shared" si="120"/>
        <v>0</v>
      </c>
      <c r="AW193" s="1477">
        <f t="shared" si="121"/>
        <v>0</v>
      </c>
      <c r="AX193" s="147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6"/>
      <c r="AV194" s="1477">
        <f t="shared" si="120"/>
        <v>0</v>
      </c>
      <c r="AW194" s="1477">
        <f t="shared" si="121"/>
        <v>0</v>
      </c>
      <c r="AX194" s="147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6"/>
      <c r="AV195" s="1477">
        <f t="shared" si="120"/>
        <v>0</v>
      </c>
      <c r="AW195" s="1477">
        <f t="shared" si="121"/>
        <v>0</v>
      </c>
      <c r="AX195" s="147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6"/>
      <c r="AV196" s="1477">
        <f t="shared" si="120"/>
        <v>0</v>
      </c>
      <c r="AW196" s="1477">
        <f t="shared" si="121"/>
        <v>0</v>
      </c>
      <c r="AX196" s="147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6"/>
      <c r="AV197" s="1477">
        <f t="shared" si="120"/>
        <v>0</v>
      </c>
      <c r="AW197" s="1477">
        <f t="shared" si="121"/>
        <v>0</v>
      </c>
      <c r="AX197" s="147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6"/>
      <c r="AV198" s="1477">
        <f t="shared" si="120"/>
        <v>0</v>
      </c>
      <c r="AW198" s="1477">
        <f t="shared" si="121"/>
        <v>0</v>
      </c>
      <c r="AX198" s="147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6"/>
      <c r="AV199" s="1477">
        <f t="shared" si="120"/>
        <v>0</v>
      </c>
      <c r="AW199" s="1477">
        <f t="shared" si="121"/>
        <v>0</v>
      </c>
      <c r="AX199" s="147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6"/>
      <c r="AV200" s="1477">
        <f t="shared" si="120"/>
        <v>0</v>
      </c>
      <c r="AW200" s="1477">
        <f t="shared" si="121"/>
        <v>0</v>
      </c>
      <c r="AX200" s="147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6"/>
      <c r="AV201" s="1477">
        <f t="shared" si="120"/>
        <v>0</v>
      </c>
      <c r="AW201" s="1477">
        <f t="shared" si="121"/>
        <v>0</v>
      </c>
      <c r="AX201" s="147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6"/>
      <c r="AV202" s="1477">
        <f t="shared" si="120"/>
        <v>0</v>
      </c>
      <c r="AW202" s="1477">
        <f t="shared" si="121"/>
        <v>0</v>
      </c>
      <c r="AX202" s="147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6"/>
      <c r="AV203" s="1477">
        <f t="shared" si="120"/>
        <v>0</v>
      </c>
      <c r="AW203" s="1477">
        <f t="shared" si="121"/>
        <v>0</v>
      </c>
      <c r="AX203" s="147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6"/>
      <c r="AV204" s="1477">
        <f t="shared" si="120"/>
        <v>0</v>
      </c>
      <c r="AW204" s="1477">
        <f t="shared" si="121"/>
        <v>0</v>
      </c>
      <c r="AX204" s="147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6"/>
      <c r="AV205" s="1477">
        <f t="shared" si="120"/>
        <v>0</v>
      </c>
      <c r="AW205" s="1477">
        <f t="shared" si="121"/>
        <v>0</v>
      </c>
      <c r="AX205" s="147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6"/>
      <c r="AV206" s="1477">
        <f t="shared" si="120"/>
        <v>0</v>
      </c>
      <c r="AW206" s="1477">
        <f t="shared" si="121"/>
        <v>0</v>
      </c>
      <c r="AX206" s="147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6"/>
      <c r="AV207" s="1477">
        <f t="shared" si="120"/>
        <v>0</v>
      </c>
      <c r="AW207" s="1477">
        <f t="shared" si="121"/>
        <v>0</v>
      </c>
      <c r="AX207" s="147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6"/>
      <c r="AV208" s="1477">
        <f t="shared" ref="AV208:AV302" si="127">A208</f>
        <v>0</v>
      </c>
      <c r="AW208" s="1477">
        <f t="shared" ref="AW208:AW302" si="128">B208</f>
        <v>0</v>
      </c>
      <c r="AX208" s="147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6"/>
      <c r="AV209" s="1477">
        <f t="shared" si="127"/>
        <v>0</v>
      </c>
      <c r="AW209" s="1477">
        <f t="shared" si="128"/>
        <v>0</v>
      </c>
      <c r="AX209" s="147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6"/>
      <c r="AV210" s="1477">
        <f t="shared" si="127"/>
        <v>0</v>
      </c>
      <c r="AW210" s="1477">
        <f t="shared" si="128"/>
        <v>0</v>
      </c>
      <c r="AX210" s="147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6"/>
      <c r="AV211" s="1477">
        <f t="shared" si="127"/>
        <v>0</v>
      </c>
      <c r="AW211" s="1477">
        <f t="shared" si="128"/>
        <v>0</v>
      </c>
      <c r="AX211" s="147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6"/>
      <c r="AV212" s="1477">
        <f t="shared" si="127"/>
        <v>0</v>
      </c>
      <c r="AW212" s="1477">
        <f t="shared" si="128"/>
        <v>0</v>
      </c>
      <c r="AX212" s="147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6"/>
      <c r="AV213" s="1477">
        <f t="shared" si="127"/>
        <v>0</v>
      </c>
      <c r="AW213" s="1477">
        <f t="shared" si="128"/>
        <v>0</v>
      </c>
      <c r="AX213" s="147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6"/>
      <c r="AV214" s="1477">
        <f t="shared" si="127"/>
        <v>0</v>
      </c>
      <c r="AW214" s="1477">
        <f t="shared" si="128"/>
        <v>0</v>
      </c>
      <c r="AX214" s="147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6"/>
      <c r="AV215" s="1477">
        <f t="shared" si="127"/>
        <v>0</v>
      </c>
      <c r="AW215" s="1477">
        <f t="shared" si="128"/>
        <v>0</v>
      </c>
      <c r="AX215" s="147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6"/>
      <c r="AV216" s="1477">
        <f t="shared" si="127"/>
        <v>0</v>
      </c>
      <c r="AW216" s="1477">
        <f t="shared" si="128"/>
        <v>0</v>
      </c>
      <c r="AX216" s="147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6"/>
      <c r="AV217" s="1477">
        <f t="shared" si="127"/>
        <v>0</v>
      </c>
      <c r="AW217" s="1477">
        <f t="shared" si="128"/>
        <v>0</v>
      </c>
      <c r="AX217" s="147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6"/>
      <c r="AV218" s="1477">
        <f t="shared" si="127"/>
        <v>0</v>
      </c>
      <c r="AW218" s="1477">
        <f t="shared" si="128"/>
        <v>0</v>
      </c>
      <c r="AX218" s="147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6"/>
      <c r="AV219" s="1477">
        <f t="shared" si="127"/>
        <v>0</v>
      </c>
      <c r="AW219" s="1477">
        <f t="shared" si="128"/>
        <v>0</v>
      </c>
      <c r="AX219" s="147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6"/>
      <c r="AV220" s="1477">
        <f t="shared" si="127"/>
        <v>0</v>
      </c>
      <c r="AW220" s="1477">
        <f t="shared" si="128"/>
        <v>0</v>
      </c>
      <c r="AX220" s="147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6"/>
      <c r="AV221" s="1477">
        <f t="shared" si="127"/>
        <v>0</v>
      </c>
      <c r="AW221" s="1477">
        <f t="shared" si="128"/>
        <v>0</v>
      </c>
      <c r="AX221" s="147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6"/>
      <c r="AV222" s="1477">
        <f t="shared" si="127"/>
        <v>0</v>
      </c>
      <c r="AW222" s="1477">
        <f t="shared" si="128"/>
        <v>0</v>
      </c>
      <c r="AX222" s="147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6"/>
      <c r="AV223" s="1477">
        <f t="shared" si="127"/>
        <v>0</v>
      </c>
      <c r="AW223" s="1477">
        <f t="shared" si="128"/>
        <v>0</v>
      </c>
      <c r="AX223" s="147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6"/>
      <c r="AV224" s="1477">
        <f t="shared" si="127"/>
        <v>0</v>
      </c>
      <c r="AW224" s="1477">
        <f t="shared" si="128"/>
        <v>0</v>
      </c>
      <c r="AX224" s="147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6"/>
      <c r="AV225" s="1477">
        <f t="shared" si="127"/>
        <v>0</v>
      </c>
      <c r="AW225" s="1477">
        <f t="shared" si="128"/>
        <v>0</v>
      </c>
      <c r="AX225" s="147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6"/>
      <c r="AV226" s="1477">
        <f t="shared" si="127"/>
        <v>0</v>
      </c>
      <c r="AW226" s="1477">
        <f t="shared" si="128"/>
        <v>0</v>
      </c>
      <c r="AX226" s="147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6"/>
      <c r="AV227" s="1477">
        <f t="shared" si="127"/>
        <v>0</v>
      </c>
      <c r="AW227" s="1477">
        <f t="shared" si="128"/>
        <v>0</v>
      </c>
      <c r="AX227" s="147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6"/>
      <c r="AV228" s="1477">
        <f t="shared" si="127"/>
        <v>0</v>
      </c>
      <c r="AW228" s="1477">
        <f t="shared" si="128"/>
        <v>0</v>
      </c>
      <c r="AX228" s="147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6"/>
      <c r="AV229" s="1477">
        <f t="shared" si="127"/>
        <v>0</v>
      </c>
      <c r="AW229" s="1477">
        <f t="shared" si="128"/>
        <v>0</v>
      </c>
      <c r="AX229" s="147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6"/>
      <c r="AV230" s="1477">
        <f t="shared" si="127"/>
        <v>0</v>
      </c>
      <c r="AW230" s="1477">
        <f t="shared" si="128"/>
        <v>0</v>
      </c>
      <c r="AX230" s="147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6"/>
      <c r="AV231" s="1477">
        <f t="shared" si="127"/>
        <v>0</v>
      </c>
      <c r="AW231" s="1477">
        <f t="shared" si="128"/>
        <v>0</v>
      </c>
      <c r="AX231" s="147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6"/>
      <c r="AV232" s="1477">
        <f t="shared" si="127"/>
        <v>0</v>
      </c>
      <c r="AW232" s="1477">
        <f t="shared" si="128"/>
        <v>0</v>
      </c>
      <c r="AX232" s="147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6"/>
      <c r="AV233" s="1477">
        <f t="shared" si="127"/>
        <v>0</v>
      </c>
      <c r="AW233" s="1477">
        <f t="shared" si="128"/>
        <v>0</v>
      </c>
      <c r="AX233" s="147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6"/>
      <c r="AV234" s="1477">
        <f t="shared" si="127"/>
        <v>0</v>
      </c>
      <c r="AW234" s="1477">
        <f t="shared" si="128"/>
        <v>0</v>
      </c>
      <c r="AX234" s="147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6"/>
      <c r="AV235" s="1477">
        <f t="shared" si="127"/>
        <v>0</v>
      </c>
      <c r="AW235" s="1477">
        <f t="shared" si="128"/>
        <v>0</v>
      </c>
      <c r="AX235" s="147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6"/>
      <c r="AV236" s="1477">
        <f t="shared" si="127"/>
        <v>0</v>
      </c>
      <c r="AW236" s="1477">
        <f t="shared" si="128"/>
        <v>0</v>
      </c>
      <c r="AX236" s="147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6"/>
      <c r="AV237" s="1477">
        <f t="shared" si="127"/>
        <v>0</v>
      </c>
      <c r="AW237" s="1477">
        <f t="shared" si="128"/>
        <v>0</v>
      </c>
      <c r="AX237" s="147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6"/>
      <c r="AV238" s="1477">
        <f t="shared" si="127"/>
        <v>0</v>
      </c>
      <c r="AW238" s="1477">
        <f t="shared" si="128"/>
        <v>0</v>
      </c>
      <c r="AX238" s="147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6"/>
      <c r="AV239" s="1477">
        <f t="shared" si="127"/>
        <v>0</v>
      </c>
      <c r="AW239" s="1477">
        <f t="shared" si="128"/>
        <v>0</v>
      </c>
      <c r="AX239" s="147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6"/>
      <c r="AV240" s="1477">
        <f t="shared" si="127"/>
        <v>0</v>
      </c>
      <c r="AW240" s="1477">
        <f t="shared" si="128"/>
        <v>0</v>
      </c>
      <c r="AX240" s="147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6"/>
      <c r="AV241" s="1477">
        <f t="shared" si="127"/>
        <v>0</v>
      </c>
      <c r="AW241" s="1477">
        <f t="shared" si="128"/>
        <v>0</v>
      </c>
      <c r="AX241" s="147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6"/>
      <c r="AV242" s="1477">
        <f t="shared" si="127"/>
        <v>0</v>
      </c>
      <c r="AW242" s="1477">
        <f t="shared" si="128"/>
        <v>0</v>
      </c>
      <c r="AX242" s="147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6"/>
      <c r="AV243" s="1477">
        <f t="shared" si="127"/>
        <v>0</v>
      </c>
      <c r="AW243" s="1477">
        <f t="shared" si="128"/>
        <v>0</v>
      </c>
      <c r="AX243" s="147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6"/>
      <c r="AV244" s="1477">
        <f t="shared" si="127"/>
        <v>0</v>
      </c>
      <c r="AW244" s="1477">
        <f t="shared" si="128"/>
        <v>0</v>
      </c>
      <c r="AX244" s="147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6"/>
      <c r="AV245" s="1477">
        <f t="shared" si="127"/>
        <v>0</v>
      </c>
      <c r="AW245" s="1477">
        <f t="shared" si="128"/>
        <v>0</v>
      </c>
      <c r="AX245" s="147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6"/>
      <c r="AV246" s="1477">
        <f t="shared" si="127"/>
        <v>0</v>
      </c>
      <c r="AW246" s="1477">
        <f t="shared" si="128"/>
        <v>0</v>
      </c>
      <c r="AX246" s="147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6"/>
      <c r="AV247" s="1477">
        <f t="shared" si="127"/>
        <v>0</v>
      </c>
      <c r="AW247" s="1477">
        <f t="shared" si="128"/>
        <v>0</v>
      </c>
      <c r="AX247" s="147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6"/>
      <c r="AV248" s="1477">
        <f t="shared" si="127"/>
        <v>0</v>
      </c>
      <c r="AW248" s="1477">
        <f t="shared" si="128"/>
        <v>0</v>
      </c>
      <c r="AX248" s="147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6"/>
      <c r="AV249" s="1477">
        <f t="shared" si="127"/>
        <v>0</v>
      </c>
      <c r="AW249" s="1477">
        <f t="shared" si="128"/>
        <v>0</v>
      </c>
      <c r="AX249" s="147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6"/>
      <c r="AV250" s="1477">
        <f t="shared" si="127"/>
        <v>0</v>
      </c>
      <c r="AW250" s="1477">
        <f t="shared" si="128"/>
        <v>0</v>
      </c>
      <c r="AX250" s="147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6"/>
      <c r="AV251" s="1477">
        <f t="shared" si="127"/>
        <v>0</v>
      </c>
      <c r="AW251" s="1477">
        <f t="shared" si="128"/>
        <v>0</v>
      </c>
      <c r="AX251" s="147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6"/>
      <c r="AV252" s="1477">
        <f t="shared" si="127"/>
        <v>0</v>
      </c>
      <c r="AW252" s="1477">
        <f t="shared" si="128"/>
        <v>0</v>
      </c>
      <c r="AX252" s="147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6"/>
      <c r="AV253" s="1477">
        <f t="shared" si="127"/>
        <v>0</v>
      </c>
      <c r="AW253" s="1477">
        <f t="shared" si="128"/>
        <v>0</v>
      </c>
      <c r="AX253" s="147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6"/>
      <c r="AV254" s="1477">
        <f t="shared" si="127"/>
        <v>0</v>
      </c>
      <c r="AW254" s="1477">
        <f t="shared" si="128"/>
        <v>0</v>
      </c>
      <c r="AX254" s="147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6"/>
      <c r="AV255" s="1477">
        <f t="shared" si="127"/>
        <v>0</v>
      </c>
      <c r="AW255" s="1477">
        <f t="shared" si="128"/>
        <v>0</v>
      </c>
      <c r="AX255" s="147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6"/>
      <c r="AV256" s="1477">
        <f t="shared" si="127"/>
        <v>0</v>
      </c>
      <c r="AW256" s="1477">
        <f t="shared" si="128"/>
        <v>0</v>
      </c>
      <c r="AX256" s="147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6"/>
      <c r="AV257" s="1477">
        <f t="shared" si="127"/>
        <v>0</v>
      </c>
      <c r="AW257" s="1477">
        <f t="shared" si="128"/>
        <v>0</v>
      </c>
      <c r="AX257" s="147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6"/>
      <c r="AV258" s="1477">
        <f t="shared" si="127"/>
        <v>0</v>
      </c>
      <c r="AW258" s="1477">
        <f t="shared" si="128"/>
        <v>0</v>
      </c>
      <c r="AX258" s="147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6"/>
      <c r="AV259" s="1477">
        <f t="shared" si="127"/>
        <v>0</v>
      </c>
      <c r="AW259" s="1477">
        <f t="shared" si="128"/>
        <v>0</v>
      </c>
      <c r="AX259" s="147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6"/>
      <c r="AV260" s="1477">
        <f t="shared" si="127"/>
        <v>0</v>
      </c>
      <c r="AW260" s="1477">
        <f t="shared" si="128"/>
        <v>0</v>
      </c>
      <c r="AX260" s="147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6"/>
      <c r="AV261" s="1477">
        <f t="shared" si="127"/>
        <v>0</v>
      </c>
      <c r="AW261" s="1477">
        <f t="shared" si="128"/>
        <v>0</v>
      </c>
      <c r="AX261" s="147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6"/>
      <c r="AV262" s="1477">
        <f t="shared" si="127"/>
        <v>0</v>
      </c>
      <c r="AW262" s="1477">
        <f t="shared" si="128"/>
        <v>0</v>
      </c>
      <c r="AX262" s="147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6"/>
      <c r="AV263" s="1477">
        <f t="shared" si="127"/>
        <v>0</v>
      </c>
      <c r="AW263" s="1477">
        <f t="shared" si="128"/>
        <v>0</v>
      </c>
      <c r="AX263" s="147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6"/>
      <c r="AV264" s="1477">
        <f t="shared" si="127"/>
        <v>0</v>
      </c>
      <c r="AW264" s="1477">
        <f t="shared" si="128"/>
        <v>0</v>
      </c>
      <c r="AX264" s="147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6"/>
      <c r="AV265" s="1477">
        <f t="shared" si="127"/>
        <v>0</v>
      </c>
      <c r="AW265" s="1477">
        <f t="shared" si="128"/>
        <v>0</v>
      </c>
      <c r="AX265" s="147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6"/>
      <c r="AV266" s="1477">
        <f t="shared" si="127"/>
        <v>0</v>
      </c>
      <c r="AW266" s="1477">
        <f t="shared" si="128"/>
        <v>0</v>
      </c>
      <c r="AX266" s="147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6"/>
      <c r="AV267" s="1477">
        <f t="shared" si="127"/>
        <v>0</v>
      </c>
      <c r="AW267" s="1477">
        <f t="shared" si="128"/>
        <v>0</v>
      </c>
      <c r="AX267" s="147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6"/>
      <c r="AV268" s="1477">
        <f t="shared" si="127"/>
        <v>0</v>
      </c>
      <c r="AW268" s="1477">
        <f t="shared" si="128"/>
        <v>0</v>
      </c>
      <c r="AX268" s="147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6"/>
      <c r="AV269" s="1477">
        <f t="shared" si="127"/>
        <v>0</v>
      </c>
      <c r="AW269" s="1477">
        <f t="shared" si="128"/>
        <v>0</v>
      </c>
      <c r="AX269" s="147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6"/>
      <c r="AV270" s="1477">
        <f t="shared" si="127"/>
        <v>0</v>
      </c>
      <c r="AW270" s="1477">
        <f t="shared" si="128"/>
        <v>0</v>
      </c>
      <c r="AX270" s="147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6"/>
      <c r="AV271" s="1477">
        <f t="shared" si="127"/>
        <v>0</v>
      </c>
      <c r="AW271" s="1477">
        <f t="shared" si="128"/>
        <v>0</v>
      </c>
      <c r="AX271" s="147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6"/>
      <c r="AV272" s="1477">
        <f t="shared" si="127"/>
        <v>0</v>
      </c>
      <c r="AW272" s="1477">
        <f t="shared" si="128"/>
        <v>0</v>
      </c>
      <c r="AX272" s="147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6"/>
      <c r="AV273" s="1477">
        <f t="shared" si="127"/>
        <v>0</v>
      </c>
      <c r="AW273" s="1477">
        <f t="shared" si="128"/>
        <v>0</v>
      </c>
      <c r="AX273" s="147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6"/>
      <c r="AV274" s="1477">
        <f t="shared" si="127"/>
        <v>0</v>
      </c>
      <c r="AW274" s="1477">
        <f t="shared" si="128"/>
        <v>0</v>
      </c>
      <c r="AX274" s="147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6"/>
      <c r="AV275" s="1477">
        <f t="shared" si="127"/>
        <v>0</v>
      </c>
      <c r="AW275" s="1477">
        <f t="shared" si="128"/>
        <v>0</v>
      </c>
      <c r="AX275" s="147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6"/>
      <c r="AV276" s="1477">
        <f t="shared" si="127"/>
        <v>0</v>
      </c>
      <c r="AW276" s="1477">
        <f t="shared" si="128"/>
        <v>0</v>
      </c>
      <c r="AX276" s="147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6"/>
      <c r="AV277" s="1477">
        <f t="shared" si="127"/>
        <v>0</v>
      </c>
      <c r="AW277" s="1477">
        <f t="shared" si="128"/>
        <v>0</v>
      </c>
      <c r="AX277" s="147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6"/>
      <c r="AV278" s="1477">
        <f t="shared" si="127"/>
        <v>0</v>
      </c>
      <c r="AW278" s="1477">
        <f t="shared" si="128"/>
        <v>0</v>
      </c>
      <c r="AX278" s="147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6"/>
      <c r="AV279" s="1477">
        <f t="shared" si="127"/>
        <v>0</v>
      </c>
      <c r="AW279" s="1477">
        <f t="shared" si="128"/>
        <v>0</v>
      </c>
      <c r="AX279" s="147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6"/>
      <c r="AV280" s="1477">
        <f t="shared" si="127"/>
        <v>0</v>
      </c>
      <c r="AW280" s="1477">
        <f t="shared" si="128"/>
        <v>0</v>
      </c>
      <c r="AX280" s="147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6"/>
      <c r="AV281" s="1477">
        <f t="shared" si="127"/>
        <v>0</v>
      </c>
      <c r="AW281" s="1477">
        <f t="shared" si="128"/>
        <v>0</v>
      </c>
      <c r="AX281" s="147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6"/>
      <c r="AV282" s="1477">
        <f t="shared" si="127"/>
        <v>0</v>
      </c>
      <c r="AW282" s="1477">
        <f t="shared" si="128"/>
        <v>0</v>
      </c>
      <c r="AX282" s="147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6"/>
      <c r="AV283" s="1477">
        <f t="shared" si="127"/>
        <v>0</v>
      </c>
      <c r="AW283" s="1477">
        <f t="shared" si="128"/>
        <v>0</v>
      </c>
      <c r="AX283" s="147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6"/>
      <c r="AV284" s="1477">
        <f t="shared" si="127"/>
        <v>0</v>
      </c>
      <c r="AW284" s="1477">
        <f t="shared" si="128"/>
        <v>0</v>
      </c>
      <c r="AX284" s="147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6"/>
      <c r="AV285" s="1477">
        <f t="shared" si="127"/>
        <v>0</v>
      </c>
      <c r="AW285" s="1477">
        <f t="shared" si="128"/>
        <v>0</v>
      </c>
      <c r="AX285" s="147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6"/>
      <c r="AV286" s="1477">
        <f t="shared" si="127"/>
        <v>0</v>
      </c>
      <c r="AW286" s="1477">
        <f t="shared" si="128"/>
        <v>0</v>
      </c>
      <c r="AX286" s="147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6"/>
      <c r="AV287" s="1477">
        <f t="shared" si="127"/>
        <v>0</v>
      </c>
      <c r="AW287" s="1477">
        <f t="shared" si="128"/>
        <v>0</v>
      </c>
      <c r="AX287" s="147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6"/>
      <c r="AV288" s="1477">
        <f t="shared" si="127"/>
        <v>0</v>
      </c>
      <c r="AW288" s="1477">
        <f t="shared" si="128"/>
        <v>0</v>
      </c>
      <c r="AX288" s="147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6"/>
      <c r="AV289" s="1477">
        <f t="shared" si="127"/>
        <v>0</v>
      </c>
      <c r="AW289" s="1477">
        <f t="shared" si="128"/>
        <v>0</v>
      </c>
      <c r="AX289" s="147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6"/>
      <c r="AV290" s="1477">
        <f t="shared" si="127"/>
        <v>0</v>
      </c>
      <c r="AW290" s="1477">
        <f t="shared" si="128"/>
        <v>0</v>
      </c>
      <c r="AX290" s="147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6"/>
      <c r="AV291" s="1477">
        <f t="shared" si="127"/>
        <v>0</v>
      </c>
      <c r="AW291" s="1477">
        <f t="shared" si="128"/>
        <v>0</v>
      </c>
      <c r="AX291" s="147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6"/>
      <c r="AV292" s="1477">
        <f t="shared" si="127"/>
        <v>0</v>
      </c>
      <c r="AW292" s="1477">
        <f t="shared" si="128"/>
        <v>0</v>
      </c>
      <c r="AX292" s="147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6"/>
      <c r="AV293" s="1477">
        <f t="shared" si="127"/>
        <v>0</v>
      </c>
      <c r="AW293" s="1477">
        <f t="shared" si="128"/>
        <v>0</v>
      </c>
      <c r="AX293" s="147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6"/>
      <c r="AV294" s="1477">
        <f t="shared" si="127"/>
        <v>0</v>
      </c>
      <c r="AW294" s="1477">
        <f t="shared" si="128"/>
        <v>0</v>
      </c>
      <c r="AX294" s="147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6"/>
      <c r="AV295" s="1477">
        <f t="shared" si="127"/>
        <v>0</v>
      </c>
      <c r="AW295" s="1477">
        <f t="shared" si="128"/>
        <v>0</v>
      </c>
      <c r="AX295" s="147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6"/>
      <c r="AV296" s="1477">
        <f t="shared" si="127"/>
        <v>0</v>
      </c>
      <c r="AW296" s="1477">
        <f t="shared" si="128"/>
        <v>0</v>
      </c>
      <c r="AX296" s="147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6"/>
      <c r="AV297" s="1477">
        <f t="shared" si="127"/>
        <v>0</v>
      </c>
      <c r="AW297" s="1477">
        <f t="shared" si="128"/>
        <v>0</v>
      </c>
      <c r="AX297" s="147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6"/>
      <c r="AV298" s="1477">
        <f t="shared" si="127"/>
        <v>0</v>
      </c>
      <c r="AW298" s="1477">
        <f t="shared" si="128"/>
        <v>0</v>
      </c>
      <c r="AX298" s="147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6"/>
      <c r="AV299" s="1477">
        <f t="shared" si="127"/>
        <v>0</v>
      </c>
      <c r="AW299" s="1477">
        <f t="shared" si="128"/>
        <v>0</v>
      </c>
      <c r="AX299" s="147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6"/>
      <c r="AV300" s="1477">
        <f t="shared" si="127"/>
        <v>0</v>
      </c>
      <c r="AW300" s="1477">
        <f t="shared" si="128"/>
        <v>0</v>
      </c>
      <c r="AX300" s="147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6"/>
      <c r="AV301" s="1477">
        <f t="shared" si="127"/>
        <v>0</v>
      </c>
      <c r="AW301" s="1477">
        <f t="shared" si="128"/>
        <v>0</v>
      </c>
      <c r="AX301" s="147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6"/>
      <c r="AV302" s="1477">
        <f t="shared" si="127"/>
        <v>0</v>
      </c>
      <c r="AW302" s="1477">
        <f t="shared" si="128"/>
        <v>0</v>
      </c>
      <c r="AX302" s="147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6"/>
      <c r="AV303" s="1477">
        <f t="shared" ref="AV303:AV334" si="178">A303</f>
        <v>0</v>
      </c>
      <c r="AW303" s="1477">
        <f t="shared" ref="AW303:AW334" si="179">B303</f>
        <v>0</v>
      </c>
      <c r="AX303" s="147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6"/>
      <c r="AV304" s="1477">
        <f t="shared" si="178"/>
        <v>0</v>
      </c>
      <c r="AW304" s="1477">
        <f t="shared" si="179"/>
        <v>0</v>
      </c>
      <c r="AX304" s="147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6"/>
      <c r="AV305" s="1477">
        <f t="shared" si="178"/>
        <v>0</v>
      </c>
      <c r="AW305" s="1477">
        <f t="shared" si="179"/>
        <v>0</v>
      </c>
      <c r="AX305" s="147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6"/>
      <c r="AV306" s="1477">
        <f t="shared" si="178"/>
        <v>0</v>
      </c>
      <c r="AW306" s="1477">
        <f t="shared" si="179"/>
        <v>0</v>
      </c>
      <c r="AX306" s="147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6"/>
      <c r="AV307" s="1477">
        <f t="shared" si="178"/>
        <v>0</v>
      </c>
      <c r="AW307" s="1477">
        <f t="shared" si="179"/>
        <v>0</v>
      </c>
      <c r="AX307" s="147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6"/>
      <c r="AV308" s="1477">
        <f t="shared" si="178"/>
        <v>0</v>
      </c>
      <c r="AW308" s="1477">
        <f t="shared" si="179"/>
        <v>0</v>
      </c>
      <c r="AX308" s="147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6"/>
      <c r="AV309" s="1477">
        <f t="shared" si="178"/>
        <v>0</v>
      </c>
      <c r="AW309" s="1477">
        <f t="shared" si="179"/>
        <v>0</v>
      </c>
      <c r="AX309" s="147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6"/>
      <c r="AV310" s="1477">
        <f t="shared" si="178"/>
        <v>0</v>
      </c>
      <c r="AW310" s="1477">
        <f t="shared" si="179"/>
        <v>0</v>
      </c>
      <c r="AX310" s="147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6"/>
      <c r="AV311" s="1477">
        <f t="shared" si="178"/>
        <v>0</v>
      </c>
      <c r="AW311" s="1477">
        <f t="shared" si="179"/>
        <v>0</v>
      </c>
      <c r="AX311" s="147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6"/>
      <c r="AV312" s="1477">
        <f t="shared" si="178"/>
        <v>0</v>
      </c>
      <c r="AW312" s="1477">
        <f t="shared" si="179"/>
        <v>0</v>
      </c>
      <c r="AX312" s="147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6"/>
      <c r="AV313" s="1477">
        <f t="shared" si="178"/>
        <v>0</v>
      </c>
      <c r="AW313" s="1477">
        <f t="shared" si="179"/>
        <v>0</v>
      </c>
      <c r="AX313" s="147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6"/>
      <c r="AV314" s="1477">
        <f t="shared" si="178"/>
        <v>0</v>
      </c>
      <c r="AW314" s="1477">
        <f t="shared" si="179"/>
        <v>0</v>
      </c>
      <c r="AX314" s="147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6"/>
      <c r="AV315" s="1477">
        <f t="shared" si="178"/>
        <v>0</v>
      </c>
      <c r="AW315" s="1477">
        <f t="shared" si="179"/>
        <v>0</v>
      </c>
      <c r="AX315" s="147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6"/>
      <c r="AV316" s="1477">
        <f t="shared" si="178"/>
        <v>0</v>
      </c>
      <c r="AW316" s="1477">
        <f t="shared" si="179"/>
        <v>0</v>
      </c>
      <c r="AX316" s="147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6"/>
      <c r="AV317" s="1477">
        <f t="shared" si="178"/>
        <v>0</v>
      </c>
      <c r="AW317" s="1477">
        <f t="shared" si="179"/>
        <v>0</v>
      </c>
      <c r="AX317" s="147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6"/>
      <c r="AV318" s="1477">
        <f t="shared" si="178"/>
        <v>0</v>
      </c>
      <c r="AW318" s="1477">
        <f t="shared" si="179"/>
        <v>0</v>
      </c>
      <c r="AX318" s="147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6"/>
      <c r="AV319" s="1477">
        <f t="shared" si="178"/>
        <v>0</v>
      </c>
      <c r="AW319" s="1477">
        <f t="shared" si="179"/>
        <v>0</v>
      </c>
      <c r="AX319" s="147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6"/>
      <c r="AV320" s="1477">
        <f t="shared" si="178"/>
        <v>0</v>
      </c>
      <c r="AW320" s="1477">
        <f t="shared" si="179"/>
        <v>0</v>
      </c>
      <c r="AX320" s="147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6"/>
      <c r="AV321" s="1477">
        <f t="shared" si="178"/>
        <v>0</v>
      </c>
      <c r="AW321" s="1477">
        <f t="shared" si="179"/>
        <v>0</v>
      </c>
      <c r="AX321" s="147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6"/>
      <c r="AV322" s="1477">
        <f t="shared" si="178"/>
        <v>0</v>
      </c>
      <c r="AW322" s="1477">
        <f t="shared" si="179"/>
        <v>0</v>
      </c>
      <c r="AX322" s="147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6"/>
      <c r="AV323" s="1477">
        <f t="shared" si="178"/>
        <v>0</v>
      </c>
      <c r="AW323" s="1477">
        <f t="shared" si="179"/>
        <v>0</v>
      </c>
      <c r="AX323" s="147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6"/>
      <c r="AV324" s="1477">
        <f t="shared" si="178"/>
        <v>0</v>
      </c>
      <c r="AW324" s="1477">
        <f t="shared" si="179"/>
        <v>0</v>
      </c>
      <c r="AX324" s="147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6"/>
      <c r="AV325" s="1477">
        <f t="shared" si="178"/>
        <v>0</v>
      </c>
      <c r="AW325" s="1477">
        <f t="shared" si="179"/>
        <v>0</v>
      </c>
      <c r="AX325" s="147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6"/>
      <c r="AV326" s="1477">
        <f t="shared" si="178"/>
        <v>0</v>
      </c>
      <c r="AW326" s="1477">
        <f t="shared" si="179"/>
        <v>0</v>
      </c>
      <c r="AX326" s="147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6"/>
      <c r="AV327" s="1477">
        <f t="shared" si="178"/>
        <v>0</v>
      </c>
      <c r="AW327" s="1477">
        <f t="shared" si="179"/>
        <v>0</v>
      </c>
      <c r="AX327" s="147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6"/>
      <c r="AV328" s="1477">
        <f t="shared" si="178"/>
        <v>0</v>
      </c>
      <c r="AW328" s="1477">
        <f t="shared" si="179"/>
        <v>0</v>
      </c>
      <c r="AX328" s="147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6"/>
      <c r="AV329" s="1477">
        <f t="shared" si="178"/>
        <v>0</v>
      </c>
      <c r="AW329" s="1477">
        <f t="shared" si="179"/>
        <v>0</v>
      </c>
      <c r="AX329" s="147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6"/>
      <c r="AV330" s="1477">
        <f t="shared" si="178"/>
        <v>0</v>
      </c>
      <c r="AW330" s="1477">
        <f t="shared" si="179"/>
        <v>0</v>
      </c>
      <c r="AX330" s="147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6"/>
      <c r="AV331" s="1477">
        <f t="shared" si="178"/>
        <v>0</v>
      </c>
      <c r="AW331" s="1477">
        <f t="shared" si="179"/>
        <v>0</v>
      </c>
      <c r="AX331" s="147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6"/>
      <c r="AV332" s="1477">
        <f t="shared" si="178"/>
        <v>0</v>
      </c>
      <c r="AW332" s="1477">
        <f t="shared" si="179"/>
        <v>0</v>
      </c>
      <c r="AX332" s="147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6"/>
      <c r="AV333" s="1477">
        <f t="shared" si="178"/>
        <v>0</v>
      </c>
      <c r="AW333" s="1477">
        <f t="shared" si="179"/>
        <v>0</v>
      </c>
      <c r="AX333" s="147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6"/>
      <c r="AV334" s="1477">
        <f t="shared" si="178"/>
        <v>0</v>
      </c>
      <c r="AW334" s="1477">
        <f t="shared" si="179"/>
        <v>0</v>
      </c>
      <c r="AX334" s="147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6"/>
      <c r="AV335" s="1477">
        <f t="shared" ref="AV335:AV366" si="207">A335</f>
        <v>0</v>
      </c>
      <c r="AW335" s="1477">
        <f t="shared" ref="AW335:AW366" si="208">B335</f>
        <v>0</v>
      </c>
      <c r="AX335" s="147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6"/>
      <c r="AV336" s="1477">
        <f t="shared" si="207"/>
        <v>0</v>
      </c>
      <c r="AW336" s="1477">
        <f t="shared" si="208"/>
        <v>0</v>
      </c>
      <c r="AX336" s="147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6"/>
      <c r="AV337" s="1477">
        <f t="shared" si="207"/>
        <v>0</v>
      </c>
      <c r="AW337" s="1477">
        <f t="shared" si="208"/>
        <v>0</v>
      </c>
      <c r="AX337" s="147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6"/>
      <c r="AV338" s="1477">
        <f t="shared" si="207"/>
        <v>0</v>
      </c>
      <c r="AW338" s="1477">
        <f t="shared" si="208"/>
        <v>0</v>
      </c>
      <c r="AX338" s="147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6"/>
      <c r="AV339" s="1477">
        <f t="shared" si="207"/>
        <v>0</v>
      </c>
      <c r="AW339" s="1477">
        <f t="shared" si="208"/>
        <v>0</v>
      </c>
      <c r="AX339" s="147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6"/>
      <c r="AV340" s="1477">
        <f t="shared" si="207"/>
        <v>0</v>
      </c>
      <c r="AW340" s="1477">
        <f t="shared" si="208"/>
        <v>0</v>
      </c>
      <c r="AX340" s="147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6"/>
      <c r="AV341" s="1477">
        <f t="shared" si="207"/>
        <v>0</v>
      </c>
      <c r="AW341" s="1477">
        <f t="shared" si="208"/>
        <v>0</v>
      </c>
      <c r="AX341" s="147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6"/>
      <c r="AV342" s="1477">
        <f t="shared" si="207"/>
        <v>0</v>
      </c>
      <c r="AW342" s="1477">
        <f t="shared" si="208"/>
        <v>0</v>
      </c>
      <c r="AX342" s="147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6"/>
      <c r="AV343" s="1477">
        <f t="shared" si="207"/>
        <v>0</v>
      </c>
      <c r="AW343" s="1477">
        <f t="shared" si="208"/>
        <v>0</v>
      </c>
      <c r="AX343" s="147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6"/>
      <c r="AV344" s="1477">
        <f t="shared" si="207"/>
        <v>0</v>
      </c>
      <c r="AW344" s="1477">
        <f t="shared" si="208"/>
        <v>0</v>
      </c>
      <c r="AX344" s="147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6"/>
      <c r="AV345" s="1477">
        <f t="shared" si="207"/>
        <v>0</v>
      </c>
      <c r="AW345" s="1477">
        <f t="shared" si="208"/>
        <v>0</v>
      </c>
      <c r="AX345" s="147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6"/>
      <c r="AV346" s="1477">
        <f t="shared" si="207"/>
        <v>0</v>
      </c>
      <c r="AW346" s="1477">
        <f t="shared" si="208"/>
        <v>0</v>
      </c>
      <c r="AX346" s="147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6"/>
      <c r="AV347" s="1477">
        <f t="shared" si="207"/>
        <v>0</v>
      </c>
      <c r="AW347" s="1477">
        <f t="shared" si="208"/>
        <v>0</v>
      </c>
      <c r="AX347" s="147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6"/>
      <c r="AV348" s="1477">
        <f t="shared" si="207"/>
        <v>0</v>
      </c>
      <c r="AW348" s="1477">
        <f t="shared" si="208"/>
        <v>0</v>
      </c>
      <c r="AX348" s="147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6"/>
      <c r="AV349" s="1477">
        <f t="shared" si="207"/>
        <v>0</v>
      </c>
      <c r="AW349" s="1477">
        <f t="shared" si="208"/>
        <v>0</v>
      </c>
      <c r="AX349" s="147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6"/>
      <c r="AV350" s="1477">
        <f t="shared" si="207"/>
        <v>0</v>
      </c>
      <c r="AW350" s="1477">
        <f t="shared" si="208"/>
        <v>0</v>
      </c>
      <c r="AX350" s="147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6"/>
      <c r="AV351" s="1477">
        <f t="shared" si="207"/>
        <v>0</v>
      </c>
      <c r="AW351" s="1477">
        <f t="shared" si="208"/>
        <v>0</v>
      </c>
      <c r="AX351" s="147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6"/>
      <c r="AV352" s="1477">
        <f t="shared" si="207"/>
        <v>0</v>
      </c>
      <c r="AW352" s="1477">
        <f t="shared" si="208"/>
        <v>0</v>
      </c>
      <c r="AX352" s="147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6"/>
      <c r="AV353" s="1477">
        <f t="shared" si="207"/>
        <v>0</v>
      </c>
      <c r="AW353" s="1477">
        <f t="shared" si="208"/>
        <v>0</v>
      </c>
      <c r="AX353" s="147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6"/>
      <c r="AV354" s="1477">
        <f t="shared" si="207"/>
        <v>0</v>
      </c>
      <c r="AW354" s="1477">
        <f t="shared" si="208"/>
        <v>0</v>
      </c>
      <c r="AX354" s="147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6"/>
      <c r="AV355" s="1477">
        <f t="shared" si="207"/>
        <v>0</v>
      </c>
      <c r="AW355" s="1477">
        <f t="shared" si="208"/>
        <v>0</v>
      </c>
      <c r="AX355" s="147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6"/>
      <c r="AV356" s="1477">
        <f t="shared" si="207"/>
        <v>0</v>
      </c>
      <c r="AW356" s="1477">
        <f t="shared" si="208"/>
        <v>0</v>
      </c>
      <c r="AX356" s="147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6"/>
      <c r="AV357" s="1477">
        <f t="shared" si="207"/>
        <v>0</v>
      </c>
      <c r="AW357" s="1477">
        <f t="shared" si="208"/>
        <v>0</v>
      </c>
      <c r="AX357" s="147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6"/>
      <c r="AV358" s="1477">
        <f t="shared" si="207"/>
        <v>0</v>
      </c>
      <c r="AW358" s="1477">
        <f t="shared" si="208"/>
        <v>0</v>
      </c>
      <c r="AX358" s="147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6"/>
      <c r="AV359" s="1477">
        <f t="shared" si="207"/>
        <v>0</v>
      </c>
      <c r="AW359" s="1477">
        <f t="shared" si="208"/>
        <v>0</v>
      </c>
      <c r="AX359" s="147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6"/>
      <c r="AV360" s="1477">
        <f t="shared" si="207"/>
        <v>0</v>
      </c>
      <c r="AW360" s="1477">
        <f t="shared" si="208"/>
        <v>0</v>
      </c>
      <c r="AX360" s="147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6"/>
      <c r="AV361" s="1477">
        <f t="shared" si="207"/>
        <v>0</v>
      </c>
      <c r="AW361" s="1477">
        <f t="shared" si="208"/>
        <v>0</v>
      </c>
      <c r="AX361" s="147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6"/>
      <c r="AV362" s="1477">
        <f t="shared" si="207"/>
        <v>0</v>
      </c>
      <c r="AW362" s="1477">
        <f t="shared" si="208"/>
        <v>0</v>
      </c>
      <c r="AX362" s="147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6"/>
      <c r="AV363" s="1477">
        <f t="shared" si="207"/>
        <v>0</v>
      </c>
      <c r="AW363" s="1477">
        <f t="shared" si="208"/>
        <v>0</v>
      </c>
      <c r="AX363" s="147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6"/>
      <c r="AV364" s="1477">
        <f t="shared" si="207"/>
        <v>0</v>
      </c>
      <c r="AW364" s="1477">
        <f t="shared" si="208"/>
        <v>0</v>
      </c>
      <c r="AX364" s="147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6"/>
      <c r="AV365" s="1477">
        <f t="shared" si="207"/>
        <v>0</v>
      </c>
      <c r="AW365" s="1477">
        <f t="shared" si="208"/>
        <v>0</v>
      </c>
      <c r="AX365" s="147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6"/>
      <c r="AV366" s="1477">
        <f t="shared" si="207"/>
        <v>0</v>
      </c>
      <c r="AW366" s="1477">
        <f t="shared" si="208"/>
        <v>0</v>
      </c>
      <c r="AX366" s="147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6"/>
      <c r="AV367" s="1477">
        <f t="shared" ref="AV367:AV397" si="236">A367</f>
        <v>0</v>
      </c>
      <c r="AW367" s="1477">
        <f t="shared" ref="AW367:AW397" si="237">B367</f>
        <v>0</v>
      </c>
      <c r="AX367" s="147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6"/>
      <c r="AV368" s="1477">
        <f t="shared" si="236"/>
        <v>0</v>
      </c>
      <c r="AW368" s="1477">
        <f t="shared" si="237"/>
        <v>0</v>
      </c>
      <c r="AX368" s="147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6"/>
      <c r="AV369" s="1477">
        <f t="shared" si="236"/>
        <v>0</v>
      </c>
      <c r="AW369" s="1477">
        <f t="shared" si="237"/>
        <v>0</v>
      </c>
      <c r="AX369" s="147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6"/>
      <c r="AV370" s="1477">
        <f t="shared" si="236"/>
        <v>0</v>
      </c>
      <c r="AW370" s="1477">
        <f t="shared" si="237"/>
        <v>0</v>
      </c>
      <c r="AX370" s="147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6"/>
      <c r="AV371" s="1477">
        <f t="shared" si="236"/>
        <v>0</v>
      </c>
      <c r="AW371" s="1477">
        <f t="shared" si="237"/>
        <v>0</v>
      </c>
      <c r="AX371" s="147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6"/>
      <c r="AV372" s="1477">
        <f t="shared" si="236"/>
        <v>0</v>
      </c>
      <c r="AW372" s="1477">
        <f t="shared" si="237"/>
        <v>0</v>
      </c>
      <c r="AX372" s="147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6"/>
      <c r="AV373" s="1477">
        <f t="shared" si="236"/>
        <v>0</v>
      </c>
      <c r="AW373" s="1477">
        <f t="shared" si="237"/>
        <v>0</v>
      </c>
      <c r="AX373" s="147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6"/>
      <c r="AV374" s="1477">
        <f t="shared" si="236"/>
        <v>0</v>
      </c>
      <c r="AW374" s="1477">
        <f t="shared" si="237"/>
        <v>0</v>
      </c>
      <c r="AX374" s="147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6"/>
      <c r="AV375" s="1477">
        <f t="shared" si="236"/>
        <v>0</v>
      </c>
      <c r="AW375" s="1477">
        <f t="shared" si="237"/>
        <v>0</v>
      </c>
      <c r="AX375" s="147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6"/>
      <c r="AV376" s="1477">
        <f t="shared" si="236"/>
        <v>0</v>
      </c>
      <c r="AW376" s="1477">
        <f t="shared" si="237"/>
        <v>0</v>
      </c>
      <c r="AX376" s="147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6"/>
      <c r="AV377" s="1477">
        <f t="shared" si="236"/>
        <v>0</v>
      </c>
      <c r="AW377" s="1477">
        <f t="shared" si="237"/>
        <v>0</v>
      </c>
      <c r="AX377" s="147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6"/>
      <c r="AV378" s="1477">
        <f t="shared" si="236"/>
        <v>0</v>
      </c>
      <c r="AW378" s="1477">
        <f t="shared" si="237"/>
        <v>0</v>
      </c>
      <c r="AX378" s="147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6"/>
      <c r="AV379" s="1477">
        <f t="shared" si="236"/>
        <v>0</v>
      </c>
      <c r="AW379" s="1477">
        <f t="shared" si="237"/>
        <v>0</v>
      </c>
      <c r="AX379" s="147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6"/>
      <c r="AV380" s="1477">
        <f t="shared" si="236"/>
        <v>0</v>
      </c>
      <c r="AW380" s="1477">
        <f t="shared" si="237"/>
        <v>0</v>
      </c>
      <c r="AX380" s="147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6"/>
      <c r="AV381" s="1477">
        <f t="shared" si="236"/>
        <v>0</v>
      </c>
      <c r="AW381" s="1477">
        <f t="shared" si="237"/>
        <v>0</v>
      </c>
      <c r="AX381" s="147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6"/>
      <c r="AV382" s="1477">
        <f t="shared" si="236"/>
        <v>0</v>
      </c>
      <c r="AW382" s="1477">
        <f t="shared" si="237"/>
        <v>0</v>
      </c>
      <c r="AX382" s="147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6"/>
      <c r="AV383" s="1477">
        <f t="shared" si="236"/>
        <v>0</v>
      </c>
      <c r="AW383" s="1477">
        <f t="shared" si="237"/>
        <v>0</v>
      </c>
      <c r="AX383" s="147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6"/>
      <c r="AV384" s="1477">
        <f t="shared" si="236"/>
        <v>0</v>
      </c>
      <c r="AW384" s="1477">
        <f t="shared" si="237"/>
        <v>0</v>
      </c>
      <c r="AX384" s="147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6"/>
      <c r="AV385" s="1477">
        <f t="shared" si="236"/>
        <v>0</v>
      </c>
      <c r="AW385" s="1477">
        <f t="shared" si="237"/>
        <v>0</v>
      </c>
      <c r="AX385" s="147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6"/>
      <c r="AV386" s="1477">
        <f t="shared" si="236"/>
        <v>0</v>
      </c>
      <c r="AW386" s="1477">
        <f t="shared" si="237"/>
        <v>0</v>
      </c>
      <c r="AX386" s="147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6"/>
      <c r="AV387" s="1477">
        <f t="shared" si="236"/>
        <v>0</v>
      </c>
      <c r="AW387" s="1477">
        <f t="shared" si="237"/>
        <v>0</v>
      </c>
      <c r="AX387" s="147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6"/>
      <c r="AV388" s="1477">
        <f t="shared" si="236"/>
        <v>0</v>
      </c>
      <c r="AW388" s="1477">
        <f t="shared" si="237"/>
        <v>0</v>
      </c>
      <c r="AX388" s="147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6"/>
      <c r="AV389" s="1477">
        <f t="shared" si="236"/>
        <v>0</v>
      </c>
      <c r="AW389" s="1477">
        <f t="shared" si="237"/>
        <v>0</v>
      </c>
      <c r="AX389" s="147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6"/>
      <c r="AV390" s="1477">
        <f t="shared" si="236"/>
        <v>0</v>
      </c>
      <c r="AW390" s="1477">
        <f t="shared" si="237"/>
        <v>0</v>
      </c>
      <c r="AX390" s="147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6"/>
      <c r="AV391" s="1477">
        <f t="shared" si="236"/>
        <v>0</v>
      </c>
      <c r="AW391" s="1477">
        <f t="shared" si="237"/>
        <v>0</v>
      </c>
      <c r="AX391" s="147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6"/>
      <c r="AV392" s="1477">
        <f t="shared" si="236"/>
        <v>0</v>
      </c>
      <c r="AW392" s="1477">
        <f t="shared" si="237"/>
        <v>0</v>
      </c>
      <c r="AX392" s="147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6"/>
      <c r="AV393" s="1477">
        <f t="shared" si="236"/>
        <v>0</v>
      </c>
      <c r="AW393" s="1477">
        <f t="shared" si="237"/>
        <v>0</v>
      </c>
      <c r="AX393" s="147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6"/>
      <c r="AV394" s="1477">
        <f t="shared" si="236"/>
        <v>0</v>
      </c>
      <c r="AW394" s="1477">
        <f t="shared" si="237"/>
        <v>0</v>
      </c>
      <c r="AX394" s="147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6"/>
      <c r="AV395" s="1477">
        <f t="shared" si="236"/>
        <v>0</v>
      </c>
      <c r="AW395" s="1477">
        <f t="shared" si="237"/>
        <v>0</v>
      </c>
      <c r="AX395" s="147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6"/>
      <c r="AV396" s="1477">
        <f t="shared" si="236"/>
        <v>0</v>
      </c>
      <c r="AW396" s="1477">
        <f t="shared" si="237"/>
        <v>0</v>
      </c>
      <c r="AX396" s="147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6"/>
      <c r="AV397" s="1477">
        <f t="shared" si="236"/>
        <v>0</v>
      </c>
      <c r="AW397" s="1477">
        <f t="shared" si="237"/>
        <v>0</v>
      </c>
      <c r="AX397" s="147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6"/>
      <c r="AV398" s="1477">
        <f t="shared" ref="AV398:AV492" si="243">A398</f>
        <v>0</v>
      </c>
      <c r="AW398" s="1477">
        <f t="shared" ref="AW398:AW492" si="244">B398</f>
        <v>0</v>
      </c>
      <c r="AX398" s="147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6"/>
      <c r="AV399" s="1477">
        <f t="shared" si="243"/>
        <v>0</v>
      </c>
      <c r="AW399" s="1477">
        <f t="shared" si="244"/>
        <v>0</v>
      </c>
      <c r="AX399" s="147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6"/>
      <c r="AV400" s="1477">
        <f t="shared" si="243"/>
        <v>0</v>
      </c>
      <c r="AW400" s="1477">
        <f t="shared" si="244"/>
        <v>0</v>
      </c>
      <c r="AX400" s="147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6"/>
      <c r="AV401" s="1477">
        <f t="shared" si="243"/>
        <v>0</v>
      </c>
      <c r="AW401" s="1477">
        <f t="shared" si="244"/>
        <v>0</v>
      </c>
      <c r="AX401" s="147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6"/>
      <c r="AV402" s="1477">
        <f t="shared" si="243"/>
        <v>0</v>
      </c>
      <c r="AW402" s="1477">
        <f t="shared" si="244"/>
        <v>0</v>
      </c>
      <c r="AX402" s="147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6"/>
      <c r="AV403" s="1477">
        <f t="shared" si="243"/>
        <v>0</v>
      </c>
      <c r="AW403" s="1477">
        <f t="shared" si="244"/>
        <v>0</v>
      </c>
      <c r="AX403" s="147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6"/>
      <c r="AV404" s="1477">
        <f t="shared" si="243"/>
        <v>0</v>
      </c>
      <c r="AW404" s="1477">
        <f t="shared" si="244"/>
        <v>0</v>
      </c>
      <c r="AX404" s="147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6"/>
      <c r="AV405" s="1477">
        <f t="shared" si="243"/>
        <v>0</v>
      </c>
      <c r="AW405" s="1477">
        <f t="shared" si="244"/>
        <v>0</v>
      </c>
      <c r="AX405" s="147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6"/>
      <c r="AV406" s="1477">
        <f t="shared" si="243"/>
        <v>0</v>
      </c>
      <c r="AW406" s="1477">
        <f t="shared" si="244"/>
        <v>0</v>
      </c>
      <c r="AX406" s="147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6"/>
      <c r="AV407" s="1477">
        <f t="shared" si="243"/>
        <v>0</v>
      </c>
      <c r="AW407" s="1477">
        <f t="shared" si="244"/>
        <v>0</v>
      </c>
      <c r="AX407" s="147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6"/>
      <c r="AV408" s="1477">
        <f t="shared" si="243"/>
        <v>0</v>
      </c>
      <c r="AW408" s="1477">
        <f t="shared" si="244"/>
        <v>0</v>
      </c>
      <c r="AX408" s="147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6"/>
      <c r="AV409" s="1477">
        <f t="shared" si="243"/>
        <v>0</v>
      </c>
      <c r="AW409" s="1477">
        <f t="shared" si="244"/>
        <v>0</v>
      </c>
      <c r="AX409" s="147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6"/>
      <c r="AV410" s="1477">
        <f t="shared" si="243"/>
        <v>0</v>
      </c>
      <c r="AW410" s="1477">
        <f t="shared" si="244"/>
        <v>0</v>
      </c>
      <c r="AX410" s="147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6"/>
      <c r="AV411" s="1477">
        <f t="shared" si="243"/>
        <v>0</v>
      </c>
      <c r="AW411" s="1477">
        <f t="shared" si="244"/>
        <v>0</v>
      </c>
      <c r="AX411" s="147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6"/>
      <c r="AV412" s="1477">
        <f t="shared" si="243"/>
        <v>0</v>
      </c>
      <c r="AW412" s="1477">
        <f t="shared" si="244"/>
        <v>0</v>
      </c>
      <c r="AX412" s="147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6"/>
      <c r="AV413" s="1477">
        <f t="shared" si="243"/>
        <v>0</v>
      </c>
      <c r="AW413" s="1477">
        <f t="shared" si="244"/>
        <v>0</v>
      </c>
      <c r="AX413" s="147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6"/>
      <c r="AV414" s="1477">
        <f t="shared" si="243"/>
        <v>0</v>
      </c>
      <c r="AW414" s="1477">
        <f t="shared" si="244"/>
        <v>0</v>
      </c>
      <c r="AX414" s="147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6"/>
      <c r="AV415" s="1477">
        <f t="shared" si="243"/>
        <v>0</v>
      </c>
      <c r="AW415" s="1477">
        <f t="shared" si="244"/>
        <v>0</v>
      </c>
      <c r="AX415" s="147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6"/>
      <c r="AV416" s="1477">
        <f t="shared" si="243"/>
        <v>0</v>
      </c>
      <c r="AW416" s="1477">
        <f t="shared" si="244"/>
        <v>0</v>
      </c>
      <c r="AX416" s="147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6"/>
      <c r="AV417" s="1477">
        <f t="shared" si="243"/>
        <v>0</v>
      </c>
      <c r="AW417" s="1477">
        <f t="shared" si="244"/>
        <v>0</v>
      </c>
      <c r="AX417" s="147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6"/>
      <c r="AV418" s="1477">
        <f t="shared" si="243"/>
        <v>0</v>
      </c>
      <c r="AW418" s="1477">
        <f t="shared" si="244"/>
        <v>0</v>
      </c>
      <c r="AX418" s="147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6"/>
      <c r="AV419" s="1477">
        <f t="shared" si="243"/>
        <v>0</v>
      </c>
      <c r="AW419" s="1477">
        <f t="shared" si="244"/>
        <v>0</v>
      </c>
      <c r="AX419" s="147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6"/>
      <c r="AV420" s="1477">
        <f t="shared" si="243"/>
        <v>0</v>
      </c>
      <c r="AW420" s="1477">
        <f t="shared" si="244"/>
        <v>0</v>
      </c>
      <c r="AX420" s="147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6"/>
      <c r="AV421" s="1477">
        <f t="shared" si="243"/>
        <v>0</v>
      </c>
      <c r="AW421" s="1477">
        <f t="shared" si="244"/>
        <v>0</v>
      </c>
      <c r="AX421" s="147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6"/>
      <c r="AV422" s="1477">
        <f t="shared" si="243"/>
        <v>0</v>
      </c>
      <c r="AW422" s="1477">
        <f t="shared" si="244"/>
        <v>0</v>
      </c>
      <c r="AX422" s="147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6"/>
      <c r="AV423" s="1477">
        <f t="shared" si="243"/>
        <v>0</v>
      </c>
      <c r="AW423" s="1477">
        <f t="shared" si="244"/>
        <v>0</v>
      </c>
      <c r="AX423" s="147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6"/>
      <c r="AV424" s="1477">
        <f t="shared" si="243"/>
        <v>0</v>
      </c>
      <c r="AW424" s="1477">
        <f t="shared" si="244"/>
        <v>0</v>
      </c>
      <c r="AX424" s="147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6"/>
      <c r="AV425" s="1477">
        <f t="shared" si="243"/>
        <v>0</v>
      </c>
      <c r="AW425" s="1477">
        <f t="shared" si="244"/>
        <v>0</v>
      </c>
      <c r="AX425" s="147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6"/>
      <c r="AV426" s="1477">
        <f t="shared" si="243"/>
        <v>0</v>
      </c>
      <c r="AW426" s="1477">
        <f t="shared" si="244"/>
        <v>0</v>
      </c>
      <c r="AX426" s="147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6"/>
      <c r="AV427" s="1477">
        <f t="shared" si="243"/>
        <v>0</v>
      </c>
      <c r="AW427" s="1477">
        <f t="shared" si="244"/>
        <v>0</v>
      </c>
      <c r="AX427" s="147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6"/>
      <c r="AV428" s="1477">
        <f t="shared" si="243"/>
        <v>0</v>
      </c>
      <c r="AW428" s="1477">
        <f t="shared" si="244"/>
        <v>0</v>
      </c>
      <c r="AX428" s="147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6"/>
      <c r="AV429" s="1477">
        <f t="shared" si="243"/>
        <v>0</v>
      </c>
      <c r="AW429" s="1477">
        <f t="shared" si="244"/>
        <v>0</v>
      </c>
      <c r="AX429" s="147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6"/>
      <c r="AV430" s="1477">
        <f t="shared" si="243"/>
        <v>0</v>
      </c>
      <c r="AW430" s="1477">
        <f t="shared" si="244"/>
        <v>0</v>
      </c>
      <c r="AX430" s="147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6"/>
      <c r="AV431" s="1477">
        <f t="shared" si="243"/>
        <v>0</v>
      </c>
      <c r="AW431" s="1477">
        <f t="shared" si="244"/>
        <v>0</v>
      </c>
      <c r="AX431" s="147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6"/>
      <c r="AV432" s="1477">
        <f t="shared" si="243"/>
        <v>0</v>
      </c>
      <c r="AW432" s="1477">
        <f t="shared" si="244"/>
        <v>0</v>
      </c>
      <c r="AX432" s="147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6"/>
      <c r="AV433" s="1477">
        <f t="shared" si="243"/>
        <v>0</v>
      </c>
      <c r="AW433" s="1477">
        <f t="shared" si="244"/>
        <v>0</v>
      </c>
      <c r="AX433" s="147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6"/>
      <c r="AV434" s="1477">
        <f t="shared" si="243"/>
        <v>0</v>
      </c>
      <c r="AW434" s="1477">
        <f t="shared" si="244"/>
        <v>0</v>
      </c>
      <c r="AX434" s="147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6"/>
      <c r="AV435" s="1477">
        <f t="shared" si="243"/>
        <v>0</v>
      </c>
      <c r="AW435" s="1477">
        <f t="shared" si="244"/>
        <v>0</v>
      </c>
      <c r="AX435" s="147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6"/>
      <c r="AV436" s="1477">
        <f t="shared" si="243"/>
        <v>0</v>
      </c>
      <c r="AW436" s="1477">
        <f t="shared" si="244"/>
        <v>0</v>
      </c>
      <c r="AX436" s="147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6"/>
      <c r="AV437" s="1477">
        <f t="shared" si="243"/>
        <v>0</v>
      </c>
      <c r="AW437" s="1477">
        <f t="shared" si="244"/>
        <v>0</v>
      </c>
      <c r="AX437" s="147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6"/>
      <c r="AV438" s="1477">
        <f t="shared" si="243"/>
        <v>0</v>
      </c>
      <c r="AW438" s="1477">
        <f t="shared" si="244"/>
        <v>0</v>
      </c>
      <c r="AX438" s="147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6"/>
      <c r="AV439" s="1477">
        <f t="shared" si="243"/>
        <v>0</v>
      </c>
      <c r="AW439" s="1477">
        <f t="shared" si="244"/>
        <v>0</v>
      </c>
      <c r="AX439" s="147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6"/>
      <c r="AV440" s="1477">
        <f t="shared" si="243"/>
        <v>0</v>
      </c>
      <c r="AW440" s="1477">
        <f t="shared" si="244"/>
        <v>0</v>
      </c>
      <c r="AX440" s="147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6"/>
      <c r="AV441" s="1477">
        <f t="shared" si="243"/>
        <v>0</v>
      </c>
      <c r="AW441" s="1477">
        <f t="shared" si="244"/>
        <v>0</v>
      </c>
      <c r="AX441" s="147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6"/>
      <c r="AV442" s="1477">
        <f t="shared" si="243"/>
        <v>0</v>
      </c>
      <c r="AW442" s="1477">
        <f t="shared" si="244"/>
        <v>0</v>
      </c>
      <c r="AX442" s="147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6"/>
      <c r="AV443" s="1477">
        <f t="shared" si="243"/>
        <v>0</v>
      </c>
      <c r="AW443" s="1477">
        <f t="shared" si="244"/>
        <v>0</v>
      </c>
      <c r="AX443" s="147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6"/>
      <c r="AV444" s="1477">
        <f t="shared" si="243"/>
        <v>0</v>
      </c>
      <c r="AW444" s="1477">
        <f t="shared" si="244"/>
        <v>0</v>
      </c>
      <c r="AX444" s="147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6"/>
      <c r="AV445" s="1477">
        <f t="shared" si="243"/>
        <v>0</v>
      </c>
      <c r="AW445" s="1477">
        <f t="shared" si="244"/>
        <v>0</v>
      </c>
      <c r="AX445" s="147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6"/>
      <c r="AV446" s="1477">
        <f t="shared" si="243"/>
        <v>0</v>
      </c>
      <c r="AW446" s="1477">
        <f t="shared" si="244"/>
        <v>0</v>
      </c>
      <c r="AX446" s="147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6"/>
      <c r="AV447" s="1477">
        <f t="shared" si="243"/>
        <v>0</v>
      </c>
      <c r="AW447" s="1477">
        <f t="shared" si="244"/>
        <v>0</v>
      </c>
      <c r="AX447" s="147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6"/>
      <c r="AV448" s="1477">
        <f t="shared" si="243"/>
        <v>0</v>
      </c>
      <c r="AW448" s="1477">
        <f t="shared" si="244"/>
        <v>0</v>
      </c>
      <c r="AX448" s="147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6"/>
      <c r="AV449" s="1477">
        <f t="shared" si="243"/>
        <v>0</v>
      </c>
      <c r="AW449" s="1477">
        <f t="shared" si="244"/>
        <v>0</v>
      </c>
      <c r="AX449" s="147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6"/>
      <c r="AV450" s="1477">
        <f t="shared" si="243"/>
        <v>0</v>
      </c>
      <c r="AW450" s="1477">
        <f t="shared" si="244"/>
        <v>0</v>
      </c>
      <c r="AX450" s="147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6"/>
      <c r="AV451" s="1477">
        <f t="shared" si="243"/>
        <v>0</v>
      </c>
      <c r="AW451" s="1477">
        <f t="shared" si="244"/>
        <v>0</v>
      </c>
      <c r="AX451" s="147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6"/>
      <c r="AV452" s="1477">
        <f t="shared" si="243"/>
        <v>0</v>
      </c>
      <c r="AW452" s="1477">
        <f t="shared" si="244"/>
        <v>0</v>
      </c>
      <c r="AX452" s="147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6"/>
      <c r="AV453" s="1477">
        <f t="shared" si="243"/>
        <v>0</v>
      </c>
      <c r="AW453" s="1477">
        <f t="shared" si="244"/>
        <v>0</v>
      </c>
      <c r="AX453" s="147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6"/>
      <c r="AV454" s="1477">
        <f t="shared" si="243"/>
        <v>0</v>
      </c>
      <c r="AW454" s="1477">
        <f t="shared" si="244"/>
        <v>0</v>
      </c>
      <c r="AX454" s="147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6"/>
      <c r="AV455" s="1477">
        <f t="shared" si="243"/>
        <v>0</v>
      </c>
      <c r="AW455" s="1477">
        <f t="shared" si="244"/>
        <v>0</v>
      </c>
      <c r="AX455" s="147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6"/>
      <c r="AV456" s="1477">
        <f t="shared" si="243"/>
        <v>0</v>
      </c>
      <c r="AW456" s="1477">
        <f t="shared" si="244"/>
        <v>0</v>
      </c>
      <c r="AX456" s="147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6"/>
      <c r="AV457" s="1477">
        <f t="shared" si="243"/>
        <v>0</v>
      </c>
      <c r="AW457" s="1477">
        <f t="shared" si="244"/>
        <v>0</v>
      </c>
      <c r="AX457" s="147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6"/>
      <c r="AV458" s="1477">
        <f t="shared" si="243"/>
        <v>0</v>
      </c>
      <c r="AW458" s="1477">
        <f t="shared" si="244"/>
        <v>0</v>
      </c>
      <c r="AX458" s="147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6"/>
      <c r="AV459" s="1477">
        <f t="shared" si="243"/>
        <v>0</v>
      </c>
      <c r="AW459" s="1477">
        <f t="shared" si="244"/>
        <v>0</v>
      </c>
      <c r="AX459" s="147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6"/>
      <c r="AV460" s="1477">
        <f t="shared" si="243"/>
        <v>0</v>
      </c>
      <c r="AW460" s="1477">
        <f t="shared" si="244"/>
        <v>0</v>
      </c>
      <c r="AX460" s="147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6"/>
      <c r="AV461" s="1477">
        <f t="shared" si="243"/>
        <v>0</v>
      </c>
      <c r="AW461" s="1477">
        <f t="shared" si="244"/>
        <v>0</v>
      </c>
      <c r="AX461" s="147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6"/>
      <c r="AV462" s="1477">
        <f t="shared" si="243"/>
        <v>0</v>
      </c>
      <c r="AW462" s="1477">
        <f t="shared" si="244"/>
        <v>0</v>
      </c>
      <c r="AX462" s="147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6"/>
      <c r="AV463" s="1477">
        <f t="shared" si="243"/>
        <v>0</v>
      </c>
      <c r="AW463" s="1477">
        <f t="shared" si="244"/>
        <v>0</v>
      </c>
      <c r="AX463" s="147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6"/>
      <c r="AV464" s="1477">
        <f t="shared" si="243"/>
        <v>0</v>
      </c>
      <c r="AW464" s="1477">
        <f t="shared" si="244"/>
        <v>0</v>
      </c>
      <c r="AX464" s="147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6"/>
      <c r="AV465" s="1477">
        <f t="shared" si="243"/>
        <v>0</v>
      </c>
      <c r="AW465" s="1477">
        <f t="shared" si="244"/>
        <v>0</v>
      </c>
      <c r="AX465" s="147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6"/>
      <c r="AV466" s="1477">
        <f t="shared" si="243"/>
        <v>0</v>
      </c>
      <c r="AW466" s="1477">
        <f t="shared" si="244"/>
        <v>0</v>
      </c>
      <c r="AX466" s="147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6"/>
      <c r="AV467" s="1477">
        <f t="shared" si="243"/>
        <v>0</v>
      </c>
      <c r="AW467" s="1477">
        <f t="shared" si="244"/>
        <v>0</v>
      </c>
      <c r="AX467" s="147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6"/>
      <c r="AV468" s="1477">
        <f t="shared" si="243"/>
        <v>0</v>
      </c>
      <c r="AW468" s="1477">
        <f t="shared" si="244"/>
        <v>0</v>
      </c>
      <c r="AX468" s="147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6"/>
      <c r="AV469" s="1477">
        <f t="shared" si="243"/>
        <v>0</v>
      </c>
      <c r="AW469" s="1477">
        <f t="shared" si="244"/>
        <v>0</v>
      </c>
      <c r="AX469" s="147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6"/>
      <c r="AV470" s="1477">
        <f t="shared" si="243"/>
        <v>0</v>
      </c>
      <c r="AW470" s="1477">
        <f t="shared" si="244"/>
        <v>0</v>
      </c>
      <c r="AX470" s="147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6"/>
      <c r="AV471" s="1477">
        <f t="shared" si="243"/>
        <v>0</v>
      </c>
      <c r="AW471" s="1477">
        <f t="shared" si="244"/>
        <v>0</v>
      </c>
      <c r="AX471" s="147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6"/>
      <c r="AV472" s="1477">
        <f t="shared" si="243"/>
        <v>0</v>
      </c>
      <c r="AW472" s="1477">
        <f t="shared" si="244"/>
        <v>0</v>
      </c>
      <c r="AX472" s="147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6"/>
      <c r="AV473" s="1477">
        <f t="shared" si="243"/>
        <v>0</v>
      </c>
      <c r="AW473" s="1477">
        <f t="shared" si="244"/>
        <v>0</v>
      </c>
      <c r="AX473" s="147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6"/>
      <c r="AV474" s="1477">
        <f t="shared" si="243"/>
        <v>0</v>
      </c>
      <c r="AW474" s="1477">
        <f t="shared" si="244"/>
        <v>0</v>
      </c>
      <c r="AX474" s="147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6"/>
      <c r="AV475" s="1477">
        <f t="shared" si="243"/>
        <v>0</v>
      </c>
      <c r="AW475" s="1477">
        <f t="shared" si="244"/>
        <v>0</v>
      </c>
      <c r="AX475" s="147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6"/>
      <c r="AV476" s="1477">
        <f t="shared" si="243"/>
        <v>0</v>
      </c>
      <c r="AW476" s="1477">
        <f t="shared" si="244"/>
        <v>0</v>
      </c>
      <c r="AX476" s="147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6"/>
      <c r="AV477" s="1477">
        <f t="shared" si="243"/>
        <v>0</v>
      </c>
      <c r="AW477" s="1477">
        <f t="shared" si="244"/>
        <v>0</v>
      </c>
      <c r="AX477" s="147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6"/>
      <c r="AV478" s="1477">
        <f t="shared" si="243"/>
        <v>0</v>
      </c>
      <c r="AW478" s="1477">
        <f t="shared" si="244"/>
        <v>0</v>
      </c>
      <c r="AX478" s="147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6"/>
      <c r="AV479" s="1477">
        <f t="shared" si="243"/>
        <v>0</v>
      </c>
      <c r="AW479" s="1477">
        <f t="shared" si="244"/>
        <v>0</v>
      </c>
      <c r="AX479" s="147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6"/>
      <c r="AV480" s="1477">
        <f t="shared" si="243"/>
        <v>0</v>
      </c>
      <c r="AW480" s="1477">
        <f t="shared" si="244"/>
        <v>0</v>
      </c>
      <c r="AX480" s="147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6"/>
      <c r="AV481" s="1477">
        <f t="shared" si="243"/>
        <v>0</v>
      </c>
      <c r="AW481" s="1477">
        <f t="shared" si="244"/>
        <v>0</v>
      </c>
      <c r="AX481" s="147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6"/>
      <c r="AV482" s="1477">
        <f t="shared" si="243"/>
        <v>0</v>
      </c>
      <c r="AW482" s="1477">
        <f t="shared" si="244"/>
        <v>0</v>
      </c>
      <c r="AX482" s="147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6"/>
      <c r="AV483" s="1477">
        <f t="shared" si="243"/>
        <v>0</v>
      </c>
      <c r="AW483" s="1477">
        <f t="shared" si="244"/>
        <v>0</v>
      </c>
      <c r="AX483" s="147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6"/>
      <c r="AV484" s="1477">
        <f t="shared" si="243"/>
        <v>0</v>
      </c>
      <c r="AW484" s="1477">
        <f t="shared" si="244"/>
        <v>0</v>
      </c>
      <c r="AX484" s="147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6"/>
      <c r="AV485" s="1477">
        <f t="shared" si="243"/>
        <v>0</v>
      </c>
      <c r="AW485" s="1477">
        <f t="shared" si="244"/>
        <v>0</v>
      </c>
      <c r="AX485" s="147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6"/>
      <c r="AV486" s="1477">
        <f t="shared" si="243"/>
        <v>0</v>
      </c>
      <c r="AW486" s="1477">
        <f t="shared" si="244"/>
        <v>0</v>
      </c>
      <c r="AX486" s="147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6"/>
      <c r="AV487" s="1477">
        <f t="shared" si="243"/>
        <v>0</v>
      </c>
      <c r="AW487" s="1477">
        <f t="shared" si="244"/>
        <v>0</v>
      </c>
      <c r="AX487" s="147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6"/>
      <c r="AV488" s="1477">
        <f t="shared" si="243"/>
        <v>0</v>
      </c>
      <c r="AW488" s="1477">
        <f t="shared" si="244"/>
        <v>0</v>
      </c>
      <c r="AX488" s="147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6"/>
      <c r="AV489" s="1477">
        <f t="shared" si="243"/>
        <v>0</v>
      </c>
      <c r="AW489" s="1477">
        <f t="shared" si="244"/>
        <v>0</v>
      </c>
      <c r="AX489" s="147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6"/>
      <c r="AV490" s="1477">
        <f t="shared" si="243"/>
        <v>0</v>
      </c>
      <c r="AW490" s="1477">
        <f t="shared" si="244"/>
        <v>0</v>
      </c>
      <c r="AX490" s="147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6"/>
      <c r="AV491" s="1477">
        <f t="shared" si="243"/>
        <v>0</v>
      </c>
      <c r="AW491" s="1477">
        <f t="shared" si="244"/>
        <v>0</v>
      </c>
      <c r="AX491" s="147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6"/>
      <c r="AV492" s="1477">
        <f t="shared" si="243"/>
        <v>0</v>
      </c>
      <c r="AW492" s="1477">
        <f t="shared" si="244"/>
        <v>0</v>
      </c>
      <c r="AX492" s="147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6"/>
      <c r="AV493" s="1477">
        <f t="shared" ref="AV493:AV520" si="294">A493</f>
        <v>0</v>
      </c>
      <c r="AW493" s="1477">
        <f t="shared" ref="AW493:AW520" si="295">B493</f>
        <v>0</v>
      </c>
      <c r="AX493" s="147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6"/>
      <c r="AV494" s="1477">
        <f t="shared" si="294"/>
        <v>0</v>
      </c>
      <c r="AW494" s="1477">
        <f t="shared" si="295"/>
        <v>0</v>
      </c>
      <c r="AX494" s="147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6"/>
      <c r="AV495" s="1477">
        <f t="shared" si="294"/>
        <v>0</v>
      </c>
      <c r="AW495" s="1477">
        <f t="shared" si="295"/>
        <v>0</v>
      </c>
      <c r="AX495" s="147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6"/>
      <c r="AV496" s="1477">
        <f t="shared" si="294"/>
        <v>0</v>
      </c>
      <c r="AW496" s="1477">
        <f t="shared" si="295"/>
        <v>0</v>
      </c>
      <c r="AX496" s="147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6"/>
      <c r="AV497" s="1477">
        <f t="shared" si="294"/>
        <v>0</v>
      </c>
      <c r="AW497" s="1477">
        <f t="shared" si="295"/>
        <v>0</v>
      </c>
      <c r="AX497" s="147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6"/>
      <c r="AV498" s="1477">
        <f t="shared" si="294"/>
        <v>0</v>
      </c>
      <c r="AW498" s="1477">
        <f t="shared" si="295"/>
        <v>0</v>
      </c>
      <c r="AX498" s="147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6"/>
      <c r="AV499" s="1477">
        <f t="shared" si="294"/>
        <v>0</v>
      </c>
      <c r="AW499" s="1477">
        <f t="shared" si="295"/>
        <v>0</v>
      </c>
      <c r="AX499" s="147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6"/>
      <c r="AV500" s="1477">
        <f t="shared" si="294"/>
        <v>0</v>
      </c>
      <c r="AW500" s="1477">
        <f t="shared" si="295"/>
        <v>0</v>
      </c>
      <c r="AX500" s="147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6"/>
      <c r="AV501" s="1477">
        <f t="shared" si="294"/>
        <v>0</v>
      </c>
      <c r="AW501" s="1477">
        <f t="shared" si="295"/>
        <v>0</v>
      </c>
      <c r="AX501" s="147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6"/>
      <c r="AV502" s="1477">
        <f t="shared" si="294"/>
        <v>0</v>
      </c>
      <c r="AW502" s="1477">
        <f t="shared" si="295"/>
        <v>0</v>
      </c>
      <c r="AX502" s="147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6"/>
      <c r="AV503" s="1477">
        <f t="shared" si="294"/>
        <v>0</v>
      </c>
      <c r="AW503" s="1477">
        <f t="shared" si="295"/>
        <v>0</v>
      </c>
      <c r="AX503" s="147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6"/>
      <c r="AV504" s="1477">
        <f t="shared" si="294"/>
        <v>0</v>
      </c>
      <c r="AW504" s="1477">
        <f t="shared" si="295"/>
        <v>0</v>
      </c>
      <c r="AX504" s="147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6"/>
      <c r="AV505" s="1477">
        <f t="shared" si="294"/>
        <v>0</v>
      </c>
      <c r="AW505" s="1477">
        <f t="shared" si="295"/>
        <v>0</v>
      </c>
      <c r="AX505" s="147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6"/>
      <c r="AV506" s="1477">
        <f t="shared" si="294"/>
        <v>0</v>
      </c>
      <c r="AW506" s="1477">
        <f t="shared" si="295"/>
        <v>0</v>
      </c>
      <c r="AX506" s="147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6"/>
      <c r="AV507" s="1477">
        <f t="shared" si="294"/>
        <v>0</v>
      </c>
      <c r="AW507" s="1477">
        <f t="shared" si="295"/>
        <v>0</v>
      </c>
      <c r="AX507" s="147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6"/>
      <c r="AV508" s="1477">
        <f t="shared" si="294"/>
        <v>0</v>
      </c>
      <c r="AW508" s="1477">
        <f t="shared" si="295"/>
        <v>0</v>
      </c>
      <c r="AX508" s="147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6"/>
      <c r="AV509" s="1477">
        <f t="shared" si="294"/>
        <v>0</v>
      </c>
      <c r="AW509" s="1477">
        <f t="shared" si="295"/>
        <v>0</v>
      </c>
      <c r="AX509" s="147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6"/>
      <c r="AV510" s="1477">
        <f t="shared" si="294"/>
        <v>0</v>
      </c>
      <c r="AW510" s="1477">
        <f t="shared" si="295"/>
        <v>0</v>
      </c>
      <c r="AX510" s="147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6"/>
      <c r="AV511" s="1477">
        <f t="shared" si="294"/>
        <v>0</v>
      </c>
      <c r="AW511" s="1477">
        <f t="shared" si="295"/>
        <v>0</v>
      </c>
      <c r="AX511" s="147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6"/>
      <c r="AV512" s="1477">
        <f t="shared" si="294"/>
        <v>0</v>
      </c>
      <c r="AW512" s="1477">
        <f t="shared" si="295"/>
        <v>0</v>
      </c>
      <c r="AX512" s="147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6"/>
      <c r="AV513" s="1477">
        <f t="shared" si="294"/>
        <v>0</v>
      </c>
      <c r="AW513" s="1477">
        <f t="shared" si="295"/>
        <v>0</v>
      </c>
      <c r="AX513" s="147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6"/>
      <c r="AV514" s="1477">
        <f t="shared" si="294"/>
        <v>0</v>
      </c>
      <c r="AW514" s="1477">
        <f t="shared" si="295"/>
        <v>0</v>
      </c>
      <c r="AX514" s="147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6"/>
      <c r="AV515" s="1477">
        <f t="shared" si="294"/>
        <v>0</v>
      </c>
      <c r="AW515" s="1477">
        <f t="shared" si="295"/>
        <v>0</v>
      </c>
      <c r="AX515" s="147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6"/>
      <c r="AV516" s="1477">
        <f t="shared" si="294"/>
        <v>0</v>
      </c>
      <c r="AW516" s="1477">
        <f t="shared" si="295"/>
        <v>0</v>
      </c>
      <c r="AX516" s="147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6"/>
      <c r="AV517" s="1477">
        <f t="shared" si="294"/>
        <v>0</v>
      </c>
      <c r="AW517" s="1477">
        <f t="shared" si="295"/>
        <v>0</v>
      </c>
      <c r="AX517" s="147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6"/>
      <c r="AV518" s="1477">
        <f t="shared" si="294"/>
        <v>0</v>
      </c>
      <c r="AW518" s="1477">
        <f t="shared" si="295"/>
        <v>0</v>
      </c>
      <c r="AX518" s="147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6"/>
      <c r="AV519" s="1477">
        <f t="shared" si="294"/>
        <v>0</v>
      </c>
      <c r="AW519" s="1477">
        <f t="shared" si="295"/>
        <v>0</v>
      </c>
      <c r="AX519" s="147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6"/>
      <c r="AV520" s="1477">
        <f t="shared" si="294"/>
        <v>0</v>
      </c>
      <c r="AW520" s="1477">
        <f t="shared" si="295"/>
        <v>0</v>
      </c>
      <c r="AX520" s="147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6"/>
      <c r="AV521" s="1477">
        <f t="shared" ref="AV521:AV552" si="298">A521</f>
        <v>0</v>
      </c>
      <c r="AW521" s="1477">
        <f t="shared" ref="AW521:AW552" si="299">B521</f>
        <v>0</v>
      </c>
      <c r="AX521" s="147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6"/>
      <c r="AV522" s="1477">
        <f t="shared" si="298"/>
        <v>0</v>
      </c>
      <c r="AW522" s="1477">
        <f t="shared" si="299"/>
        <v>0</v>
      </c>
      <c r="AX522" s="147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6"/>
      <c r="AV523" s="1477">
        <f t="shared" si="298"/>
        <v>0</v>
      </c>
      <c r="AW523" s="1477">
        <f t="shared" si="299"/>
        <v>0</v>
      </c>
      <c r="AX523" s="147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6"/>
      <c r="AV524" s="1477">
        <f t="shared" si="298"/>
        <v>0</v>
      </c>
      <c r="AW524" s="1477">
        <f t="shared" si="299"/>
        <v>0</v>
      </c>
      <c r="AX524" s="147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6"/>
      <c r="AV525" s="1477">
        <f t="shared" si="298"/>
        <v>0</v>
      </c>
      <c r="AW525" s="1477">
        <f t="shared" si="299"/>
        <v>0</v>
      </c>
      <c r="AX525" s="147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6"/>
      <c r="AV526" s="1477">
        <f t="shared" si="298"/>
        <v>0</v>
      </c>
      <c r="AW526" s="1477">
        <f t="shared" si="299"/>
        <v>0</v>
      </c>
      <c r="AX526" s="147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6"/>
      <c r="AV527" s="1477">
        <f t="shared" si="298"/>
        <v>0</v>
      </c>
      <c r="AW527" s="1477">
        <f t="shared" si="299"/>
        <v>0</v>
      </c>
      <c r="AX527" s="147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6"/>
      <c r="AV528" s="1477">
        <f t="shared" si="298"/>
        <v>0</v>
      </c>
      <c r="AW528" s="1477">
        <f t="shared" si="299"/>
        <v>0</v>
      </c>
      <c r="AX528" s="147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6"/>
      <c r="AV529" s="1477">
        <f t="shared" si="298"/>
        <v>0</v>
      </c>
      <c r="AW529" s="1477">
        <f t="shared" si="299"/>
        <v>0</v>
      </c>
      <c r="AX529" s="147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6"/>
      <c r="AV530" s="1477">
        <f t="shared" si="298"/>
        <v>0</v>
      </c>
      <c r="AW530" s="1477">
        <f t="shared" si="299"/>
        <v>0</v>
      </c>
      <c r="AX530" s="147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6"/>
      <c r="AV531" s="1477">
        <f t="shared" si="298"/>
        <v>0</v>
      </c>
      <c r="AW531" s="1477">
        <f t="shared" si="299"/>
        <v>0</v>
      </c>
      <c r="AX531" s="147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6"/>
      <c r="AV532" s="1477">
        <f t="shared" si="298"/>
        <v>0</v>
      </c>
      <c r="AW532" s="1477">
        <f t="shared" si="299"/>
        <v>0</v>
      </c>
      <c r="AX532" s="147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6"/>
      <c r="AV533" s="1477">
        <f t="shared" si="298"/>
        <v>0</v>
      </c>
      <c r="AW533" s="1477">
        <f t="shared" si="299"/>
        <v>0</v>
      </c>
      <c r="AX533" s="147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6"/>
      <c r="AV534" s="1477">
        <f t="shared" si="298"/>
        <v>0</v>
      </c>
      <c r="AW534" s="1477">
        <f t="shared" si="299"/>
        <v>0</v>
      </c>
      <c r="AX534" s="147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6"/>
      <c r="AV535" s="1477">
        <f t="shared" si="298"/>
        <v>0</v>
      </c>
      <c r="AW535" s="1477">
        <f t="shared" si="299"/>
        <v>0</v>
      </c>
      <c r="AX535" s="147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6"/>
      <c r="AV536" s="1477">
        <f t="shared" si="298"/>
        <v>0</v>
      </c>
      <c r="AW536" s="1477">
        <f t="shared" si="299"/>
        <v>0</v>
      </c>
      <c r="AX536" s="147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6"/>
      <c r="AV537" s="1477">
        <f t="shared" si="298"/>
        <v>0</v>
      </c>
      <c r="AW537" s="1477">
        <f t="shared" si="299"/>
        <v>0</v>
      </c>
      <c r="AX537" s="147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6"/>
      <c r="AV538" s="1477">
        <f t="shared" si="298"/>
        <v>0</v>
      </c>
      <c r="AW538" s="1477">
        <f t="shared" si="299"/>
        <v>0</v>
      </c>
      <c r="AX538" s="147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6"/>
      <c r="AV539" s="1477">
        <f t="shared" si="298"/>
        <v>0</v>
      </c>
      <c r="AW539" s="1477">
        <f t="shared" si="299"/>
        <v>0</v>
      </c>
      <c r="AX539" s="147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6"/>
      <c r="AV540" s="1477">
        <f t="shared" si="298"/>
        <v>0</v>
      </c>
      <c r="AW540" s="1477">
        <f t="shared" si="299"/>
        <v>0</v>
      </c>
      <c r="AX540" s="147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6"/>
      <c r="AV541" s="1477">
        <f t="shared" si="298"/>
        <v>0</v>
      </c>
      <c r="AW541" s="1477">
        <f t="shared" si="299"/>
        <v>0</v>
      </c>
      <c r="AX541" s="147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6"/>
      <c r="AV542" s="1477">
        <f t="shared" si="298"/>
        <v>0</v>
      </c>
      <c r="AW542" s="1477">
        <f t="shared" si="299"/>
        <v>0</v>
      </c>
      <c r="AX542" s="147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6"/>
      <c r="AV543" s="1477">
        <f t="shared" si="298"/>
        <v>0</v>
      </c>
      <c r="AW543" s="1477">
        <f t="shared" si="299"/>
        <v>0</v>
      </c>
      <c r="AX543" s="147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6"/>
      <c r="AV544" s="1477">
        <f t="shared" si="298"/>
        <v>0</v>
      </c>
      <c r="AW544" s="1477">
        <f t="shared" si="299"/>
        <v>0</v>
      </c>
      <c r="AX544" s="147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6"/>
      <c r="AV545" s="1477">
        <f t="shared" si="298"/>
        <v>0</v>
      </c>
      <c r="AW545" s="1477">
        <f t="shared" si="299"/>
        <v>0</v>
      </c>
      <c r="AX545" s="147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6"/>
      <c r="AV546" s="1477">
        <f t="shared" si="298"/>
        <v>0</v>
      </c>
      <c r="AW546" s="1477">
        <f t="shared" si="299"/>
        <v>0</v>
      </c>
      <c r="AX546" s="147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6"/>
      <c r="AV547" s="1477">
        <f t="shared" si="298"/>
        <v>0</v>
      </c>
      <c r="AW547" s="1477">
        <f t="shared" si="299"/>
        <v>0</v>
      </c>
      <c r="AX547" s="147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6"/>
      <c r="AV548" s="1477">
        <f t="shared" si="298"/>
        <v>0</v>
      </c>
      <c r="AW548" s="1477">
        <f t="shared" si="299"/>
        <v>0</v>
      </c>
      <c r="AX548" s="147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6"/>
      <c r="AV549" s="1477">
        <f t="shared" si="298"/>
        <v>0</v>
      </c>
      <c r="AW549" s="1477">
        <f t="shared" si="299"/>
        <v>0</v>
      </c>
      <c r="AX549" s="147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6"/>
      <c r="AV550" s="1477">
        <f t="shared" si="298"/>
        <v>0</v>
      </c>
      <c r="AW550" s="1477">
        <f t="shared" si="299"/>
        <v>0</v>
      </c>
      <c r="AX550" s="147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6"/>
      <c r="AV551" s="1477">
        <f t="shared" si="298"/>
        <v>0</v>
      </c>
      <c r="AW551" s="1477">
        <f t="shared" si="299"/>
        <v>0</v>
      </c>
      <c r="AX551" s="147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6"/>
      <c r="AV552" s="1477">
        <f t="shared" si="298"/>
        <v>0</v>
      </c>
      <c r="AW552" s="1477">
        <f t="shared" si="299"/>
        <v>0</v>
      </c>
      <c r="AX552" s="147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6"/>
      <c r="AV553" s="1477">
        <f t="shared" ref="AV553:AV587" si="330">A553</f>
        <v>0</v>
      </c>
      <c r="AW553" s="1477">
        <f t="shared" ref="AW553:AW587" si="331">B553</f>
        <v>0</v>
      </c>
      <c r="AX553" s="147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6"/>
      <c r="AV554" s="1477">
        <f t="shared" si="330"/>
        <v>0</v>
      </c>
      <c r="AW554" s="1477">
        <f t="shared" si="331"/>
        <v>0</v>
      </c>
      <c r="AX554" s="147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6"/>
      <c r="AV555" s="1477">
        <f t="shared" si="330"/>
        <v>0</v>
      </c>
      <c r="AW555" s="1477">
        <f t="shared" si="331"/>
        <v>0</v>
      </c>
      <c r="AX555" s="147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6"/>
      <c r="AV556" s="1477">
        <f t="shared" si="330"/>
        <v>0</v>
      </c>
      <c r="AW556" s="1477">
        <f t="shared" si="331"/>
        <v>0</v>
      </c>
      <c r="AX556" s="147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6"/>
      <c r="AV557" s="1477">
        <f t="shared" si="330"/>
        <v>0</v>
      </c>
      <c r="AW557" s="1477">
        <f t="shared" si="331"/>
        <v>0</v>
      </c>
      <c r="AX557" s="147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6"/>
      <c r="AV558" s="1477">
        <f t="shared" si="330"/>
        <v>0</v>
      </c>
      <c r="AW558" s="1477">
        <f t="shared" si="331"/>
        <v>0</v>
      </c>
      <c r="AX558" s="147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6"/>
      <c r="AV559" s="1477">
        <f t="shared" si="330"/>
        <v>0</v>
      </c>
      <c r="AW559" s="1477">
        <f t="shared" si="331"/>
        <v>0</v>
      </c>
      <c r="AX559" s="147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6"/>
      <c r="AV560" s="1477">
        <f t="shared" si="330"/>
        <v>0</v>
      </c>
      <c r="AW560" s="1477">
        <f t="shared" si="331"/>
        <v>0</v>
      </c>
      <c r="AX560" s="147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6"/>
      <c r="AV561" s="1477">
        <f t="shared" si="330"/>
        <v>0</v>
      </c>
      <c r="AW561" s="1477">
        <f t="shared" si="331"/>
        <v>0</v>
      </c>
      <c r="AX561" s="147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6"/>
      <c r="AV562" s="1477">
        <f t="shared" si="330"/>
        <v>0</v>
      </c>
      <c r="AW562" s="1477">
        <f t="shared" si="331"/>
        <v>0</v>
      </c>
      <c r="AX562" s="147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6"/>
      <c r="AV563" s="1477">
        <f t="shared" si="330"/>
        <v>0</v>
      </c>
      <c r="AW563" s="1477">
        <f t="shared" si="331"/>
        <v>0</v>
      </c>
      <c r="AX563" s="147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6"/>
      <c r="AV564" s="1477">
        <f t="shared" si="330"/>
        <v>0</v>
      </c>
      <c r="AW564" s="1477">
        <f t="shared" si="331"/>
        <v>0</v>
      </c>
      <c r="AX564" s="147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6"/>
      <c r="AV565" s="1477">
        <f t="shared" si="330"/>
        <v>0</v>
      </c>
      <c r="AW565" s="1477">
        <f t="shared" si="331"/>
        <v>0</v>
      </c>
      <c r="AX565" s="147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6"/>
      <c r="AV566" s="1477">
        <f t="shared" si="330"/>
        <v>0</v>
      </c>
      <c r="AW566" s="1477">
        <f t="shared" si="331"/>
        <v>0</v>
      </c>
      <c r="AX566" s="147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6"/>
      <c r="AV567" s="1477">
        <f t="shared" si="330"/>
        <v>0</v>
      </c>
      <c r="AW567" s="1477">
        <f t="shared" si="331"/>
        <v>0</v>
      </c>
      <c r="AX567" s="147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6"/>
      <c r="AV568" s="1477">
        <f t="shared" si="330"/>
        <v>0</v>
      </c>
      <c r="AW568" s="1477">
        <f t="shared" si="331"/>
        <v>0</v>
      </c>
      <c r="AX568" s="147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6"/>
      <c r="AV569" s="1477">
        <f t="shared" si="330"/>
        <v>0</v>
      </c>
      <c r="AW569" s="1477">
        <f t="shared" si="331"/>
        <v>0</v>
      </c>
      <c r="AX569" s="147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6"/>
      <c r="AV570" s="1477">
        <f t="shared" si="330"/>
        <v>0</v>
      </c>
      <c r="AW570" s="1477">
        <f t="shared" si="331"/>
        <v>0</v>
      </c>
      <c r="AX570" s="147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6"/>
      <c r="AV571" s="1477">
        <f t="shared" si="330"/>
        <v>0</v>
      </c>
      <c r="AW571" s="1477">
        <f t="shared" si="331"/>
        <v>0</v>
      </c>
      <c r="AX571" s="147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6"/>
      <c r="AV572" s="1477">
        <f t="shared" si="330"/>
        <v>0</v>
      </c>
      <c r="AW572" s="1477">
        <f t="shared" si="331"/>
        <v>0</v>
      </c>
      <c r="AX572" s="147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6"/>
      <c r="AV573" s="1477">
        <f t="shared" si="330"/>
        <v>0</v>
      </c>
      <c r="AW573" s="1477">
        <f t="shared" si="331"/>
        <v>0</v>
      </c>
      <c r="AX573" s="147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6"/>
      <c r="AV574" s="1477">
        <f t="shared" si="330"/>
        <v>0</v>
      </c>
      <c r="AW574" s="1477">
        <f t="shared" si="331"/>
        <v>0</v>
      </c>
      <c r="AX574" s="147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6"/>
      <c r="AV575" s="1477">
        <f t="shared" si="330"/>
        <v>0</v>
      </c>
      <c r="AW575" s="1477">
        <f t="shared" si="331"/>
        <v>0</v>
      </c>
      <c r="AX575" s="147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6"/>
      <c r="AV576" s="1477">
        <f t="shared" si="330"/>
        <v>0</v>
      </c>
      <c r="AW576" s="1477">
        <f t="shared" si="331"/>
        <v>0</v>
      </c>
      <c r="AX576" s="147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6"/>
      <c r="AV577" s="1477">
        <f t="shared" si="330"/>
        <v>0</v>
      </c>
      <c r="AW577" s="1477">
        <f t="shared" si="331"/>
        <v>0</v>
      </c>
      <c r="AX577" s="147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6"/>
      <c r="AV578" s="1477">
        <f t="shared" si="330"/>
        <v>0</v>
      </c>
      <c r="AW578" s="1477">
        <f t="shared" si="331"/>
        <v>0</v>
      </c>
      <c r="AX578" s="147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6"/>
      <c r="AV579" s="1477">
        <f t="shared" si="330"/>
        <v>0</v>
      </c>
      <c r="AW579" s="1477">
        <f t="shared" si="331"/>
        <v>0</v>
      </c>
      <c r="AX579" s="147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6"/>
      <c r="AV580" s="1477">
        <f t="shared" si="330"/>
        <v>0</v>
      </c>
      <c r="AW580" s="1477">
        <f t="shared" si="331"/>
        <v>0</v>
      </c>
      <c r="AX580" s="147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6"/>
      <c r="AV581" s="1477">
        <f t="shared" si="330"/>
        <v>0</v>
      </c>
      <c r="AW581" s="1477">
        <f t="shared" si="331"/>
        <v>0</v>
      </c>
      <c r="AX581" s="147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6"/>
      <c r="AV582" s="1477">
        <f t="shared" si="330"/>
        <v>0</v>
      </c>
      <c r="AW582" s="1477">
        <f t="shared" si="331"/>
        <v>0</v>
      </c>
      <c r="AX582" s="147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6"/>
      <c r="AV583" s="1477">
        <f t="shared" si="330"/>
        <v>0</v>
      </c>
      <c r="AW583" s="1477">
        <f t="shared" si="331"/>
        <v>0</v>
      </c>
      <c r="AX583" s="147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6"/>
      <c r="AV584" s="1477">
        <f t="shared" si="330"/>
        <v>0</v>
      </c>
      <c r="AW584" s="1477">
        <f t="shared" si="331"/>
        <v>0</v>
      </c>
      <c r="AX584" s="147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6"/>
      <c r="AV585" s="1477">
        <f t="shared" si="330"/>
        <v>0</v>
      </c>
      <c r="AW585" s="1477">
        <f t="shared" si="331"/>
        <v>0</v>
      </c>
      <c r="AX585" s="147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6"/>
      <c r="AV586" s="1477">
        <f t="shared" si="330"/>
        <v>0</v>
      </c>
      <c r="AW586" s="1477">
        <f t="shared" si="331"/>
        <v>0</v>
      </c>
      <c r="AX586" s="147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6"/>
      <c r="AV587" s="1477">
        <f t="shared" si="330"/>
        <v>0</v>
      </c>
      <c r="AW587" s="1477">
        <f t="shared" si="331"/>
        <v>0</v>
      </c>
      <c r="AX587" s="147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23" t="s">
        <v>1576</v>
      </c>
      <c r="B2" s="3323"/>
      <c r="C2" s="3323"/>
      <c r="D2" s="884" t="s">
        <v>1552</v>
      </c>
      <c r="E2" s="1774" t="s">
        <v>1553</v>
      </c>
      <c r="F2" s="2835"/>
      <c r="G2" s="2826"/>
      <c r="H2" s="2827"/>
      <c r="I2" s="2498" t="s">
        <v>1577</v>
      </c>
      <c r="J2" s="2835"/>
      <c r="K2" s="2835"/>
      <c r="L2" s="2835"/>
      <c r="M2" s="2835"/>
      <c r="N2" s="2837"/>
      <c r="O2" s="2835"/>
      <c r="P2" s="2835"/>
    </row>
    <row r="3" spans="1:16" ht="15.75" thickBot="1">
      <c r="A3" s="3324" t="s">
        <v>1550</v>
      </c>
      <c r="B3" s="3324"/>
      <c r="C3" s="3324"/>
      <c r="D3" s="45">
        <f>'数据-基础表'!AY6</f>
        <v>18753.7</v>
      </c>
      <c r="E3" s="45">
        <f>'数据-基础表'!AZ5</f>
        <v>8363.3700000000008</v>
      </c>
      <c r="F3" s="2835"/>
      <c r="G3" s="1259"/>
      <c r="H3" s="1137" t="s">
        <v>1551</v>
      </c>
      <c r="I3" s="944">
        <f>ROUND('数据-基础表'!B3/'数据-基础表'!A3,2)</f>
        <v>0.45</v>
      </c>
      <c r="J3" s="2835"/>
      <c r="K3" s="2835"/>
      <c r="L3" s="2835"/>
      <c r="M3" s="2835"/>
      <c r="N3" s="2837"/>
      <c r="O3" s="2835"/>
      <c r="P3" s="2835"/>
    </row>
    <row r="4" spans="1:16" ht="15">
      <c r="A4" s="3325"/>
      <c r="B4" s="3326"/>
      <c r="C4" s="3327"/>
      <c r="D4" s="1776" t="s">
        <v>1552</v>
      </c>
      <c r="E4" s="1777" t="s">
        <v>1553</v>
      </c>
      <c r="F4" s="2835"/>
      <c r="G4" s="2828" t="s">
        <v>1578</v>
      </c>
      <c r="H4" s="1137" t="s">
        <v>1558</v>
      </c>
      <c r="I4" s="944">
        <f>ROUND(SUMIF('数据-基础表'!I9:AS9,"地上",'数据-基础表'!I5:AS5)/'数据-基础表'!A3,2)</f>
        <v>0.45</v>
      </c>
      <c r="J4" s="2835"/>
      <c r="K4" s="2835"/>
      <c r="L4" s="2835"/>
      <c r="M4" s="2835"/>
      <c r="N4" s="2837"/>
      <c r="O4" s="2835"/>
      <c r="P4" s="2835"/>
    </row>
    <row r="5" spans="1:16">
      <c r="A5" s="46" t="s">
        <v>1554</v>
      </c>
      <c r="B5" s="3328" t="s">
        <v>1555</v>
      </c>
      <c r="C5" s="3328"/>
      <c r="D5" s="47">
        <f>ROUND($D$3*E5/$E$3,2)</f>
        <v>0</v>
      </c>
      <c r="E5" s="48">
        <f>SUMIF('数据-基础表'!$11:$11,"住宅",'数据-基础表'!$5:$5)</f>
        <v>0</v>
      </c>
      <c r="F5" s="2835"/>
      <c r="G5" s="1259"/>
      <c r="H5" s="1137" t="s">
        <v>1551</v>
      </c>
      <c r="I5" s="944">
        <f>ROUND(E31/D31,2)</f>
        <v>0.45</v>
      </c>
      <c r="J5" s="2835"/>
      <c r="K5" s="2835"/>
      <c r="L5" s="2835"/>
      <c r="M5" s="2835"/>
      <c r="N5" s="2835"/>
      <c r="O5" s="2835"/>
      <c r="P5" s="2835"/>
    </row>
    <row r="6" spans="1:16" ht="15" thickBot="1">
      <c r="A6" s="1779"/>
      <c r="B6" s="3328" t="s">
        <v>1556</v>
      </c>
      <c r="C6" s="3328"/>
      <c r="D6" s="47">
        <f>ROUND($D$3*E6/$E$3,2)</f>
        <v>18753.7</v>
      </c>
      <c r="E6" s="48">
        <f>E3-E5</f>
        <v>8363.3700000000008</v>
      </c>
      <c r="F6" s="2835"/>
      <c r="G6" s="2829" t="s">
        <v>1557</v>
      </c>
      <c r="H6" s="1260" t="s">
        <v>1558</v>
      </c>
      <c r="I6" s="2830">
        <f>ROUND(F31/D31,2)</f>
        <v>0.45</v>
      </c>
      <c r="J6" s="2835"/>
      <c r="K6" s="2835"/>
      <c r="L6" s="2835"/>
      <c r="M6" s="2835"/>
      <c r="N6" s="2835"/>
      <c r="O6" s="2835"/>
      <c r="P6" s="2835"/>
    </row>
    <row r="7" spans="1:16" ht="15.75" thickBot="1">
      <c r="A7" s="3320"/>
      <c r="B7" s="3321"/>
      <c r="C7" s="3322"/>
      <c r="D7" s="1776" t="s">
        <v>1552</v>
      </c>
      <c r="E7" s="1780" t="s">
        <v>1559</v>
      </c>
      <c r="F7" s="2835"/>
      <c r="G7" s="2831" t="s">
        <v>1560</v>
      </c>
      <c r="H7" s="2832"/>
      <c r="I7" s="2833"/>
      <c r="J7" s="2835"/>
      <c r="K7" s="2835"/>
      <c r="L7" s="2835"/>
      <c r="M7" s="2835"/>
      <c r="N7" s="2835"/>
      <c r="O7" s="2835"/>
      <c r="P7" s="2835"/>
    </row>
    <row r="8" spans="1:16">
      <c r="A8" s="46" t="s">
        <v>1561</v>
      </c>
      <c r="B8" s="49" t="s">
        <v>1562</v>
      </c>
      <c r="C8" s="47" t="s">
        <v>1563</v>
      </c>
      <c r="D8" s="47">
        <f t="shared" ref="D8:D15" si="0">ROUND($D$3*E8/$E$3,2)</f>
        <v>18753.7</v>
      </c>
      <c r="E8" s="50">
        <f>SUMIF('数据-基础表'!BB10:BK10,"地上",'数据-基础表'!BB5:BK5)</f>
        <v>8363.3700000000008</v>
      </c>
      <c r="F8" s="2835"/>
      <c r="G8" s="2836"/>
      <c r="H8" s="2836"/>
      <c r="I8" s="2835"/>
      <c r="J8" s="2835"/>
      <c r="K8" s="2835"/>
      <c r="L8" s="2835"/>
      <c r="M8" s="2835"/>
      <c r="N8" s="2835"/>
      <c r="O8" s="2835"/>
      <c r="P8" s="2835"/>
    </row>
    <row r="9" spans="1:16">
      <c r="A9" s="1781"/>
      <c r="B9" s="1782"/>
      <c r="C9" s="47" t="s">
        <v>1564</v>
      </c>
      <c r="D9" s="47">
        <f t="shared" si="0"/>
        <v>0</v>
      </c>
      <c r="E9" s="51">
        <v>0</v>
      </c>
      <c r="F9" s="2835"/>
      <c r="G9" s="2836"/>
      <c r="H9" s="2836"/>
      <c r="I9" s="2835"/>
      <c r="J9" s="2835"/>
      <c r="K9" s="2835"/>
      <c r="L9" s="2835"/>
      <c r="M9" s="2835"/>
      <c r="N9" s="2835"/>
      <c r="O9" s="2835"/>
      <c r="P9" s="2835"/>
    </row>
    <row r="10" spans="1:16">
      <c r="A10" s="1781"/>
      <c r="B10" s="1782"/>
      <c r="C10" s="47" t="s">
        <v>1573</v>
      </c>
      <c r="D10" s="47">
        <f t="shared" si="0"/>
        <v>0</v>
      </c>
      <c r="E10" s="50">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7" t="s">
        <v>1565</v>
      </c>
      <c r="D11" s="47">
        <f t="shared" si="0"/>
        <v>0</v>
      </c>
      <c r="E11" s="50">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7" t="s">
        <v>1566</v>
      </c>
      <c r="D12" s="47">
        <f t="shared" si="0"/>
        <v>0</v>
      </c>
      <c r="E12" s="50">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7" t="s">
        <v>1567</v>
      </c>
      <c r="D13" s="47">
        <f t="shared" si="0"/>
        <v>0</v>
      </c>
      <c r="E13" s="50">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7" t="s">
        <v>1579</v>
      </c>
      <c r="D14" s="47">
        <f t="shared" si="0"/>
        <v>0</v>
      </c>
      <c r="E14" s="50">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7" t="s">
        <v>1574</v>
      </c>
      <c r="D15" s="47">
        <f t="shared" si="0"/>
        <v>0</v>
      </c>
      <c r="E15" s="50">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49" t="s">
        <v>1568</v>
      </c>
      <c r="D16" s="49">
        <f>SUM(D8:D15)</f>
        <v>18753.7</v>
      </c>
      <c r="E16" s="52">
        <f>SUM(E8:E15)</f>
        <v>8363.3700000000008</v>
      </c>
      <c r="F16" s="2835"/>
      <c r="G16" s="2836"/>
      <c r="H16" s="1783" t="s">
        <v>1580</v>
      </c>
      <c r="I16" s="1784"/>
      <c r="J16" s="1253"/>
      <c r="K16" s="3317" t="s">
        <v>1580</v>
      </c>
      <c r="L16" s="3318"/>
      <c r="M16" s="3318"/>
      <c r="N16" s="3318"/>
      <c r="O16" s="3318"/>
      <c r="P16" s="3319"/>
    </row>
    <row r="17" spans="1:19" ht="15">
      <c r="A17" s="1785" t="s">
        <v>1581</v>
      </c>
      <c r="B17" s="1786" t="s">
        <v>1582</v>
      </c>
      <c r="C17" s="1787" t="s">
        <v>1583</v>
      </c>
      <c r="D17" s="1788" t="s">
        <v>1571</v>
      </c>
      <c r="E17" s="1789" t="s">
        <v>1572</v>
      </c>
      <c r="F17" s="1790"/>
      <c r="G17" s="1791"/>
      <c r="H17" s="1792" t="s">
        <v>1584</v>
      </c>
      <c r="I17" s="1793" t="s">
        <v>1569</v>
      </c>
      <c r="J17" s="1253"/>
      <c r="K17" s="3314" t="s">
        <v>1585</v>
      </c>
      <c r="L17" s="3315"/>
      <c r="M17" s="3316"/>
      <c r="N17" s="3314" t="s">
        <v>1586</v>
      </c>
      <c r="O17" s="3315"/>
      <c r="P17" s="3316"/>
      <c r="R17" s="1775" t="s">
        <v>1587</v>
      </c>
      <c r="S17" s="59"/>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49" t="s">
        <v>1570</v>
      </c>
      <c r="C19" s="3232" t="s">
        <v>3191</v>
      </c>
      <c r="D19" s="47">
        <f>ROUND($D$3*E19/$E$3,2)</f>
        <v>18753.7</v>
      </c>
      <c r="E19" s="55">
        <f t="shared" ref="E19:E26" si="1">SUM(F19:G19)</f>
        <v>8363.3700000000008</v>
      </c>
      <c r="F19" s="2975">
        <f>'数据-基础表'!I13</f>
        <v>8363.3700000000008</v>
      </c>
      <c r="G19" s="2976"/>
      <c r="H19" s="678">
        <f>ROUND($D$3*I19/$E$3,2)</f>
        <v>0</v>
      </c>
      <c r="I19" s="50">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18753.7</v>
      </c>
      <c r="S19" s="1138">
        <f t="shared" si="5"/>
        <v>8363.3700000000008</v>
      </c>
    </row>
    <row r="20" spans="1:19">
      <c r="A20" s="1806"/>
      <c r="B20" s="49" t="s">
        <v>1598</v>
      </c>
      <c r="C20" s="1803"/>
      <c r="D20" s="47">
        <f t="shared" ref="D20:D26" si="6">ROUND($D$3*E20/$E$3,2)</f>
        <v>0</v>
      </c>
      <c r="E20" s="55">
        <f t="shared" si="1"/>
        <v>0</v>
      </c>
      <c r="F20" s="2975"/>
      <c r="G20" s="2976"/>
      <c r="H20" s="678">
        <f t="shared" ref="H20:H26" si="7">ROUND($D$3*I20/$E$3,2)</f>
        <v>0</v>
      </c>
      <c r="I20" s="50">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49" t="s">
        <v>1598</v>
      </c>
      <c r="C21" s="1803"/>
      <c r="D21" s="47">
        <f t="shared" si="6"/>
        <v>0</v>
      </c>
      <c r="E21" s="55">
        <f t="shared" si="1"/>
        <v>0</v>
      </c>
      <c r="F21" s="2975"/>
      <c r="G21" s="2976"/>
      <c r="H21" s="678">
        <f t="shared" si="7"/>
        <v>0</v>
      </c>
      <c r="I21" s="50">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49" t="s">
        <v>1598</v>
      </c>
      <c r="C22" s="57"/>
      <c r="D22" s="47">
        <f t="shared" si="6"/>
        <v>0</v>
      </c>
      <c r="E22" s="55">
        <f t="shared" si="1"/>
        <v>0</v>
      </c>
      <c r="F22" s="2977"/>
      <c r="G22" s="2978"/>
      <c r="H22" s="678">
        <f t="shared" si="7"/>
        <v>0</v>
      </c>
      <c r="I22" s="50">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49" t="s">
        <v>1598</v>
      </c>
      <c r="C23" s="57"/>
      <c r="D23" s="47">
        <f>ROUND($D$3*E23/$E$3,2)</f>
        <v>0</v>
      </c>
      <c r="E23" s="55">
        <f>SUM(F23:G23)</f>
        <v>0</v>
      </c>
      <c r="F23" s="2977"/>
      <c r="G23" s="2978"/>
      <c r="H23" s="678">
        <f>ROUND($D$3*I23/$E$3,2)</f>
        <v>0</v>
      </c>
      <c r="I23" s="50">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49" t="s">
        <v>1598</v>
      </c>
      <c r="C24" s="57"/>
      <c r="D24" s="47">
        <f>ROUND($D$3*E24/$E$3,2)</f>
        <v>0</v>
      </c>
      <c r="E24" s="55">
        <f>SUM(F24:G24)</f>
        <v>0</v>
      </c>
      <c r="F24" s="2977"/>
      <c r="G24" s="2978"/>
      <c r="H24" s="678">
        <f>ROUND($D$3*I24/$E$3,2)</f>
        <v>0</v>
      </c>
      <c r="I24" s="50">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49" t="s">
        <v>1598</v>
      </c>
      <c r="C25" s="57"/>
      <c r="D25" s="47">
        <f t="shared" si="6"/>
        <v>0</v>
      </c>
      <c r="E25" s="55">
        <f t="shared" si="1"/>
        <v>0</v>
      </c>
      <c r="F25" s="2977"/>
      <c r="G25" s="2978"/>
      <c r="H25" s="46">
        <f t="shared" si="7"/>
        <v>0</v>
      </c>
      <c r="I25" s="50">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49" t="s">
        <v>1598</v>
      </c>
      <c r="C26" s="58"/>
      <c r="D26" s="47">
        <f t="shared" si="6"/>
        <v>0</v>
      </c>
      <c r="E26" s="55">
        <f t="shared" si="1"/>
        <v>0</v>
      </c>
      <c r="F26" s="2977"/>
      <c r="G26" s="2978"/>
      <c r="H26" s="46">
        <f t="shared" si="7"/>
        <v>0</v>
      </c>
      <c r="I26" s="50">
        <f t="shared" si="2"/>
        <v>0</v>
      </c>
      <c r="J26" s="1253"/>
      <c r="K26" s="1259">
        <f t="shared" si="3"/>
        <v>0</v>
      </c>
      <c r="L26" s="1260">
        <f t="shared" si="4"/>
        <v>0</v>
      </c>
      <c r="M26" s="62">
        <f t="shared" si="8"/>
        <v>0</v>
      </c>
      <c r="N26" s="1807"/>
      <c r="O26" s="1808"/>
      <c r="P26" s="62">
        <f t="shared" si="9"/>
        <v>0</v>
      </c>
      <c r="R26" s="1137">
        <f t="shared" si="5"/>
        <v>0</v>
      </c>
      <c r="S26" s="1138">
        <f t="shared" si="5"/>
        <v>0</v>
      </c>
    </row>
    <row r="27" spans="1:19" ht="15.75" thickBot="1">
      <c r="A27" s="1806"/>
      <c r="B27" s="47"/>
      <c r="C27" s="1809" t="s">
        <v>1599</v>
      </c>
      <c r="D27" s="1254">
        <f>SUM(D19:D26)</f>
        <v>18753.7</v>
      </c>
      <c r="E27" s="1255">
        <f>IF(SUM(E19:E26)='数据-基础表'!BA5,SUM(E19:E26),IF(F27="地上面积有误","面积有误","地下面积有误"))</f>
        <v>8363.3700000000008</v>
      </c>
      <c r="F27" s="1254">
        <f>IF(SUM(F19:F26)=E8,SUM(F19:F26),"地上面积有误")</f>
        <v>8363.3700000000008</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18753.7</v>
      </c>
      <c r="S27" s="1137">
        <f>IF(SUM(S19:S26)=$E$3,SUM(S19:S26),SUM(S19:S26)&amp;"误差"&amp;ROUND(SUM(S19:S26)-E3,2))</f>
        <v>8363.3700000000008</v>
      </c>
    </row>
    <row r="28" spans="1:19">
      <c r="A28" s="1806"/>
      <c r="B28" s="49" t="s">
        <v>1600</v>
      </c>
      <c r="C28" s="1149" t="s">
        <v>1601</v>
      </c>
      <c r="D28" s="47">
        <f>ROUND($D$3*E28/$E$3,2)</f>
        <v>0</v>
      </c>
      <c r="E28" s="55">
        <f>SUM(F28:G28)</f>
        <v>0</v>
      </c>
      <c r="F28" s="59">
        <f>'数据-基础表'!BQ5+'数据-基础表'!BS5</f>
        <v>0</v>
      </c>
      <c r="G28" s="60">
        <f>'数据-基础表'!BR5+'数据-基础表'!BT5</f>
        <v>0</v>
      </c>
      <c r="H28" s="2835"/>
      <c r="I28" s="2835"/>
      <c r="J28" s="2835"/>
      <c r="K28" s="2835"/>
      <c r="L28" s="2835"/>
      <c r="M28" s="2835"/>
      <c r="N28" s="2835"/>
      <c r="O28" s="2835"/>
      <c r="P28" s="2835"/>
    </row>
    <row r="29" spans="1:19">
      <c r="A29" s="1806"/>
      <c r="B29" s="49" t="s">
        <v>1600</v>
      </c>
      <c r="C29" s="1810" t="s">
        <v>1602</v>
      </c>
      <c r="D29" s="47">
        <f>ROUND($D$3*E29/$E$3,2)</f>
        <v>0</v>
      </c>
      <c r="E29" s="55">
        <f>SUM(F29:G29)</f>
        <v>0</v>
      </c>
      <c r="F29" s="61">
        <f>'数据-基础表'!BM5+'数据-基础表'!BO5</f>
        <v>0</v>
      </c>
      <c r="G29" s="62">
        <f>'数据-基础表'!BN5+'数据-基础表'!BP5</f>
        <v>0</v>
      </c>
      <c r="H29" s="2835"/>
      <c r="I29" s="2835"/>
      <c r="J29" s="2835"/>
      <c r="K29" s="2835"/>
      <c r="L29" s="2835"/>
      <c r="M29" s="2835"/>
      <c r="N29" s="2835"/>
      <c r="O29" s="2835"/>
      <c r="P29" s="2835"/>
    </row>
    <row r="30" spans="1:19" ht="15">
      <c r="A30" s="1806"/>
      <c r="B30" s="49"/>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18753.7</v>
      </c>
      <c r="E31" s="684">
        <f>E27+E30</f>
        <v>8363.3700000000008</v>
      </c>
      <c r="F31" s="685">
        <f>F27+F30</f>
        <v>8363.3700000000008</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S26" sqref="S26"/>
    </sheetView>
  </sheetViews>
  <sheetFormatPr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9" style="1817"/>
    <col min="68" max="16384" width="9"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44677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3"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3192</v>
      </c>
      <c r="O5" s="1838" t="s">
        <v>1626</v>
      </c>
      <c r="P5" s="1841" t="s">
        <v>1627</v>
      </c>
      <c r="Q5" s="64" t="s">
        <v>1628</v>
      </c>
      <c r="R5" s="1842" t="s">
        <v>1629</v>
      </c>
      <c r="S5" s="1843" t="s">
        <v>1630</v>
      </c>
      <c r="T5" s="1844" t="s">
        <v>1631</v>
      </c>
      <c r="U5" s="1157" t="s">
        <v>1632</v>
      </c>
      <c r="V5" s="1158" t="s">
        <v>1633</v>
      </c>
      <c r="W5" s="1158" t="s">
        <v>1634</v>
      </c>
      <c r="X5" s="66"/>
      <c r="Y5" s="65" t="s">
        <v>1635</v>
      </c>
      <c r="Z5" s="1845" t="s">
        <v>1632</v>
      </c>
      <c r="AA5" s="1158" t="s">
        <v>1633</v>
      </c>
      <c r="AB5" s="1158" t="s">
        <v>1634</v>
      </c>
      <c r="AC5" s="66"/>
      <c r="AD5" s="66" t="s">
        <v>1635</v>
      </c>
      <c r="AE5" s="1157" t="s">
        <v>1636</v>
      </c>
      <c r="AF5" s="1158" t="s">
        <v>1637</v>
      </c>
      <c r="AG5" s="65" t="s">
        <v>1638</v>
      </c>
      <c r="AH5" s="1157" t="s">
        <v>1639</v>
      </c>
      <c r="AI5" s="1845" t="s">
        <v>1640</v>
      </c>
      <c r="AJ5" s="1845" t="s">
        <v>1641</v>
      </c>
      <c r="AK5" s="1158" t="s">
        <v>1642</v>
      </c>
      <c r="AL5" s="1158" t="s">
        <v>1643</v>
      </c>
      <c r="AM5" s="65"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工业</v>
      </c>
      <c r="B6" s="1849" t="str">
        <f>IF(A6=0,"","经营性")</f>
        <v>经营性</v>
      </c>
      <c r="C6" s="1850" t="s">
        <v>6</v>
      </c>
      <c r="D6" s="947">
        <f>SUMIF(项目基本情况!D$12:I$12,C6,项目基本情况!D$14:I$14)</f>
        <v>50</v>
      </c>
      <c r="E6" s="3587">
        <f>IF(B6="","",SUMIF(项目基本情况!D$12:I$12,C6,项目基本情况!D$13:I$13))</f>
        <v>56388</v>
      </c>
      <c r="F6" s="67">
        <f>SUMIF(项目基本情况!D$12:I$12,C6,项目基本情况!D$15:I$15)</f>
        <v>32.08</v>
      </c>
      <c r="G6" s="68">
        <f>IF(ISERROR(ROUND(POWER(1+H6,D6-F6)*(POWER(1+H6,F6)-1)/(POWER(1+H6,D6)-1),3)),0,ROUND(POWER(1+H6,D6-F6)*(POWER(1+H6,F6)-1)/(POWER(1+H6,D6)-1),3))</f>
        <v>0.85099999999999998</v>
      </c>
      <c r="H6" s="3234">
        <v>4.4999999999999998E-2</v>
      </c>
      <c r="I6" s="3234">
        <v>0.05</v>
      </c>
      <c r="J6" s="3233">
        <v>0.08</v>
      </c>
      <c r="K6" s="1141">
        <f>SUMIF('数据-汇总表'!C$19:C$33,A6,'数据-汇总表'!E$19:E$33)</f>
        <v>8363.3700000000008</v>
      </c>
      <c r="L6" s="741">
        <v>2500</v>
      </c>
      <c r="M6" s="70">
        <f t="shared" ref="M6:M14" si="0">ROUND(K6*L6/10000,0)</f>
        <v>2091</v>
      </c>
      <c r="N6" s="3588">
        <f>ROUND(1-(1-2%)*(2022-2003)/70,2)</f>
        <v>0.73</v>
      </c>
      <c r="O6" s="70" t="str">
        <f>IF($N$5="成新度","——",ROUND(M6*N6,0))</f>
        <v>——</v>
      </c>
      <c r="P6" s="71" t="str">
        <f>IF($N$5="成新度","——",M6-O6)</f>
        <v>——</v>
      </c>
      <c r="Q6" s="742">
        <v>0.05</v>
      </c>
      <c r="R6" s="72">
        <f ca="1">SUMIF('数据-汇总表'!C$19:C$33,A6,'数据-汇总表'!R$19:R$27)</f>
        <v>18753.7</v>
      </c>
      <c r="S6" s="53">
        <f>IF('数据-汇总表'!$I$17="按面积比例",SUMIF('数据-汇总表'!C$19:C$33,A6,'数据-汇总表'!K$19:K$33),SUMIF('数据-汇总表'!C$19:C$33,A6,'数据-汇总表'!N$19:N$33))</f>
        <v>0</v>
      </c>
      <c r="T6" s="1286">
        <f>ROUND($L$14*S6/10000,0)</f>
        <v>0</v>
      </c>
      <c r="U6" s="3589">
        <v>1.5</v>
      </c>
      <c r="V6" s="3590">
        <v>0.02</v>
      </c>
      <c r="W6" s="3235">
        <v>0.1</v>
      </c>
      <c r="X6" s="1151"/>
      <c r="Y6" s="75">
        <f>N6</f>
        <v>0.73</v>
      </c>
      <c r="Z6" s="76"/>
      <c r="AA6" s="69"/>
      <c r="AB6" s="69"/>
      <c r="AC6" s="1151"/>
      <c r="AD6" s="77"/>
      <c r="AE6" s="1152">
        <f ca="1">IF(AN6="",0,SUMIF(INDIRECT("'"&amp;AN6&amp;"'"&amp;"!E:E"),$AE$5,INDIRECT("'"&amp;AN6&amp;"'"&amp;"!F:F")))</f>
        <v>32.08</v>
      </c>
      <c r="AF6" s="1482"/>
      <c r="AG6" s="142">
        <f>IF(AF6="",0,AE6-AF6)</f>
        <v>0</v>
      </c>
      <c r="AH6" s="78"/>
      <c r="AI6" s="80">
        <v>365</v>
      </c>
      <c r="AJ6" s="81"/>
      <c r="AK6" s="3236">
        <v>1.4999999999999999E-2</v>
      </c>
      <c r="AL6" s="3237">
        <v>1.5E-3</v>
      </c>
      <c r="AM6" s="3238">
        <v>0.01</v>
      </c>
      <c r="AN6" s="1851" t="s">
        <v>3193</v>
      </c>
      <c r="AO6" s="54">
        <f ca="1">SUMIF(INDIRECT("'"&amp;AN6&amp;"'"&amp;"!A:A"),"总价",INDIRECT("'"&amp;AN6&amp;"'"&amp;"!B:B"))</f>
        <v>5913</v>
      </c>
      <c r="AP6" s="1852">
        <f>IF(C6="住宅",K6*L6,0)</f>
        <v>0</v>
      </c>
      <c r="AQ6" s="54">
        <f>ROUND($L$14*$N$14*S6/10000,0)</f>
        <v>0</v>
      </c>
      <c r="AR6" s="54">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41">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286">
        <f t="shared" ref="T7:T13" si="5">ROUND($L$14*S7/10000,0)</f>
        <v>0</v>
      </c>
      <c r="U7" s="73"/>
      <c r="V7" s="74"/>
      <c r="W7" s="74"/>
      <c r="X7" s="1151"/>
      <c r="Y7" s="75"/>
      <c r="Z7" s="76"/>
      <c r="AA7" s="69"/>
      <c r="AB7" s="69"/>
      <c r="AC7" s="1151"/>
      <c r="AD7" s="77"/>
      <c r="AE7" s="1152">
        <f t="shared" ref="AE7:AE13" ca="1" si="6">IF(AN7="",0,SUMIF(INDIRECT("'"&amp;AN7&amp;"'"&amp;"!E:E"),$AE$5,INDIRECT("'"&amp;AN7&amp;"'"&amp;"!F:F")))</f>
        <v>0</v>
      </c>
      <c r="AF7" s="1482"/>
      <c r="AG7" s="142">
        <f t="shared" ref="AG7:AG13" si="7">IF(AF7="",0,AE7-AF7)</f>
        <v>0</v>
      </c>
      <c r="AH7" s="78"/>
      <c r="AI7" s="80"/>
      <c r="AJ7" s="81"/>
      <c r="AK7" s="82"/>
      <c r="AL7" s="83"/>
      <c r="AM7" s="84"/>
      <c r="AN7" s="1851"/>
      <c r="AO7" s="54" t="e">
        <f t="shared" ref="AO7:AO13" ca="1" si="8">SUMIF(INDIRECT("'"&amp;AN7&amp;"'"&amp;"!A:A"),"总价",INDIRECT("'"&amp;AN7&amp;"'"&amp;"!B:B"))</f>
        <v>#REF!</v>
      </c>
      <c r="AP7" s="1852">
        <f t="shared" ref="AP7:AP13" si="9">IF(C7="住宅",K7*L7,0)</f>
        <v>0</v>
      </c>
      <c r="AQ7" s="54">
        <f t="shared" ref="AQ7:AQ13" si="10">ROUND($L$14*$N$14*S7/10000,0)</f>
        <v>0</v>
      </c>
      <c r="AR7" s="54">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2"/>
      <c r="AG8" s="142">
        <f t="shared" si="7"/>
        <v>0</v>
      </c>
      <c r="AH8" s="746"/>
      <c r="AI8" s="80"/>
      <c r="AJ8" s="81"/>
      <c r="AK8" s="747"/>
      <c r="AL8" s="748"/>
      <c r="AM8" s="749"/>
      <c r="AN8" s="1851"/>
      <c r="AO8" s="54" t="e">
        <f t="shared" ca="1" si="8"/>
        <v>#REF!</v>
      </c>
      <c r="AP8" s="1852">
        <f t="shared" si="9"/>
        <v>0</v>
      </c>
      <c r="AQ8" s="54">
        <f t="shared" si="10"/>
        <v>0</v>
      </c>
      <c r="AR8" s="54">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2"/>
      <c r="AG9" s="142">
        <f t="shared" si="7"/>
        <v>0</v>
      </c>
      <c r="AH9" s="78"/>
      <c r="AI9" s="80"/>
      <c r="AJ9" s="81"/>
      <c r="AK9" s="82"/>
      <c r="AL9" s="83"/>
      <c r="AM9" s="84"/>
      <c r="AN9" s="1851"/>
      <c r="AO9" s="54" t="e">
        <f t="shared" ca="1" si="8"/>
        <v>#REF!</v>
      </c>
      <c r="AP9" s="1852">
        <f t="shared" si="9"/>
        <v>0</v>
      </c>
      <c r="AQ9" s="54">
        <f t="shared" si="10"/>
        <v>0</v>
      </c>
      <c r="AR9" s="54">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2"/>
      <c r="AG10" s="142">
        <f t="shared" si="7"/>
        <v>0</v>
      </c>
      <c r="AH10" s="78"/>
      <c r="AI10" s="80"/>
      <c r="AJ10" s="81"/>
      <c r="AK10" s="82"/>
      <c r="AL10" s="83"/>
      <c r="AM10" s="84"/>
      <c r="AN10" s="1851"/>
      <c r="AO10" s="54" t="e">
        <f t="shared" ca="1" si="8"/>
        <v>#REF!</v>
      </c>
      <c r="AP10" s="1852">
        <f t="shared" si="9"/>
        <v>0</v>
      </c>
      <c r="AQ10" s="54">
        <f t="shared" si="10"/>
        <v>0</v>
      </c>
      <c r="AR10" s="54">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2"/>
      <c r="AG11" s="142">
        <f t="shared" si="7"/>
        <v>0</v>
      </c>
      <c r="AH11" s="78"/>
      <c r="AI11" s="80"/>
      <c r="AJ11" s="81"/>
      <c r="AK11" s="89"/>
      <c r="AL11" s="90"/>
      <c r="AM11" s="91"/>
      <c r="AN11" s="1851"/>
      <c r="AO11" s="54" t="e">
        <f t="shared" ca="1" si="8"/>
        <v>#REF!</v>
      </c>
      <c r="AP11" s="1852">
        <f t="shared" si="9"/>
        <v>0</v>
      </c>
      <c r="AQ11" s="54">
        <f t="shared" si="10"/>
        <v>0</v>
      </c>
      <c r="AR11" s="54">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2"/>
      <c r="AG12" s="142">
        <f t="shared" si="7"/>
        <v>0</v>
      </c>
      <c r="AH12" s="78"/>
      <c r="AI12" s="80"/>
      <c r="AJ12" s="81"/>
      <c r="AK12" s="89"/>
      <c r="AL12" s="90"/>
      <c r="AM12" s="91"/>
      <c r="AN12" s="1851"/>
      <c r="AO12" s="54" t="e">
        <f t="shared" ca="1" si="8"/>
        <v>#REF!</v>
      </c>
      <c r="AP12" s="1852">
        <f t="shared" si="9"/>
        <v>0</v>
      </c>
      <c r="AQ12" s="54">
        <f t="shared" si="10"/>
        <v>0</v>
      </c>
      <c r="AR12" s="54">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2"/>
      <c r="AG13" s="142">
        <f t="shared" si="7"/>
        <v>0</v>
      </c>
      <c r="AH13" s="78"/>
      <c r="AI13" s="80"/>
      <c r="AJ13" s="81"/>
      <c r="AK13" s="82"/>
      <c r="AL13" s="83"/>
      <c r="AM13" s="84"/>
      <c r="AN13" s="1851"/>
      <c r="AO13" s="54" t="e">
        <f t="shared" ca="1" si="8"/>
        <v>#REF!</v>
      </c>
      <c r="AP13" s="1852">
        <f t="shared" si="9"/>
        <v>0</v>
      </c>
      <c r="AQ13" s="54">
        <f t="shared" si="10"/>
        <v>0</v>
      </c>
      <c r="AR13" s="54">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7"/>
      <c r="G14" s="68"/>
      <c r="H14" s="1140"/>
      <c r="I14" s="1140"/>
      <c r="J14" s="1140"/>
      <c r="K14" s="1141">
        <f>SUMIF('数据-汇总表'!C$19:C$33,A14,'数据-汇总表'!E$19:E$33)</f>
        <v>0</v>
      </c>
      <c r="L14" s="86"/>
      <c r="M14" s="70">
        <f t="shared" si="0"/>
        <v>0</v>
      </c>
      <c r="N14" s="87"/>
      <c r="O14" s="70" t="str">
        <f t="shared" si="3"/>
        <v>——</v>
      </c>
      <c r="P14" s="71" t="str">
        <f t="shared" si="4"/>
        <v>——</v>
      </c>
      <c r="Q14" s="1144"/>
      <c r="R14" s="72"/>
      <c r="S14" s="53"/>
      <c r="T14" s="1286"/>
      <c r="U14" s="678"/>
      <c r="V14" s="1146"/>
      <c r="W14" s="1146"/>
      <c r="X14" s="1147"/>
      <c r="Y14" s="1148"/>
      <c r="Z14" s="1149"/>
      <c r="AA14" s="1150"/>
      <c r="AB14" s="1150"/>
      <c r="AC14" s="1151"/>
      <c r="AD14" s="1147"/>
      <c r="AE14" s="1152"/>
      <c r="AF14" s="54"/>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7"/>
      <c r="G15" s="68"/>
      <c r="H15" s="1140"/>
      <c r="I15" s="1140"/>
      <c r="J15" s="1140"/>
      <c r="K15" s="1141">
        <f>SUMIF('数据-汇总表'!C$19:C$33,A15,'数据-汇总表'!E$19:E$33)</f>
        <v>0</v>
      </c>
      <c r="L15" s="1142"/>
      <c r="M15" s="70"/>
      <c r="N15" s="1143"/>
      <c r="O15" s="70"/>
      <c r="P15" s="71"/>
      <c r="Q15" s="1144"/>
      <c r="R15" s="72"/>
      <c r="S15" s="53"/>
      <c r="T15" s="1286"/>
      <c r="U15" s="678"/>
      <c r="V15" s="1146"/>
      <c r="W15" s="1146"/>
      <c r="X15" s="1147"/>
      <c r="Y15" s="1148"/>
      <c r="Z15" s="1149"/>
      <c r="AA15" s="1150"/>
      <c r="AB15" s="1150"/>
      <c r="AC15" s="1151"/>
      <c r="AD15" s="1147"/>
      <c r="AE15" s="1152"/>
      <c r="AF15" s="54"/>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2"/>
      <c r="C16" s="922"/>
      <c r="D16" s="1856"/>
      <c r="E16" s="92"/>
      <c r="F16" s="92"/>
      <c r="G16" s="93">
        <f>ROUND(SUMPRODUCT(G6:G13,K6:K13)/SUMPRODUCT((G6:G13&gt;0)*(K6:K13)),3)</f>
        <v>0.85099999999999998</v>
      </c>
      <c r="H16" s="94">
        <f>ROUND(SUMPRODUCT(H6:H13,K6:K13)/SUMPRODUCT((H6:H13&gt;0)*(K6:K13)),3)</f>
        <v>4.4999999999999998E-2</v>
      </c>
      <c r="I16" s="95"/>
      <c r="J16" s="95"/>
      <c r="K16" s="96">
        <f>SUM(K6:K15)</f>
        <v>8363.3700000000008</v>
      </c>
      <c r="L16" s="97">
        <f>ROUND(M16*10000/SUM(K6:K14),0)</f>
        <v>2500</v>
      </c>
      <c r="M16" s="97">
        <f>SUM(M6:M14)</f>
        <v>2091</v>
      </c>
      <c r="N16" s="98">
        <f>ROUND(SUMPRODUCT(M6:M14,N6:N14)/M16,3)</f>
        <v>0.73</v>
      </c>
      <c r="O16" s="97">
        <f>SUM(O6:O14)</f>
        <v>0</v>
      </c>
      <c r="P16" s="97">
        <f>SUM(P6:P14)</f>
        <v>0</v>
      </c>
      <c r="Q16" s="99">
        <f>ROUND(SUMPRODUCT(Q6:Q13,K6:K13)/SUMPRODUCT((Q6:Q13&gt;0)*(K6:K13)),2)</f>
        <v>0.05</v>
      </c>
      <c r="R16" s="1145">
        <f ca="1">SUM(R6:R13)</f>
        <v>18753.7</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3"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7"/>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8">
        <v>1</v>
      </c>
      <c r="C20" s="2980" t="s">
        <v>2804</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8">
        <v>1</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09">
        <f>B19+B20</f>
        <v>1</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09">
        <f>B19+B21</f>
        <v>1</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0">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1"/>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190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 ca="1">成本法!C10</f>
        <v>159</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19">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7">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3194</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0.05</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79"/>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79"/>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79"/>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79"/>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79"/>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79">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79"/>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79"/>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79"/>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6"/>
      <c r="L134" s="26"/>
    </row>
    <row r="135" spans="1:12" s="1817" customFormat="1">
      <c r="A135" s="1879"/>
      <c r="D135" s="1880"/>
      <c r="K135" s="26"/>
      <c r="L135" s="26"/>
    </row>
    <row r="136" spans="1:12" s="1817" customFormat="1">
      <c r="A136" s="1879"/>
      <c r="D136" s="1880"/>
      <c r="K136" s="26"/>
      <c r="L136" s="26"/>
    </row>
    <row r="137" spans="1:12" s="1817" customFormat="1">
      <c r="A137" s="1879"/>
      <c r="D137" s="1880"/>
      <c r="K137" s="26"/>
      <c r="L137" s="26"/>
    </row>
    <row r="138" spans="1:12" s="1817" customFormat="1">
      <c r="A138" s="1879"/>
      <c r="D138" s="1880"/>
      <c r="K138" s="26"/>
      <c r="L138" s="26"/>
    </row>
    <row r="139" spans="1:12" s="1817" customFormat="1">
      <c r="A139" s="1879"/>
      <c r="D139" s="1880"/>
      <c r="K139" s="26"/>
      <c r="L139" s="26"/>
    </row>
    <row r="140" spans="1:12" s="1817" customFormat="1">
      <c r="A140" s="1879"/>
      <c r="D140" s="1880"/>
      <c r="K140" s="26"/>
      <c r="L140" s="26"/>
    </row>
    <row r="141" spans="1:12" s="1817" customFormat="1">
      <c r="A141" s="1879"/>
      <c r="D141" s="1880"/>
      <c r="K141" s="26"/>
      <c r="L141" s="26"/>
    </row>
    <row r="142" spans="1:12" s="1817" customFormat="1">
      <c r="A142" s="1879"/>
      <c r="D142" s="1880"/>
      <c r="K142" s="26"/>
      <c r="L142" s="26"/>
    </row>
    <row r="143" spans="1:12" s="1817" customFormat="1">
      <c r="A143" s="1879"/>
      <c r="D143" s="1880"/>
      <c r="K143" s="26"/>
      <c r="L143" s="26"/>
    </row>
    <row r="144" spans="1:12" s="1817" customFormat="1">
      <c r="A144" s="1879"/>
      <c r="D144" s="1880"/>
      <c r="K144" s="26"/>
      <c r="L144" s="26"/>
    </row>
    <row r="145" spans="1:12" s="1817" customFormat="1">
      <c r="A145" s="1879"/>
      <c r="D145" s="1880"/>
      <c r="K145" s="26"/>
      <c r="L145" s="26"/>
    </row>
    <row r="146" spans="1:12" s="1817" customFormat="1">
      <c r="A146" s="1879"/>
      <c r="D146" s="1880"/>
      <c r="K146" s="26"/>
      <c r="L146" s="26"/>
    </row>
    <row r="147" spans="1:12" s="1817" customFormat="1">
      <c r="A147" s="1879"/>
      <c r="D147" s="1880"/>
      <c r="K147" s="26"/>
      <c r="L147" s="26"/>
    </row>
    <row r="148" spans="1:12" s="1817" customFormat="1">
      <c r="A148" s="1879"/>
      <c r="D148" s="1880"/>
      <c r="K148" s="26"/>
      <c r="L148" s="26"/>
    </row>
    <row r="149" spans="1:12" s="1817" customFormat="1">
      <c r="A149" s="1879"/>
      <c r="D149" s="1880"/>
      <c r="K149" s="26"/>
      <c r="L149" s="26"/>
    </row>
    <row r="150" spans="1:12" s="1817" customFormat="1">
      <c r="A150" s="1879"/>
      <c r="D150" s="1880"/>
      <c r="K150" s="26"/>
      <c r="L150" s="26"/>
    </row>
    <row r="151" spans="1:12" s="1817" customFormat="1">
      <c r="A151" s="1879"/>
      <c r="D151" s="1880"/>
      <c r="K151" s="26"/>
      <c r="L151" s="26"/>
    </row>
    <row r="152" spans="1:12" s="1817" customFormat="1">
      <c r="A152" s="1879"/>
      <c r="D152" s="1880"/>
      <c r="K152" s="26"/>
      <c r="L152" s="26"/>
    </row>
    <row r="153" spans="1:12" s="1817" customFormat="1">
      <c r="A153" s="1879"/>
      <c r="D153" s="1880"/>
      <c r="K153" s="26"/>
      <c r="L153" s="26"/>
    </row>
    <row r="154" spans="1:12" s="1817" customFormat="1">
      <c r="A154" s="1879"/>
      <c r="D154" s="1880"/>
      <c r="K154" s="26"/>
      <c r="L154" s="26"/>
    </row>
    <row r="155" spans="1:12" s="1817" customFormat="1">
      <c r="A155" s="1879"/>
      <c r="D155" s="1880"/>
      <c r="K155" s="26"/>
      <c r="L155" s="26"/>
    </row>
    <row r="156" spans="1:12" s="1817" customFormat="1">
      <c r="A156" s="1879"/>
      <c r="D156" s="1880"/>
      <c r="K156" s="26"/>
      <c r="L156" s="26"/>
    </row>
    <row r="157" spans="1:12" s="1817" customFormat="1">
      <c r="A157" s="1879"/>
      <c r="D157" s="1880"/>
      <c r="K157" s="26"/>
      <c r="L157" s="26"/>
    </row>
    <row r="158" spans="1:12" s="1817" customFormat="1">
      <c r="A158" s="1879"/>
      <c r="D158" s="1880"/>
      <c r="K158" s="26"/>
      <c r="L158" s="26"/>
    </row>
    <row r="159" spans="1:12" s="1817" customFormat="1">
      <c r="A159" s="1879"/>
      <c r="D159" s="1880"/>
      <c r="K159" s="26"/>
      <c r="L159" s="26"/>
    </row>
    <row r="160" spans="1:12" s="1817" customFormat="1">
      <c r="A160" s="1879"/>
      <c r="D160" s="1880"/>
      <c r="K160" s="26"/>
      <c r="L160" s="26"/>
    </row>
    <row r="161" spans="1:12" s="1817" customFormat="1">
      <c r="A161" s="1879"/>
      <c r="D161" s="1880"/>
      <c r="K161" s="26"/>
      <c r="L161" s="26"/>
    </row>
    <row r="162" spans="1:12" s="1817" customFormat="1">
      <c r="A162" s="1879"/>
      <c r="D162" s="1880"/>
      <c r="K162" s="26"/>
      <c r="L162" s="26"/>
    </row>
    <row r="163" spans="1:12" s="1817" customFormat="1">
      <c r="A163" s="1879"/>
      <c r="D163" s="1880"/>
      <c r="K163" s="26"/>
      <c r="L163" s="26"/>
    </row>
    <row r="164" spans="1:12" s="1817" customFormat="1">
      <c r="A164" s="1879"/>
      <c r="D164" s="1880"/>
      <c r="K164" s="26"/>
      <c r="L164" s="26"/>
    </row>
    <row r="165" spans="1:12" s="1817" customFormat="1">
      <c r="A165" s="1879"/>
      <c r="D165" s="1880"/>
      <c r="K165" s="26"/>
      <c r="L165" s="26"/>
    </row>
    <row r="166" spans="1:12" s="1817" customFormat="1">
      <c r="A166" s="1879"/>
      <c r="D166" s="1880"/>
      <c r="K166" s="26"/>
      <c r="L166" s="26"/>
    </row>
    <row r="167" spans="1:12" s="1817" customFormat="1">
      <c r="A167" s="1879"/>
      <c r="D167" s="1880"/>
      <c r="K167" s="26"/>
      <c r="L167" s="26"/>
    </row>
    <row r="168" spans="1:12" s="1817" customFormat="1">
      <c r="A168" s="1879"/>
      <c r="D168" s="1880"/>
      <c r="K168" s="26"/>
      <c r="L168" s="26"/>
    </row>
    <row r="169" spans="1:12" s="1817" customFormat="1">
      <c r="A169" s="1879"/>
      <c r="D169" s="1880"/>
      <c r="K169" s="26"/>
      <c r="L169" s="26"/>
    </row>
    <row r="170" spans="1:12" s="1817" customFormat="1">
      <c r="A170" s="1879"/>
      <c r="D170" s="1880"/>
      <c r="K170" s="26"/>
      <c r="L170" s="26"/>
    </row>
    <row r="171" spans="1:12" s="1817" customFormat="1">
      <c r="A171" s="1879"/>
      <c r="D171" s="1880"/>
      <c r="K171" s="26"/>
      <c r="L171" s="26"/>
    </row>
    <row r="172" spans="1:12" s="1817" customFormat="1">
      <c r="A172" s="1879"/>
      <c r="D172" s="1880"/>
      <c r="K172" s="26"/>
      <c r="L172" s="26"/>
    </row>
    <row r="173" spans="1:12" s="1817" customFormat="1">
      <c r="A173" s="1879"/>
      <c r="D173" s="1880"/>
      <c r="K173" s="26"/>
      <c r="L173" s="26"/>
    </row>
    <row r="174" spans="1:12" s="1817" customFormat="1">
      <c r="A174" s="1879"/>
      <c r="D174" s="1880"/>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29" t="s">
        <v>2787</v>
      </c>
      <c r="B1" s="3330"/>
      <c r="C1" s="3330"/>
      <c r="D1" s="3330"/>
      <c r="E1" s="3330"/>
      <c r="F1" s="3330"/>
      <c r="G1" s="333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7"/>
      <c r="I2" s="887"/>
      <c r="J2" s="887"/>
      <c r="K2" s="887"/>
      <c r="L2" s="887"/>
      <c r="M2" s="887"/>
      <c r="N2" s="887"/>
      <c r="O2" s="887"/>
      <c r="P2" s="887"/>
      <c r="Q2" s="887"/>
      <c r="R2" s="887"/>
    </row>
    <row r="3" spans="1:29" ht="48">
      <c r="A3" s="2616" t="s">
        <v>2784</v>
      </c>
      <c r="B3" s="2638" t="s">
        <v>2753</v>
      </c>
      <c r="C3" s="2639" t="s">
        <v>2785</v>
      </c>
      <c r="D3" s="2640"/>
      <c r="E3" s="2617" t="s">
        <v>2784</v>
      </c>
      <c r="F3" s="2641" t="s">
        <v>2754</v>
      </c>
      <c r="G3" s="2642" t="s">
        <v>2786</v>
      </c>
      <c r="H3" s="887"/>
      <c r="I3" s="887"/>
      <c r="J3" s="887"/>
      <c r="K3" s="887"/>
      <c r="L3" s="887"/>
      <c r="M3" s="887"/>
      <c r="N3" s="887"/>
      <c r="O3" s="887"/>
      <c r="P3" s="887"/>
      <c r="Q3" s="887"/>
      <c r="R3" s="887"/>
    </row>
    <row r="4" spans="1:29" ht="36.75">
      <c r="A4" s="2617"/>
      <c r="B4" s="328" t="s">
        <v>2755</v>
      </c>
      <c r="C4" s="2643" t="s">
        <v>2756</v>
      </c>
      <c r="D4" s="2640"/>
      <c r="E4" s="2644"/>
      <c r="F4" s="1507" t="s">
        <v>2757</v>
      </c>
      <c r="G4" s="2645" t="s">
        <v>2758</v>
      </c>
      <c r="H4" s="887"/>
      <c r="I4" s="887"/>
      <c r="J4" s="887"/>
      <c r="K4" s="887"/>
      <c r="L4" s="887"/>
      <c r="M4" s="887"/>
      <c r="N4" s="887"/>
      <c r="O4" s="887"/>
      <c r="P4" s="887"/>
      <c r="Q4" s="887"/>
      <c r="R4" s="887"/>
    </row>
    <row r="5" spans="1:29" ht="36.75">
      <c r="A5" s="2617"/>
      <c r="B5" s="328" t="s">
        <v>2759</v>
      </c>
      <c r="C5" s="2643" t="s">
        <v>2760</v>
      </c>
      <c r="D5" s="2640"/>
      <c r="E5" s="2644"/>
      <c r="F5" s="328" t="s">
        <v>2761</v>
      </c>
      <c r="G5" s="2645" t="s">
        <v>2762</v>
      </c>
      <c r="H5" s="887"/>
      <c r="I5" s="887"/>
      <c r="J5" s="887"/>
      <c r="K5" s="887"/>
      <c r="L5" s="887"/>
      <c r="M5" s="887"/>
      <c r="N5" s="887"/>
      <c r="O5" s="887"/>
      <c r="P5" s="887"/>
      <c r="Q5" s="887"/>
      <c r="R5" s="887"/>
    </row>
    <row r="6" spans="1:29" ht="36">
      <c r="A6" s="2617"/>
      <c r="B6" s="328" t="s">
        <v>2763</v>
      </c>
      <c r="C6" s="2645" t="s">
        <v>2758</v>
      </c>
      <c r="D6" s="2640"/>
      <c r="E6" s="2644"/>
      <c r="F6" s="328" t="s">
        <v>2764</v>
      </c>
      <c r="G6" s="2645" t="s">
        <v>2765</v>
      </c>
      <c r="H6" s="887"/>
      <c r="I6" s="887"/>
      <c r="J6" s="887"/>
      <c r="K6" s="887"/>
      <c r="L6" s="887"/>
      <c r="M6" s="887"/>
      <c r="N6" s="887"/>
      <c r="O6" s="887"/>
      <c r="P6" s="887"/>
      <c r="Q6" s="887"/>
      <c r="R6" s="887"/>
    </row>
    <row r="7" spans="1:29" ht="24.75" thickBot="1">
      <c r="A7" s="2617"/>
      <c r="B7" s="328" t="s">
        <v>2761</v>
      </c>
      <c r="C7" s="2645" t="s">
        <v>2762</v>
      </c>
      <c r="D7" s="2646"/>
      <c r="E7" s="2647"/>
      <c r="F7" s="2648" t="s">
        <v>2766</v>
      </c>
      <c r="G7" s="2649" t="s">
        <v>2767</v>
      </c>
      <c r="H7" s="887"/>
      <c r="I7" s="887"/>
      <c r="J7" s="887"/>
      <c r="K7" s="887"/>
      <c r="L7" s="887"/>
      <c r="M7" s="887"/>
      <c r="N7" s="887"/>
      <c r="O7" s="887"/>
      <c r="P7" s="887"/>
      <c r="Q7" s="887"/>
      <c r="R7" s="887"/>
    </row>
    <row r="8" spans="1:29">
      <c r="A8" s="2617"/>
      <c r="B8" s="328" t="s">
        <v>2764</v>
      </c>
      <c r="C8" s="2645" t="s">
        <v>2765</v>
      </c>
      <c r="D8" s="2646"/>
      <c r="E8" s="2646"/>
      <c r="F8" s="2650"/>
      <c r="G8" s="2650"/>
      <c r="H8" s="887"/>
      <c r="I8" s="887"/>
      <c r="J8" s="887"/>
      <c r="K8" s="887"/>
      <c r="L8" s="887"/>
      <c r="M8" s="887"/>
      <c r="N8" s="887"/>
      <c r="O8" s="887"/>
      <c r="P8" s="887"/>
      <c r="Q8" s="887"/>
      <c r="R8" s="887"/>
    </row>
    <row r="9" spans="1:29" ht="24">
      <c r="A9" s="2617"/>
      <c r="B9" s="328" t="s">
        <v>2768</v>
      </c>
      <c r="C9" s="2643" t="s">
        <v>2769</v>
      </c>
      <c r="D9" s="2640"/>
      <c r="E9" s="2646"/>
      <c r="F9" s="2650"/>
      <c r="G9" s="2650"/>
      <c r="H9" s="887"/>
      <c r="I9" s="887"/>
      <c r="J9" s="887"/>
      <c r="K9" s="887"/>
      <c r="L9" s="887"/>
      <c r="M9" s="887"/>
      <c r="N9" s="887"/>
      <c r="O9" s="887"/>
      <c r="P9" s="887"/>
      <c r="Q9" s="887"/>
      <c r="R9" s="887"/>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8"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8" t="s">
        <v>2764</v>
      </c>
      <c r="G20" s="2678" t="str">
        <f>G6</f>
        <v>估价对象所在区域基础设施水平</v>
      </c>
    </row>
    <row r="21" spans="1:18" ht="25.5">
      <c r="A21" s="2621"/>
      <c r="B21" s="328" t="s">
        <v>2761</v>
      </c>
      <c r="C21" s="2678" t="str">
        <f>C7</f>
        <v>估价对象所在区域公共配套设施齐备情况</v>
      </c>
      <c r="D21" s="2640"/>
      <c r="E21" s="2622"/>
      <c r="F21" s="2677" t="s">
        <v>2779</v>
      </c>
      <c r="G21" s="2680"/>
    </row>
    <row r="22" spans="1:18" ht="13.5" customHeight="1">
      <c r="A22" s="2621"/>
      <c r="B22" s="328" t="s">
        <v>2764</v>
      </c>
      <c r="C22" s="2678" t="str">
        <f>C8</f>
        <v>估价对象所在区域基础设施水平</v>
      </c>
      <c r="D22" s="2640"/>
      <c r="E22" s="2622"/>
      <c r="F22" s="2677" t="s">
        <v>2770</v>
      </c>
      <c r="G22" s="2679"/>
    </row>
    <row r="23" spans="1:18" s="887" customFormat="1" ht="15" thickBot="1">
      <c r="A23" s="2621"/>
      <c r="B23" s="2677" t="s">
        <v>2779</v>
      </c>
      <c r="C23" s="2680"/>
      <c r="D23" s="1877"/>
      <c r="E23" s="2623"/>
      <c r="F23" s="2681" t="s">
        <v>2780</v>
      </c>
      <c r="G23" s="2682"/>
      <c r="H23" s="2666"/>
      <c r="I23" s="2667"/>
      <c r="J23" s="2666"/>
      <c r="K23" s="2666"/>
      <c r="L23" s="2667"/>
      <c r="M23" s="2666"/>
      <c r="N23" s="2666"/>
      <c r="O23" s="2667"/>
      <c r="P23" s="2666"/>
      <c r="Q23" s="2666"/>
      <c r="R23" s="2668"/>
    </row>
    <row r="24" spans="1:18" s="887" customFormat="1" ht="15" thickBot="1">
      <c r="A24" s="2624"/>
      <c r="B24" s="2681" t="s">
        <v>2781</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8363.3700000000008</v>
      </c>
      <c r="C1" s="2864"/>
      <c r="D1" s="2864"/>
      <c r="E1" s="2864"/>
      <c r="F1" s="2864"/>
      <c r="G1" s="2865"/>
      <c r="H1" s="2866"/>
      <c r="I1" s="2866"/>
      <c r="J1" s="2866"/>
      <c r="K1" s="2866"/>
    </row>
    <row r="2" spans="1:11" ht="16.5">
      <c r="A2" s="2687" t="s">
        <v>1078</v>
      </c>
      <c r="B2" s="2687">
        <f>SUM(C14:C23)</f>
        <v>18753.7</v>
      </c>
      <c r="C2" s="2864"/>
      <c r="D2" s="2864"/>
      <c r="E2" s="2864"/>
      <c r="F2" s="2864"/>
      <c r="G2" s="2865"/>
      <c r="H2" s="2866"/>
      <c r="I2" s="2866"/>
      <c r="J2" s="2866"/>
      <c r="K2" s="2866"/>
    </row>
    <row r="3" spans="1:11" ht="16.5">
      <c r="A3" s="2687" t="s">
        <v>1087</v>
      </c>
      <c r="B3" s="2689">
        <f>项目基本情况!D3</f>
        <v>44677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5309</v>
      </c>
      <c r="C5" s="2687">
        <f ca="1">ROUND(B5*10000/$B$1,0)</f>
        <v>6348</v>
      </c>
      <c r="D5" s="2687">
        <f ca="1">ROUND(B5*10000/$B$2,0)</f>
        <v>2831</v>
      </c>
      <c r="E5" s="2864"/>
      <c r="F5" s="2865"/>
      <c r="G5" s="2865"/>
      <c r="H5" s="2866"/>
      <c r="I5" s="2866"/>
      <c r="J5" s="2866"/>
      <c r="K5" s="2866"/>
    </row>
    <row r="6" spans="1:11" ht="16.5">
      <c r="A6" s="2687" t="s">
        <v>1081</v>
      </c>
      <c r="B6" s="2687">
        <f ca="1">SUM(G14:G23)</f>
        <v>5309</v>
      </c>
      <c r="C6" s="2687">
        <f ca="1">ROUND(B6*10000/$B$1,0)</f>
        <v>6348</v>
      </c>
      <c r="D6" s="2687">
        <f ca="1">ROUND(B6*10000/$B$2,0)</f>
        <v>2831</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8363.3700000000008</v>
      </c>
      <c r="C14" s="2693">
        <f>结果表!C118</f>
        <v>18753.7</v>
      </c>
      <c r="D14" s="2693">
        <f ca="1">结果表!H118</f>
        <v>5309</v>
      </c>
      <c r="E14" s="2693">
        <f ca="1">ROUND(D14*10000/B14,0)</f>
        <v>6348</v>
      </c>
      <c r="F14" s="2693">
        <f ca="1">ROUND(D14*10000/C14,0)</f>
        <v>2831</v>
      </c>
      <c r="G14" s="2693">
        <f ca="1">结果表!D122</f>
        <v>5309</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L28" sqref="L28"/>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01" t="str">
        <f>项目基本情况!S2</f>
        <v>北京市房地产</v>
      </c>
      <c r="B2" s="3402"/>
      <c r="C2" s="3402"/>
      <c r="D2" s="3402"/>
      <c r="E2" s="3402"/>
      <c r="F2" s="3402"/>
      <c r="G2" s="3402"/>
      <c r="H2" s="3402"/>
      <c r="I2" s="3403"/>
    </row>
    <row r="3" spans="1:12" ht="12.75">
      <c r="A3" s="3405" t="s">
        <v>1709</v>
      </c>
      <c r="B3" s="3406"/>
      <c r="C3" s="3406"/>
      <c r="D3" s="3406"/>
      <c r="E3" s="3406"/>
      <c r="F3" s="3406"/>
      <c r="G3" s="3406"/>
      <c r="H3" s="3406"/>
      <c r="I3" s="3406"/>
    </row>
    <row r="4" spans="1:12" ht="14.25">
      <c r="A4" s="1890" t="s">
        <v>1710</v>
      </c>
      <c r="B4" s="1891" t="s">
        <v>1711</v>
      </c>
      <c r="C4" s="1892" t="s">
        <v>3199</v>
      </c>
      <c r="D4" s="1892" t="s">
        <v>3193</v>
      </c>
      <c r="E4" s="3410" t="s">
        <v>1712</v>
      </c>
      <c r="F4" s="3411"/>
      <c r="G4" s="3411"/>
      <c r="H4" s="3411"/>
      <c r="I4" s="341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46" t="s">
        <v>1713</v>
      </c>
      <c r="B5" s="3404">
        <v>25</v>
      </c>
      <c r="C5" s="3407"/>
      <c r="D5" s="3395"/>
      <c r="E5" s="135" t="s">
        <v>1714</v>
      </c>
      <c r="F5" s="1893"/>
      <c r="G5" s="1893"/>
      <c r="H5" s="1893"/>
      <c r="I5" s="1507"/>
    </row>
    <row r="6" spans="1:12" ht="12.75">
      <c r="A6" s="3346"/>
      <c r="B6" s="3404"/>
      <c r="C6" s="3409"/>
      <c r="D6" s="3395"/>
      <c r="E6" s="135" t="s">
        <v>1715</v>
      </c>
      <c r="F6" s="1893"/>
      <c r="G6" s="1893"/>
      <c r="H6" s="1893"/>
      <c r="I6" s="1507"/>
    </row>
    <row r="7" spans="1:12" ht="12.75">
      <c r="A7" s="3346"/>
      <c r="B7" s="3404"/>
      <c r="C7" s="3408"/>
      <c r="D7" s="3395"/>
      <c r="E7" s="135" t="s">
        <v>1716</v>
      </c>
      <c r="F7" s="1893"/>
      <c r="G7" s="1893"/>
      <c r="H7" s="1893"/>
      <c r="I7" s="1507"/>
    </row>
    <row r="8" spans="1:12" ht="12.75">
      <c r="A8" s="3346" t="s">
        <v>1717</v>
      </c>
      <c r="B8" s="3404">
        <v>15</v>
      </c>
      <c r="C8" s="3407"/>
      <c r="D8" s="3395"/>
      <c r="E8" s="135" t="s">
        <v>1718</v>
      </c>
      <c r="F8" s="1893"/>
      <c r="G8" s="1893"/>
      <c r="H8" s="1893"/>
      <c r="I8" s="1507"/>
    </row>
    <row r="9" spans="1:12" ht="12.75">
      <c r="A9" s="3346"/>
      <c r="B9" s="3404"/>
      <c r="C9" s="3408"/>
      <c r="D9" s="3395"/>
      <c r="E9" s="135" t="s">
        <v>1719</v>
      </c>
      <c r="F9" s="1893"/>
      <c r="G9" s="1893"/>
      <c r="H9" s="1893"/>
      <c r="I9" s="1507"/>
    </row>
    <row r="10" spans="1:12" ht="12.75">
      <c r="A10" s="3346" t="s">
        <v>1720</v>
      </c>
      <c r="B10" s="3404">
        <v>15</v>
      </c>
      <c r="C10" s="3407"/>
      <c r="D10" s="3395"/>
      <c r="E10" s="135" t="s">
        <v>1721</v>
      </c>
      <c r="F10" s="1893"/>
      <c r="G10" s="1893"/>
      <c r="H10" s="1893"/>
      <c r="I10" s="1507"/>
    </row>
    <row r="11" spans="1:12" ht="12.75">
      <c r="A11" s="3346"/>
      <c r="B11" s="3404"/>
      <c r="C11" s="3408"/>
      <c r="D11" s="3395"/>
      <c r="E11" s="135" t="s">
        <v>1722</v>
      </c>
      <c r="F11" s="1893"/>
      <c r="G11" s="1893"/>
      <c r="H11" s="1893"/>
      <c r="I11" s="1507"/>
    </row>
    <row r="12" spans="1:12" ht="12.75">
      <c r="A12" s="3346" t="s">
        <v>1723</v>
      </c>
      <c r="B12" s="3404">
        <v>15</v>
      </c>
      <c r="C12" s="3407"/>
      <c r="D12" s="3395"/>
      <c r="E12" s="135" t="s">
        <v>1724</v>
      </c>
      <c r="F12" s="1893"/>
      <c r="G12" s="1893"/>
      <c r="H12" s="1893"/>
      <c r="I12" s="1507"/>
    </row>
    <row r="13" spans="1:12" ht="12.75">
      <c r="A13" s="3346"/>
      <c r="B13" s="3404"/>
      <c r="C13" s="3408"/>
      <c r="D13" s="3395"/>
      <c r="E13" s="135" t="s">
        <v>1725</v>
      </c>
      <c r="F13" s="1893"/>
      <c r="G13" s="1893"/>
      <c r="H13" s="1893"/>
      <c r="I13" s="1507"/>
    </row>
    <row r="14" spans="1:12" ht="12.75">
      <c r="A14" s="3346" t="s">
        <v>1726</v>
      </c>
      <c r="B14" s="3404">
        <v>30</v>
      </c>
      <c r="C14" s="3407">
        <v>3</v>
      </c>
      <c r="D14" s="3395">
        <v>7</v>
      </c>
      <c r="E14" s="135" t="s">
        <v>1727</v>
      </c>
      <c r="F14" s="1893"/>
      <c r="G14" s="1893"/>
      <c r="H14" s="1893"/>
      <c r="I14" s="1507"/>
    </row>
    <row r="15" spans="1:12" ht="12.75">
      <c r="A15" s="3346"/>
      <c r="B15" s="3404"/>
      <c r="C15" s="3409"/>
      <c r="D15" s="3395"/>
      <c r="E15" s="135" t="s">
        <v>1728</v>
      </c>
      <c r="F15" s="1893"/>
      <c r="G15" s="1893"/>
      <c r="H15" s="1893"/>
      <c r="I15" s="1507"/>
    </row>
    <row r="16" spans="1:12" ht="12.75">
      <c r="A16" s="3346"/>
      <c r="B16" s="3404"/>
      <c r="C16" s="3408"/>
      <c r="D16" s="3395"/>
      <c r="E16" s="135" t="s">
        <v>1729</v>
      </c>
      <c r="F16" s="1893"/>
      <c r="G16" s="1893"/>
      <c r="H16" s="1893"/>
      <c r="I16" s="1507"/>
    </row>
    <row r="17" spans="1:36" ht="15">
      <c r="A17" s="1894" t="s">
        <v>1730</v>
      </c>
      <c r="B17" s="59"/>
      <c r="C17" s="136">
        <f>SUM(C5:C16)</f>
        <v>3</v>
      </c>
      <c r="D17" s="136">
        <f>SUM(D5:D16)</f>
        <v>7</v>
      </c>
      <c r="E17" s="133"/>
      <c r="F17" s="133"/>
      <c r="G17" s="133"/>
      <c r="H17" s="133"/>
      <c r="I17" s="133"/>
      <c r="K17" s="307"/>
      <c r="L17" s="307" t="s">
        <v>1731</v>
      </c>
      <c r="M17" s="307" t="s">
        <v>1732</v>
      </c>
    </row>
    <row r="18" spans="1:36" ht="31.9" customHeight="1" thickBot="1">
      <c r="A18" s="1895" t="s">
        <v>1733</v>
      </c>
      <c r="B18" s="1896"/>
      <c r="C18" s="137">
        <f>ROUND(C17/SUM(C17:D17),2)</f>
        <v>0.3</v>
      </c>
      <c r="D18" s="137">
        <f>1-C18</f>
        <v>0.7</v>
      </c>
      <c r="E18" s="3426" t="s">
        <v>2632</v>
      </c>
      <c r="F18" s="3427"/>
      <c r="G18" s="3427"/>
      <c r="H18" s="3427"/>
      <c r="I18" s="3427"/>
      <c r="K18" s="307" t="s">
        <v>1734</v>
      </c>
      <c r="L18" s="307">
        <f>IF(C1="",'数据-汇总表'!E3,SUMIF(项目类型,C1,'数据-汇总表'!E17:E26)+SUMIF(项目类型,C1,'数据-汇总表'!I17:I26))</f>
        <v>8363.3700000000008</v>
      </c>
      <c r="M18" s="307">
        <f>IF(C1="",'数据-汇总表'!E3,SUMIF(项目类型,C1,'数据-汇总表'!E17:E26))</f>
        <v>8363.3700000000008</v>
      </c>
    </row>
    <row r="19" spans="1:36" ht="15">
      <c r="A19" s="1897" t="s">
        <v>1735</v>
      </c>
      <c r="B19" s="1898" t="s">
        <v>1736</v>
      </c>
      <c r="C19" s="138">
        <f ca="1">SUMIF(INDIRECT("'"&amp;C4&amp;"'"&amp;"!A:A"),结果表!B19,INDIRECT("'"&amp;C4&amp;"'"&amp;"!B:B"))</f>
        <v>3901</v>
      </c>
      <c r="D19" s="139">
        <f ca="1">SUMIF(INDIRECT("'"&amp;D4&amp;"'"&amp;"!A:A"),结果表!B19,INDIRECT("'"&amp;D4&amp;"'"&amp;"!B:B"))</f>
        <v>5913</v>
      </c>
      <c r="E19" s="1897" t="s">
        <v>1737</v>
      </c>
      <c r="F19" s="1898" t="s">
        <v>1736</v>
      </c>
      <c r="G19" s="140">
        <f ca="1">ROUND(C19*$C$18+D19*$D$18,0)</f>
        <v>5309</v>
      </c>
      <c r="H19" s="1899" t="s">
        <v>1738</v>
      </c>
      <c r="I19" s="133"/>
      <c r="K19" s="307" t="s">
        <v>1739</v>
      </c>
      <c r="L19" s="307">
        <f>IF(C1="",'数据-汇总表'!D3,SUMIF(项目类型,C1,'数据-汇总表'!D17:D26)+SUMIF(项目类型,C1,'数据-汇总表'!H17:H27))</f>
        <v>18753.7</v>
      </c>
      <c r="M19" s="307">
        <f>IF(C1="",'数据-汇总表'!D3,SUMIF(项目类型,C1,'数据-汇总表'!D17:D26))</f>
        <v>18753.7</v>
      </c>
    </row>
    <row r="20" spans="1:36" ht="15">
      <c r="A20" s="1900"/>
      <c r="B20" s="1137" t="s">
        <v>1740</v>
      </c>
      <c r="C20" s="141">
        <f ca="1">SUMIF(INDIRECT("'"&amp;C4&amp;"'"&amp;"!A:A"),结果表!B20,INDIRECT("'"&amp;C4&amp;"'"&amp;"!B:B"))</f>
        <v>4664</v>
      </c>
      <c r="D20" s="142">
        <f ca="1">SUMIF(INDIRECT("'"&amp;D4&amp;"'"&amp;"!A:A"),结果表!B20,INDIRECT("'"&amp;D4&amp;"'"&amp;"!B:B"))</f>
        <v>7070</v>
      </c>
      <c r="E20" s="1900"/>
      <c r="F20" s="1137" t="s">
        <v>1740</v>
      </c>
      <c r="G20" s="143">
        <f ca="1">ROUND(C20*$C$18+D20*$D$18,0)</f>
        <v>6348</v>
      </c>
      <c r="H20" s="897" t="s">
        <v>1741</v>
      </c>
      <c r="I20" s="133"/>
    </row>
    <row r="21" spans="1:36" ht="15" customHeight="1" thickBot="1">
      <c r="A21" s="917"/>
      <c r="B21" s="1901" t="s">
        <v>1742</v>
      </c>
      <c r="C21" s="727">
        <f ca="1">ROUND(C19*10000/L19,0)</f>
        <v>2080</v>
      </c>
      <c r="D21" s="728">
        <f ca="1">ROUND(D19*10000/L19,0)</f>
        <v>3153</v>
      </c>
      <c r="E21" s="917"/>
      <c r="F21" s="1901" t="s">
        <v>1742</v>
      </c>
      <c r="G21" s="144">
        <f ca="1">ROUND(G19*10000/L19,0)</f>
        <v>2831</v>
      </c>
      <c r="H21" s="1902" t="s">
        <v>1741</v>
      </c>
      <c r="I21" s="133"/>
    </row>
    <row r="22" spans="1:36" ht="15" thickBot="1">
      <c r="A22" s="1824" t="s">
        <v>1743</v>
      </c>
      <c r="B22" s="1903"/>
      <c r="C22" s="1904"/>
      <c r="D22" s="729">
        <f ca="1">IF(C19&lt;D19,D19/C19-1,C19/D19-1)</f>
        <v>0.51576518841322727</v>
      </c>
      <c r="E22" s="133"/>
      <c r="F22" s="133"/>
      <c r="G22" s="133"/>
      <c r="H22" s="133"/>
      <c r="I22" s="133"/>
    </row>
    <row r="23" spans="1:36" ht="13.5" thickBot="1">
      <c r="A23" s="1883"/>
      <c r="B23" s="1883"/>
      <c r="C23" s="1883"/>
      <c r="D23" s="1883"/>
      <c r="E23" s="133"/>
      <c r="F23" s="133"/>
      <c r="G23" s="133"/>
      <c r="H23" s="133"/>
      <c r="I23" s="133"/>
    </row>
    <row r="24" spans="1:36" ht="14.25">
      <c r="A24" s="3419" t="s">
        <v>1744</v>
      </c>
      <c r="B24" s="1898" t="s">
        <v>1736</v>
      </c>
      <c r="C24" s="140">
        <f>IF(B30=0,0,D30)</f>
        <v>0</v>
      </c>
      <c r="D24" s="1905"/>
      <c r="E24" s="133"/>
      <c r="F24" s="133"/>
      <c r="G24" s="133"/>
      <c r="H24" s="133"/>
      <c r="I24" s="133"/>
    </row>
    <row r="25" spans="1:36" ht="14.25">
      <c r="A25" s="3420"/>
      <c r="B25" s="1137" t="s">
        <v>1740</v>
      </c>
      <c r="C25" s="145">
        <f>IF(B30=0,0,C30)</f>
        <v>0</v>
      </c>
      <c r="D25" s="1906"/>
      <c r="E25" s="133"/>
      <c r="F25" s="133"/>
      <c r="G25" s="133"/>
      <c r="H25" s="133"/>
      <c r="I25" s="133"/>
    </row>
    <row r="26" spans="1:36" ht="13.5" customHeight="1">
      <c r="A26" s="1907" t="s">
        <v>1745</v>
      </c>
      <c r="B26" s="146" t="s">
        <v>1746</v>
      </c>
      <c r="C26" s="146" t="s">
        <v>1747</v>
      </c>
      <c r="D26" s="147" t="s">
        <v>1748</v>
      </c>
      <c r="E26" s="133"/>
      <c r="F26" s="133"/>
      <c r="G26" s="133"/>
      <c r="H26" s="133"/>
      <c r="I26" s="133"/>
    </row>
    <row r="27" spans="1:36" ht="14.25">
      <c r="A27" s="1907"/>
      <c r="B27" s="146">
        <v>0</v>
      </c>
      <c r="C27" s="146">
        <v>0</v>
      </c>
      <c r="D27" s="147">
        <f>ROUND(C27*B27/10000,0)</f>
        <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2633</v>
      </c>
      <c r="F30" s="133"/>
      <c r="G30" s="133"/>
      <c r="H30" s="133"/>
      <c r="I30" s="133"/>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5309</v>
      </c>
      <c r="D32" s="1911" t="s">
        <v>3204</v>
      </c>
      <c r="E32" s="133"/>
      <c r="F32" s="133"/>
      <c r="G32" s="133"/>
      <c r="H32" s="133"/>
      <c r="I32" s="133"/>
    </row>
    <row r="33" spans="1:15" ht="15">
      <c r="A33" s="874" t="s">
        <v>1751</v>
      </c>
      <c r="B33" s="1912"/>
      <c r="C33" s="1913" t="s">
        <v>3203</v>
      </c>
      <c r="D33" s="1914" t="s">
        <v>3199</v>
      </c>
      <c r="E33" s="1915" t="s">
        <v>1752</v>
      </c>
      <c r="F33" s="1916" t="str">
        <f>IF(D32="楼面单价","取值（单价）","取值（总价）")</f>
        <v>取值（总价）</v>
      </c>
      <c r="G33" s="133"/>
      <c r="H33" s="133"/>
      <c r="I33" s="133"/>
    </row>
    <row r="34" spans="1:15" ht="15">
      <c r="A34" s="1917"/>
      <c r="B34" s="1918" t="s">
        <v>1753</v>
      </c>
      <c r="C34" s="152">
        <f ca="1">IF(C33="自定义",F34,C32-C35)</f>
        <v>2554</v>
      </c>
      <c r="D34" s="950">
        <f ca="1">IF(C33="自定义",ROUND(C34/C32,3),IF(C33="收益比率",SUMIF(INDIRECT("'"&amp;D33&amp;"'"&amp;"!b:b"),"土地收益比率",INDIRECT("'"&amp;D33&amp;"'"&amp;"!c:c")),SUMIF(INDIRECT("'"&amp;D33&amp;"'"&amp;"!b:b"),"土地成本比率",INDIRECT("'"&amp;D33&amp;"'"&amp;"!c:c"))))</f>
        <v>0.48099999999999998</v>
      </c>
      <c r="E34" s="1919" t="s">
        <v>1754</v>
      </c>
      <c r="F34" s="1450"/>
      <c r="G34" s="133"/>
      <c r="H34" s="133"/>
      <c r="I34" s="133"/>
    </row>
    <row r="35" spans="1:15" ht="15.75" thickBot="1">
      <c r="A35" s="1920"/>
      <c r="B35" s="1921" t="s">
        <v>1755</v>
      </c>
      <c r="C35" s="1284">
        <f ca="1">IF(C33="自定义",F35,ROUND(C32*D35,0))</f>
        <v>2755</v>
      </c>
      <c r="D35" s="1285">
        <f ca="1">IF(C33="自定义",ROUND(C35/C32,3),IF(C33="收益比率",SUMIF(INDIRECT("'"&amp;D33&amp;"'"&amp;"!b:b"),"建筑物收益比率",INDIRECT("'"&amp;D33&amp;"'"&amp;"!c:c")),SUMIF(INDIRECT("'"&amp;D33&amp;"'"&amp;"!b:b"),"建筑物成本比率",INDIRECT("'"&amp;D33&amp;"'"&amp;"!c:c"))))</f>
        <v>0.51900000000000002</v>
      </c>
      <c r="E35" s="1922" t="s">
        <v>1756</v>
      </c>
      <c r="F35" s="158"/>
      <c r="G35" s="133"/>
      <c r="H35" s="133"/>
      <c r="I35" s="133"/>
    </row>
    <row r="36" spans="1:15" ht="15.75" thickBot="1">
      <c r="A36" s="3396" t="s">
        <v>1757</v>
      </c>
      <c r="B36" s="1923" t="s">
        <v>1758</v>
      </c>
      <c r="C36" s="149"/>
      <c r="D36" s="1924"/>
      <c r="E36" s="1925"/>
      <c r="F36" s="1926"/>
      <c r="G36" s="133"/>
      <c r="H36" s="133"/>
      <c r="I36" s="133"/>
    </row>
    <row r="37" spans="1:15" ht="15.75" thickBot="1">
      <c r="A37" s="3397"/>
      <c r="B37" s="1810" t="s">
        <v>1759</v>
      </c>
      <c r="C37" s="151"/>
      <c r="D37" s="1253"/>
      <c r="E37" s="1253"/>
      <c r="F37" s="1926"/>
      <c r="G37" s="133"/>
      <c r="H37" s="133"/>
      <c r="I37" s="133"/>
    </row>
    <row r="38" spans="1:15" ht="15.75" thickBot="1">
      <c r="A38" s="3398"/>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16" t="s">
        <v>1771</v>
      </c>
      <c r="B45" s="3417"/>
      <c r="C45" s="3418"/>
      <c r="D45" s="159">
        <f ca="1">ROUND(H101*F45,0)</f>
        <v>5309</v>
      </c>
      <c r="E45" s="160" t="s">
        <v>1772</v>
      </c>
      <c r="F45" s="161">
        <v>1</v>
      </c>
      <c r="G45" s="162" t="s">
        <v>1773</v>
      </c>
      <c r="H45" s="133"/>
      <c r="I45" s="133"/>
      <c r="J45" s="3333" t="s">
        <v>1774</v>
      </c>
      <c r="K45" s="3333"/>
      <c r="L45" s="3333"/>
      <c r="M45" s="3333"/>
      <c r="N45" s="3333"/>
      <c r="O45" s="3333"/>
    </row>
    <row r="46" spans="1:15" ht="14.25" customHeight="1">
      <c r="A46" s="3413" t="s">
        <v>1775</v>
      </c>
      <c r="B46" s="3414"/>
      <c r="C46" s="3414"/>
      <c r="D46" s="3414"/>
      <c r="E46" s="3414"/>
      <c r="F46" s="3414"/>
      <c r="G46" s="3415"/>
      <c r="H46" s="1942"/>
      <c r="I46" s="163"/>
      <c r="J46" s="2698">
        <v>1</v>
      </c>
      <c r="K46" s="3334" t="s">
        <v>1776</v>
      </c>
      <c r="L46" s="3334"/>
      <c r="M46" s="3335"/>
      <c r="N46" s="3335"/>
      <c r="O46" s="3335"/>
    </row>
    <row r="47" spans="1:15" ht="12" customHeight="1">
      <c r="A47" s="164" t="s">
        <v>1777</v>
      </c>
      <c r="B47" s="165"/>
      <c r="C47" s="166"/>
      <c r="D47" s="1199" t="s">
        <v>1778</v>
      </c>
      <c r="E47" s="307" t="s">
        <v>1779</v>
      </c>
      <c r="F47" s="167" t="s">
        <v>1780</v>
      </c>
      <c r="G47" s="2721" t="s">
        <v>1781</v>
      </c>
      <c r="H47" s="2722"/>
      <c r="I47" s="163"/>
      <c r="J47" s="2698">
        <v>2</v>
      </c>
      <c r="K47" s="3334" t="s">
        <v>1782</v>
      </c>
      <c r="L47" s="3334"/>
      <c r="M47" s="3336">
        <f>'数据-取费表'!B2</f>
        <v>44677</v>
      </c>
      <c r="N47" s="3336"/>
      <c r="O47" s="3336"/>
    </row>
    <row r="48" spans="1:15" ht="25.5">
      <c r="A48" s="3399" t="s">
        <v>1783</v>
      </c>
      <c r="B48" s="3400"/>
      <c r="C48" s="3400"/>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334" t="s">
        <v>1785</v>
      </c>
      <c r="L48" s="3334"/>
      <c r="M48" s="3337">
        <f ca="1">H101</f>
        <v>5309</v>
      </c>
      <c r="N48" s="3337"/>
      <c r="O48" s="3337"/>
    </row>
    <row r="49" spans="1:35" ht="25.5" customHeight="1">
      <c r="A49" s="2506" t="s">
        <v>1786</v>
      </c>
      <c r="B49" s="3382" t="s">
        <v>1787</v>
      </c>
      <c r="C49" s="3382"/>
      <c r="D49" s="1725">
        <v>0</v>
      </c>
      <c r="E49" s="329" t="s">
        <v>1788</v>
      </c>
      <c r="F49" s="2599" t="s">
        <v>34</v>
      </c>
      <c r="G49" s="3365"/>
      <c r="H49" s="2478" t="s">
        <v>2635</v>
      </c>
      <c r="I49" s="2479"/>
      <c r="J49" s="2698">
        <v>4</v>
      </c>
      <c r="K49" s="3334" t="str">
        <f>IF(项目基本情况!E8="房地产抵押价值","房地产抵押价值","抵押担保权已注销时的房地产抵押价值")</f>
        <v>房地产抵押价值</v>
      </c>
      <c r="L49" s="3334"/>
      <c r="M49" s="3337">
        <f ca="1">IF(项目基本情况!E8="房地产抵押价值",H107,H109)</f>
        <v>5309</v>
      </c>
      <c r="N49" s="3337"/>
      <c r="O49" s="3337"/>
    </row>
    <row r="50" spans="1:35" ht="25.5" customHeight="1">
      <c r="A50" s="2726"/>
      <c r="B50" s="3382" t="s">
        <v>1789</v>
      </c>
      <c r="C50" s="3382"/>
      <c r="D50" s="2727"/>
      <c r="E50" s="337"/>
      <c r="F50" s="2599"/>
      <c r="G50" s="3366"/>
      <c r="H50" s="2480" t="s">
        <v>2636</v>
      </c>
      <c r="I50" s="2479"/>
      <c r="J50" s="3333" t="s">
        <v>1790</v>
      </c>
      <c r="K50" s="3333"/>
      <c r="L50" s="3333"/>
      <c r="M50" s="3333"/>
      <c r="N50" s="3333"/>
      <c r="O50" s="3333"/>
    </row>
    <row r="51" spans="1:35" ht="20.45" customHeight="1">
      <c r="A51" s="2728"/>
      <c r="B51" s="3382" t="s">
        <v>1791</v>
      </c>
      <c r="C51" s="3382"/>
      <c r="D51" s="1199"/>
      <c r="E51" s="332"/>
      <c r="F51" s="2599"/>
      <c r="G51" s="3367"/>
      <c r="H51" s="2480" t="s">
        <v>2637</v>
      </c>
      <c r="I51" s="2479"/>
      <c r="J51" s="2699" t="s">
        <v>1792</v>
      </c>
      <c r="K51" s="3334" t="s">
        <v>1793</v>
      </c>
      <c r="L51" s="3334"/>
      <c r="M51" s="2699" t="s">
        <v>1794</v>
      </c>
      <c r="N51" s="2699" t="s">
        <v>1795</v>
      </c>
      <c r="O51" s="2699" t="s">
        <v>1796</v>
      </c>
    </row>
    <row r="52" spans="1:35" ht="24" customHeight="1">
      <c r="A52" s="2508" t="s">
        <v>1797</v>
      </c>
      <c r="B52" s="3382" t="s">
        <v>1798</v>
      </c>
      <c r="C52" s="3382"/>
      <c r="D52" s="1199">
        <f ca="1">ROUND(D45*'数据-取费表'!B41/(1+'数据-取费表'!C42),0)</f>
        <v>278</v>
      </c>
      <c r="E52" s="2507" t="s">
        <v>1799</v>
      </c>
      <c r="F52" s="2729">
        <f>'数据-取费表'!B41</f>
        <v>5.5000000000000007E-2</v>
      </c>
      <c r="G52" s="2730"/>
      <c r="H52" s="2719"/>
      <c r="I52" s="1943"/>
      <c r="J52" s="2698">
        <v>1</v>
      </c>
      <c r="K52" s="3359" t="s">
        <v>1800</v>
      </c>
      <c r="L52" s="3359"/>
      <c r="M52" s="2700" t="b">
        <f>D48</f>
        <v>0</v>
      </c>
      <c r="N52" s="2698" t="str">
        <f>E48</f>
        <v>销售额×税（费）率</v>
      </c>
      <c r="O52" s="2701">
        <f>F48</f>
        <v>5.5000000000000007E-2</v>
      </c>
    </row>
    <row r="53" spans="1:35" ht="12" customHeight="1">
      <c r="A53" s="2508" t="s">
        <v>1801</v>
      </c>
      <c r="B53" s="3383" t="s">
        <v>2792</v>
      </c>
      <c r="C53" s="3384"/>
      <c r="D53" s="1199">
        <f ca="1">ROUND(D45*'数据-取费表'!B41/(1+'数据-取费表'!C42),0)</f>
        <v>278</v>
      </c>
      <c r="E53" s="2507" t="s">
        <v>1799</v>
      </c>
      <c r="F53" s="2729">
        <f>'数据-取费表'!B41</f>
        <v>5.5000000000000007E-2</v>
      </c>
      <c r="G53" s="2730"/>
      <c r="H53" s="2719"/>
      <c r="I53" s="1943"/>
      <c r="J53" s="2698">
        <v>2</v>
      </c>
      <c r="K53" s="3359" t="s">
        <v>1802</v>
      </c>
      <c r="L53" s="3359"/>
      <c r="M53" s="2700">
        <f t="shared" ref="M53:O54" ca="1" si="0">D55</f>
        <v>3</v>
      </c>
      <c r="N53" s="2698" t="str">
        <f t="shared" si="0"/>
        <v>销售额×税（费）率</v>
      </c>
      <c r="O53" s="2701" t="str">
        <f t="shared" si="0"/>
        <v>免征</v>
      </c>
    </row>
    <row r="54" spans="1:35" ht="12" customHeight="1">
      <c r="A54" s="2508" t="s">
        <v>1803</v>
      </c>
      <c r="B54" s="3383" t="s">
        <v>2793</v>
      </c>
      <c r="C54" s="3384"/>
      <c r="D54" s="1199">
        <f ca="1">C68</f>
        <v>278</v>
      </c>
      <c r="E54" s="332" t="s">
        <v>1804</v>
      </c>
      <c r="F54" s="2729">
        <f>'数据-取费表'!B41</f>
        <v>5.5000000000000007E-2</v>
      </c>
      <c r="G54" s="2730"/>
      <c r="H54" s="2731"/>
      <c r="I54" s="1943"/>
      <c r="J54" s="2698">
        <v>3</v>
      </c>
      <c r="K54" s="3359" t="s">
        <v>1805</v>
      </c>
      <c r="L54" s="3359"/>
      <c r="M54" s="2700">
        <f t="shared" ca="1" si="0"/>
        <v>3010</v>
      </c>
      <c r="N54" s="2698" t="str">
        <f t="shared" si="0"/>
        <v>增值额×税（费）率</v>
      </c>
      <c r="O54" s="2702" t="str">
        <f t="shared" si="0"/>
        <v>免征</v>
      </c>
    </row>
    <row r="55" spans="1:35" ht="24" customHeight="1">
      <c r="A55" s="3422" t="s">
        <v>1806</v>
      </c>
      <c r="B55" s="3400"/>
      <c r="C55" s="3400"/>
      <c r="D55" s="2497">
        <f ca="1">IF(H55="个人住宅",0,ROUND(D45*I55,0))</f>
        <v>3</v>
      </c>
      <c r="E55" s="2507" t="s">
        <v>1807</v>
      </c>
      <c r="F55" s="2729" t="str">
        <f>IF(H55="正常",I55,"免征")</f>
        <v>免征</v>
      </c>
      <c r="G55" s="2730"/>
      <c r="H55" s="2725"/>
      <c r="I55" s="169">
        <f>'数据-取费表'!B49</f>
        <v>5.0000000000000001E-4</v>
      </c>
      <c r="J55" s="2698">
        <f>IF(H59="非个人房产","",4)</f>
        <v>4</v>
      </c>
      <c r="K55" s="3359" t="str">
        <f>IF(H59="非个人房产","——","个人所得税")</f>
        <v>个人所得税</v>
      </c>
      <c r="L55" s="3359"/>
      <c r="M55" s="2703">
        <f ca="1">D59</f>
        <v>51</v>
      </c>
      <c r="N55" s="2178" t="str">
        <f>E59</f>
        <v>差额计税</v>
      </c>
      <c r="O55" s="2704">
        <f>F59</f>
        <v>0.01</v>
      </c>
    </row>
    <row r="56" spans="1:35" ht="24.75">
      <c r="A56" s="3422" t="s">
        <v>1808</v>
      </c>
      <c r="B56" s="3400"/>
      <c r="C56" s="3400"/>
      <c r="D56" s="2497">
        <f ca="1">IF(H56="个人住宅",D57,D58)</f>
        <v>3010</v>
      </c>
      <c r="E56" s="2507" t="s">
        <v>1809</v>
      </c>
      <c r="F56" s="2729" t="str">
        <f>IF(H56="正常",F58,"免征")</f>
        <v>免征</v>
      </c>
      <c r="G56" s="2732" t="s">
        <v>1810</v>
      </c>
      <c r="H56" s="2733"/>
      <c r="I56" s="1944"/>
      <c r="J56" s="2698" t="str">
        <f>IF(项目基本情况!K6="上海银行",IF(J55="",4,J55+1),"")</f>
        <v/>
      </c>
      <c r="K56" s="3340" t="str">
        <f>IF(项目基本情况!K6="上海银行","其他处置费用","")</f>
        <v/>
      </c>
      <c r="L56" s="3341"/>
      <c r="M56" s="2700" t="str">
        <f>IF(项目基本情况!K6="上海银行",M69,"")</f>
        <v/>
      </c>
      <c r="N56" s="3340" t="str">
        <f>IF(项目基本情况!K6="上海银行","包含处置中涉及的律师、诉讼、拍卖、评估等费用","")</f>
        <v/>
      </c>
      <c r="O56" s="3343"/>
    </row>
    <row r="57" spans="1:35" ht="12.75">
      <c r="A57" s="2508" t="s">
        <v>1786</v>
      </c>
      <c r="B57" s="3383" t="s">
        <v>1811</v>
      </c>
      <c r="C57" s="3384"/>
      <c r="D57" s="1725">
        <v>0</v>
      </c>
      <c r="E57" s="329" t="s">
        <v>1788</v>
      </c>
      <c r="F57" s="307"/>
      <c r="G57" s="2730"/>
      <c r="H57" s="2734"/>
      <c r="I57" s="1944"/>
      <c r="J57" s="3359">
        <f>IF(AND(J55="",J56=""),4,IF(项目基本情况!K6="上海银行",结果表!J56+1,结果表!J55+1))</f>
        <v>5</v>
      </c>
      <c r="K57" s="3359" t="s">
        <v>1812</v>
      </c>
      <c r="L57" s="2705" t="s">
        <v>1813</v>
      </c>
      <c r="M57" s="2706"/>
      <c r="N57" s="2707">
        <f ca="1">SUMIF(M52:M56,"&lt;9e307")</f>
        <v>3064</v>
      </c>
      <c r="O57" s="2708"/>
      <c r="P57" s="2868">
        <f ca="1">N57/M49</f>
        <v>0.57713317008852894</v>
      </c>
    </row>
    <row r="58" spans="1:35" ht="24.75">
      <c r="A58" s="2508" t="s">
        <v>1797</v>
      </c>
      <c r="B58" s="3383" t="s">
        <v>1814</v>
      </c>
      <c r="C58" s="3382"/>
      <c r="D58" s="2497">
        <f ca="1">IF(H58="转让取得",C81,C97)</f>
        <v>3010</v>
      </c>
      <c r="E58" s="2507" t="s">
        <v>1809</v>
      </c>
      <c r="F58" s="307" t="s">
        <v>34</v>
      </c>
      <c r="G58" s="2730"/>
      <c r="H58" s="2733"/>
      <c r="I58" s="1944"/>
      <c r="J58" s="3359"/>
      <c r="K58" s="3359"/>
      <c r="L58" s="2705" t="s">
        <v>1815</v>
      </c>
      <c r="M58" s="2709"/>
      <c r="N58" s="2710" t="str">
        <f ca="1">NUMBERSTRING(INT(N57*10000),2)&amp;"元整"</f>
        <v>叁仟零陆拾肆万元整</v>
      </c>
      <c r="O58" s="2711"/>
    </row>
    <row r="59" spans="1:35" ht="24.75" thickBot="1">
      <c r="A59" s="3363" t="s">
        <v>1816</v>
      </c>
      <c r="B59" s="3364"/>
      <c r="C59" s="3364"/>
      <c r="D59" s="2735">
        <f ca="1">IF(H59="非个人房产","——",IF(H59="个人住宅（满五唯一有凭证）",0,IF(H59="个人其他（无凭证）",ROUND(D45*F59,0),ROUND(C67*F59,0))))</f>
        <v>51</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361">
        <f>J57+1</f>
        <v>6</v>
      </c>
      <c r="K59" s="3359" t="s">
        <v>1817</v>
      </c>
      <c r="L59" s="2698" t="s">
        <v>1813</v>
      </c>
      <c r="M59" s="2712"/>
      <c r="N59" s="2713">
        <f ca="1">M49-N57</f>
        <v>2245</v>
      </c>
      <c r="O59" s="2714"/>
    </row>
    <row r="60" spans="1:35" ht="12" customHeight="1">
      <c r="A60" s="1945"/>
      <c r="B60" s="1883"/>
      <c r="C60" s="1883"/>
      <c r="D60" s="1883"/>
      <c r="E60" s="1713"/>
      <c r="F60" s="1944"/>
      <c r="G60" s="1944"/>
      <c r="H60" s="1946"/>
      <c r="I60" s="133"/>
      <c r="J60" s="3362"/>
      <c r="K60" s="3359"/>
      <c r="L60" s="2705" t="s">
        <v>1815</v>
      </c>
      <c r="M60" s="2709"/>
      <c r="N60" s="2710" t="str">
        <f ca="1">NUMBERSTRING(INT(N59*10000),2)&amp;"元整"</f>
        <v>贰仟贰佰肆拾伍万元整</v>
      </c>
      <c r="O60" s="2711"/>
    </row>
    <row r="61" spans="1:35" ht="13.5" thickBot="1">
      <c r="A61" s="3421" t="s">
        <v>1818</v>
      </c>
      <c r="B61" s="3421"/>
      <c r="C61" s="3421"/>
      <c r="D61" s="3421"/>
      <c r="E61" s="3421"/>
      <c r="F61" s="1944"/>
      <c r="G61" s="1944"/>
      <c r="H61" s="1946"/>
      <c r="I61" s="133"/>
      <c r="J61" s="2698">
        <f>J59+1</f>
        <v>7</v>
      </c>
      <c r="K61" s="3359" t="s">
        <v>1819</v>
      </c>
      <c r="L61" s="3359"/>
      <c r="M61" s="2715"/>
      <c r="N61" s="2716">
        <f ca="1">ROUND(N59*10000/'数据-汇总表'!E3,0)</f>
        <v>2684</v>
      </c>
      <c r="O61" s="2717"/>
    </row>
    <row r="62" spans="1:35" ht="12.75">
      <c r="A62" s="3378" t="s">
        <v>1820</v>
      </c>
      <c r="B62" s="3379"/>
      <c r="C62" s="2159"/>
      <c r="D62" s="2159" t="s">
        <v>1821</v>
      </c>
      <c r="E62" s="170" t="s">
        <v>1822</v>
      </c>
      <c r="F62" s="1944"/>
      <c r="G62" s="1944"/>
      <c r="H62" s="1946"/>
      <c r="I62" s="133"/>
    </row>
    <row r="63" spans="1:35" ht="12.75">
      <c r="A63" s="177" t="s">
        <v>594</v>
      </c>
      <c r="B63" s="171" t="s">
        <v>1823</v>
      </c>
      <c r="C63" s="2739">
        <f ca="1">ROUND((C64+C65)/(1+'数据-取费表'!C42),0)</f>
        <v>5056</v>
      </c>
      <c r="D63" s="171"/>
      <c r="E63" s="172"/>
      <c r="F63" s="1944"/>
      <c r="G63" s="1944"/>
      <c r="H63" s="1946"/>
      <c r="I63" s="133"/>
      <c r="J63" s="3342" t="s">
        <v>1824</v>
      </c>
      <c r="K63" s="1452" t="s">
        <v>1825</v>
      </c>
      <c r="L63" s="1452">
        <f ca="1">IF(M49&gt;10000,M49*0.5%,IF(AND(M49&gt;1000,M49&lt;=10000),M49*1%,IF(AND(M49&gt;100,M49&lt;=1000),M49*3%,IF(AND(M49&gt;10,M49&lt;=100),M49*5%,M49*8%))))</f>
        <v>53.09</v>
      </c>
      <c r="M63" s="307">
        <f ca="1">ROUND(L63,1)</f>
        <v>53.1</v>
      </c>
      <c r="N63" s="2718"/>
      <c r="Z63" s="1888"/>
      <c r="AI63" s="1889"/>
    </row>
    <row r="64" spans="1:35" ht="14.25" customHeight="1">
      <c r="A64" s="173" t="s">
        <v>589</v>
      </c>
      <c r="B64" s="174" t="s">
        <v>1826</v>
      </c>
      <c r="C64" s="2740">
        <f ca="1">D45</f>
        <v>5309</v>
      </c>
      <c r="D64" s="174" t="s">
        <v>32</v>
      </c>
      <c r="E64" s="176"/>
      <c r="F64" s="1944"/>
      <c r="G64" s="1944"/>
      <c r="H64" s="1946"/>
      <c r="I64" s="133"/>
      <c r="J64" s="3342"/>
      <c r="K64" s="1452" t="s">
        <v>1827</v>
      </c>
      <c r="L64" s="1452">
        <f ca="1">IF(M49&gt;2000,M49*0.5%,IF(AND(M49&gt;1000,M49&lt;=2000),M49*0.6%,IF(AND(M49&gt;500,M49&lt;=1000),M49*0.7%,IF(AND(M49&gt;200,M49&lt;=500),M49*0.8%,IF(AND(M49&gt;100,M49&lt;=200),M49*0.9%,IF(AND(M49&gt;50,M49&lt;=100),M49*1%,IF(AND(M49&gt;20,M49&lt;=50),M49*1.5%,IF(AND(M49&gt;10,M49&lt;=20),M49*2%,IF(AND(M49&gt;1,M49&lt;=10),M49*2.5%)))))))))</f>
        <v>26.545000000000002</v>
      </c>
      <c r="M64" s="307">
        <f t="shared" ref="M64:M65" ca="1" si="1">ROUND(L64,1)</f>
        <v>26.5</v>
      </c>
      <c r="N64" s="2719" t="s">
        <v>1828</v>
      </c>
      <c r="Z64" s="1888"/>
      <c r="AI64" s="1889"/>
    </row>
    <row r="65" spans="1:35" ht="14.25" customHeight="1">
      <c r="A65" s="173" t="s">
        <v>590</v>
      </c>
      <c r="B65" s="174" t="s">
        <v>1829</v>
      </c>
      <c r="C65" s="2741"/>
      <c r="D65" s="174"/>
      <c r="E65" s="176"/>
      <c r="F65" s="1944"/>
      <c r="G65" s="1944"/>
      <c r="H65" s="1946"/>
      <c r="I65" s="133"/>
      <c r="J65" s="3342"/>
      <c r="K65" s="1452" t="s">
        <v>1830</v>
      </c>
      <c r="L65" s="1452">
        <f ca="1">IF(M49&gt;1000,M49*0.1%,IF(AND(M49&gt;500,M49&lt;=1000),M49*0.5%,IF(AND(M49&gt;50,M49&lt;=500),M49*1%,IF(AND(M49&gt;1,M49&lt;=50),M49*1.5%))))</f>
        <v>5.3090000000000002</v>
      </c>
      <c r="M65" s="307">
        <f t="shared" ca="1" si="1"/>
        <v>5.3</v>
      </c>
      <c r="N65" s="2719" t="s">
        <v>1828</v>
      </c>
      <c r="Z65" s="1888"/>
      <c r="AI65" s="1889"/>
    </row>
    <row r="66" spans="1:35" ht="14.25" customHeight="1">
      <c r="A66" s="177" t="s">
        <v>591</v>
      </c>
      <c r="B66" s="178" t="s">
        <v>1831</v>
      </c>
      <c r="C66" s="2742"/>
      <c r="D66" s="178" t="s">
        <v>32</v>
      </c>
      <c r="E66" s="1459" t="s">
        <v>1096</v>
      </c>
      <c r="F66" s="1944"/>
      <c r="G66" s="1944"/>
      <c r="H66" s="1946"/>
      <c r="I66" s="133"/>
      <c r="J66" s="3342"/>
      <c r="K66" s="1452" t="s">
        <v>1832</v>
      </c>
      <c r="L66" s="1452">
        <f ca="1">M49*0.5%</f>
        <v>26.545000000000002</v>
      </c>
      <c r="M66" s="307">
        <f ca="1">IF(L66&gt;0.5,0.5,ROUND(L66,0))</f>
        <v>0.5</v>
      </c>
      <c r="N66" s="2719" t="s">
        <v>1833</v>
      </c>
      <c r="Z66" s="1888"/>
      <c r="AI66" s="1889"/>
    </row>
    <row r="67" spans="1:35" ht="14.25" customHeight="1">
      <c r="A67" s="177" t="s">
        <v>592</v>
      </c>
      <c r="B67" s="178" t="s">
        <v>1834</v>
      </c>
      <c r="C67" s="2743">
        <f ca="1">C63-C66</f>
        <v>5056</v>
      </c>
      <c r="D67" s="174" t="s">
        <v>32</v>
      </c>
      <c r="E67" s="176"/>
      <c r="F67" s="1944"/>
      <c r="G67" s="1944"/>
      <c r="H67" s="1946"/>
      <c r="I67" s="133"/>
      <c r="J67" s="3342"/>
      <c r="K67" s="1452" t="s">
        <v>1835</v>
      </c>
      <c r="L67" s="1452">
        <f ca="1">IF(M49&gt;=10000,(8.25+(M49-10000)*0.01%),IF(AND(M49&gt;=8000,M49&lt;10000),(7.85+(M49-8000)*0.02%),IF(AND(M49&gt;=5000,M49&lt;8000),(6.65+(M49-5000)*0.04%),IF(AND(M49&gt;=2000,M49&lt;5000),(4.25+(PM49-2000)*0.08%),IF(AND(M49&gt;=1000,M49&lt;2000),(2.75+(M49-1000)*0.15%),IF(AND(M49&gt;=100,M49&lt;1000),(0.5+(M49-100)*0.25%),IF(AND(M49&gt;0,M49&lt;100),M49*0.5%)))))))</f>
        <v>6.7736000000000001</v>
      </c>
      <c r="M67" s="307">
        <f ca="1">ROUND(L67*0.9,1)</f>
        <v>6.1</v>
      </c>
      <c r="N67" s="2718"/>
      <c r="Z67" s="1888"/>
      <c r="AI67" s="1889"/>
    </row>
    <row r="68" spans="1:35" ht="14.25" customHeight="1" thickBot="1">
      <c r="A68" s="180" t="s">
        <v>593</v>
      </c>
      <c r="B68" s="181" t="s">
        <v>1836</v>
      </c>
      <c r="C68" s="2744">
        <f ca="1">IF(C67&lt;=0,0,ROUND(C67*D68,0))</f>
        <v>278</v>
      </c>
      <c r="D68" s="2745">
        <f>'数据-取费表'!B41</f>
        <v>5.5000000000000007E-2</v>
      </c>
      <c r="E68" s="183"/>
      <c r="F68" s="1944"/>
      <c r="G68" s="1944"/>
      <c r="H68" s="1946"/>
      <c r="I68" s="133"/>
      <c r="J68" s="3342"/>
      <c r="K68" s="1452" t="s">
        <v>1837</v>
      </c>
      <c r="L68" s="1452">
        <f ca="1">IF(M49&gt;10000,M49*0.5%,IF(AND(M49&gt;5000,M49&lt;=10000),M49*1%,IF(AND(M49&gt;1000,M49&lt;=5000),M49*2%,IF(AND(M49&gt;200,M49&lt;=1000),M49*3%,M49*5%))))</f>
        <v>53.09</v>
      </c>
      <c r="M68" s="307">
        <f ca="1">ROUND(L68,1)</f>
        <v>53.1</v>
      </c>
      <c r="N68" s="2718"/>
      <c r="Z68" s="1888"/>
      <c r="AI68" s="1889"/>
    </row>
    <row r="69" spans="1:35" s="1908" customFormat="1" ht="16.5" customHeight="1">
      <c r="A69" s="1947"/>
      <c r="B69" s="1948"/>
      <c r="C69" s="1949"/>
      <c r="D69" s="1950"/>
      <c r="E69" s="1951"/>
      <c r="F69" s="1713"/>
      <c r="G69" s="1713"/>
      <c r="H69" s="1712"/>
      <c r="I69" s="1883"/>
      <c r="J69" s="3342"/>
      <c r="K69" s="1452" t="s">
        <v>1838</v>
      </c>
      <c r="L69" s="1452"/>
      <c r="M69" s="307">
        <f ca="1">ROUND(SUM(M63:M68),0)</f>
        <v>145</v>
      </c>
      <c r="N69" s="2720">
        <f ca="1">M69/M49</f>
        <v>2.7312111508758712E-2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86" t="s">
        <v>1839</v>
      </c>
      <c r="B70" s="3387"/>
      <c r="C70" s="3387"/>
      <c r="D70" s="3387"/>
      <c r="E70" s="3387"/>
      <c r="F70" s="3387"/>
      <c r="G70" s="3387"/>
      <c r="H70" s="3387"/>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78" t="s">
        <v>1820</v>
      </c>
      <c r="B71" s="3379"/>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f ca="1">ROUND(D45/(1+'数据-取费表'!C42),0)</f>
        <v>5056</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f ca="1">C74+C78</f>
        <v>25</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383" t="s">
        <v>1847</v>
      </c>
      <c r="F76" s="3382"/>
      <c r="G76" s="3382"/>
      <c r="H76" s="3385"/>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f ca="1">ROUND(D45*D78/(1+'数据-取费表'!C42),0)</f>
        <v>25</v>
      </c>
      <c r="D78" s="2752">
        <f>'数据-取费表'!B43</f>
        <v>5.000000000000001E-3</v>
      </c>
      <c r="E78" s="3375" t="s">
        <v>1851</v>
      </c>
      <c r="F78" s="3376"/>
      <c r="G78" s="3376"/>
      <c r="H78" s="3377"/>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f ca="1">C72-C73</f>
        <v>5031</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f ca="1">IF(C79&lt;=0,0,C79/C73)</f>
        <v>201.24</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f ca="1">ROUND(IF(C79&lt;=0,0,IF(C80&gt;=200%,C79*60%-C73*35%,IF(C80&gt;=100%,C79*50%-C73*15%,IF(C80&gt;=50%,C79*40%-C73*5%,IF(C80&lt;50%,C79*30%,0))))),0)</f>
        <v>3010</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6" t="s">
        <v>1855</v>
      </c>
      <c r="B83" s="3387"/>
      <c r="C83" s="3387"/>
      <c r="D83" s="3387"/>
      <c r="E83" s="3387"/>
      <c r="F83" s="3387"/>
      <c r="G83" s="3387"/>
      <c r="H83" s="3387"/>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78" t="s">
        <v>1820</v>
      </c>
      <c r="B84" s="3379"/>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f ca="1">ROUND(D45/(1+'数据-取费表'!C42),0)</f>
        <v>5056</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f ca="1">IF(H88="仅含出让金",C87+C90+C91+C92+C93+C94,C87+C91+C92+C93+C94)</f>
        <v>25</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2500"/>
      <c r="G88" s="199" t="s">
        <v>1859</v>
      </c>
      <c r="H88" s="1960"/>
      <c r="I88" s="1957"/>
      <c r="J88" s="2696" t="s">
        <v>2789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2500"/>
      <c r="G90" s="3344" t="s">
        <v>2630</v>
      </c>
      <c r="H90" s="3345"/>
      <c r="I90" s="1957"/>
      <c r="J90" s="2696" t="s">
        <v>2790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375" t="s">
        <v>1864</v>
      </c>
      <c r="F91" s="3376"/>
      <c r="G91" s="3376"/>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375" t="s">
        <v>1867</v>
      </c>
      <c r="F92" s="3376"/>
      <c r="G92" s="3376"/>
      <c r="H92" s="3377"/>
      <c r="I92" s="1957"/>
      <c r="J92" s="2697" t="s">
        <v>2791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f ca="1">ROUND(D45*D93/(1+'数据-取费表'!C42),0)</f>
        <v>25</v>
      </c>
      <c r="D93" s="2752">
        <f>'数据-取费表'!B43</f>
        <v>5.000000000000001E-3</v>
      </c>
      <c r="E93" s="3375" t="s">
        <v>1851</v>
      </c>
      <c r="F93" s="3376"/>
      <c r="G93" s="3376"/>
      <c r="H93" s="3377"/>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423" t="s">
        <v>1871</v>
      </c>
      <c r="F94" s="3424"/>
      <c r="G94" s="3424"/>
      <c r="H94" s="342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f ca="1">ROUND(C85-C86,0)</f>
        <v>5031</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f ca="1">IF(C95&lt;=0,0,C95/C86)</f>
        <v>201.24</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f ca="1">ROUND(IF(C95&lt;=0,0,IF(C96&gt;=200%,C95*60%-C86*35%,IF(C96&gt;=100%,C95*50%-C86*15%,IF(C96&gt;=50%,C95*40%-C86*5%,IF(C96&lt;50%,C95*30%,0))))),0)</f>
        <v>3010</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325" t="s">
        <v>1873</v>
      </c>
      <c r="B100" s="3326"/>
      <c r="C100" s="3326"/>
      <c r="D100" s="3360"/>
      <c r="E100" s="3326" t="s">
        <v>1874</v>
      </c>
      <c r="F100" s="3326"/>
      <c r="G100" s="3326"/>
      <c r="H100" s="3360"/>
      <c r="I100" s="133"/>
    </row>
    <row r="101" spans="1:35" ht="18.75" customHeight="1">
      <c r="A101" s="3368" t="s">
        <v>1875</v>
      </c>
      <c r="B101" s="3369"/>
      <c r="C101" s="2760" t="str">
        <f>C4</f>
        <v>成本法</v>
      </c>
      <c r="D101" s="2761" t="str">
        <f>D4</f>
        <v>收益法</v>
      </c>
      <c r="E101" s="3338" t="s">
        <v>1876</v>
      </c>
      <c r="F101" s="3339"/>
      <c r="G101" s="1963" t="s">
        <v>1877</v>
      </c>
      <c r="H101" s="2770">
        <f ca="1">H118</f>
        <v>5309</v>
      </c>
      <c r="I101" s="133"/>
    </row>
    <row r="102" spans="1:35" ht="18.75" customHeight="1">
      <c r="A102" s="3370" t="s">
        <v>1878</v>
      </c>
      <c r="B102" s="2759" t="s">
        <v>1877</v>
      </c>
      <c r="C102" s="2760">
        <f ca="1">C19</f>
        <v>3901</v>
      </c>
      <c r="D102" s="2761">
        <f ca="1">D19</f>
        <v>5913</v>
      </c>
      <c r="E102" s="3338"/>
      <c r="F102" s="3339"/>
      <c r="G102" s="1963" t="s">
        <v>1879</v>
      </c>
      <c r="H102" s="2730">
        <f ca="1">I118</f>
        <v>6348</v>
      </c>
      <c r="I102" s="133"/>
    </row>
    <row r="103" spans="1:35" ht="42.75" customHeight="1">
      <c r="A103" s="3370"/>
      <c r="B103" s="2759" t="s">
        <v>1879</v>
      </c>
      <c r="C103" s="2762">
        <f ca="1">C20</f>
        <v>4664</v>
      </c>
      <c r="D103" s="2763">
        <f ca="1">D20</f>
        <v>7070</v>
      </c>
      <c r="E103" s="3331" t="s">
        <v>1880</v>
      </c>
      <c r="F103" s="3332"/>
      <c r="G103" s="1964" t="s">
        <v>1881</v>
      </c>
      <c r="H103" s="2770">
        <f>IF(D36="正常操作",H104+H105+H106,H105+H106)</f>
        <v>0</v>
      </c>
      <c r="I103" s="133"/>
    </row>
    <row r="104" spans="1:35" ht="18.75" customHeight="1">
      <c r="A104" s="3370" t="s">
        <v>1882</v>
      </c>
      <c r="B104" s="2764" t="s">
        <v>1877</v>
      </c>
      <c r="C104" s="2765">
        <f ca="1">H118</f>
        <v>5309</v>
      </c>
      <c r="D104" s="2766"/>
      <c r="E104" s="1810" t="s">
        <v>1883</v>
      </c>
      <c r="F104" s="1801"/>
      <c r="G104" s="1964" t="s">
        <v>1881</v>
      </c>
      <c r="H104" s="2771">
        <f>IF(D36="同一抵押权人同一抵押物续贷",C36&amp;"（续贷，未扣减，详见特别提示）",C36)</f>
        <v>0</v>
      </c>
      <c r="I104" s="133"/>
    </row>
    <row r="105" spans="1:35" ht="18.75" customHeight="1" thickBot="1">
      <c r="A105" s="3380"/>
      <c r="B105" s="2767" t="s">
        <v>1879</v>
      </c>
      <c r="C105" s="2768">
        <f ca="1">I118</f>
        <v>6348</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371" t="str">
        <f>IF(项目基本情况!E8="已注销","——","3.房地产抵押价值")</f>
        <v>3.房地产抵押价值</v>
      </c>
      <c r="F107" s="3339"/>
      <c r="G107" s="1963" t="s">
        <v>1877</v>
      </c>
      <c r="H107" s="2770">
        <f ca="1">IF(E107="——","——",H101-H103)</f>
        <v>5309</v>
      </c>
      <c r="I107" s="133"/>
    </row>
    <row r="108" spans="1:35" ht="18.75" customHeight="1">
      <c r="A108" s="133"/>
      <c r="B108" s="133"/>
      <c r="C108" s="133"/>
      <c r="D108" s="133"/>
      <c r="E108" s="3371"/>
      <c r="F108" s="3339"/>
      <c r="G108" s="1963" t="s">
        <v>1879</v>
      </c>
      <c r="H108" s="2730">
        <f ca="1">ROUND(H107*10000/'数据-汇总表'!E3,0)</f>
        <v>6348</v>
      </c>
      <c r="I108" s="133"/>
    </row>
    <row r="109" spans="1:35" ht="18.75" customHeight="1">
      <c r="A109" s="133"/>
      <c r="B109" s="133"/>
      <c r="C109" s="133"/>
      <c r="D109" s="133"/>
      <c r="E109" s="3371" t="str">
        <f>IF(项目基本情况!E8="已注销及未注销","4.抵押担保权已注销时的房地产抵押价值",IF(项目基本情况!E8="已注销","3.抵押担保权已注销时的房地产抵押价值","——"))</f>
        <v>——</v>
      </c>
      <c r="F109" s="3339"/>
      <c r="G109" s="1963" t="s">
        <v>1877</v>
      </c>
      <c r="H109" s="2773" t="str">
        <f>IF(E109="——","——",H101-H105-H106)</f>
        <v>——</v>
      </c>
      <c r="I109" s="133"/>
    </row>
    <row r="110" spans="1:35" ht="18.75" customHeight="1">
      <c r="A110" s="133"/>
      <c r="B110" s="133"/>
      <c r="C110" s="133"/>
      <c r="D110" s="133"/>
      <c r="E110" s="3371"/>
      <c r="F110" s="3339"/>
      <c r="G110" s="1963" t="s">
        <v>1879</v>
      </c>
      <c r="H110" s="2730" t="str">
        <f>IF(H109="——","——",ROUND(H109*10000/'数据-汇总表'!E3,0))</f>
        <v>——</v>
      </c>
      <c r="I110" s="133"/>
    </row>
    <row r="111" spans="1:35" ht="18.75" customHeight="1">
      <c r="A111" s="133"/>
      <c r="B111" s="133"/>
      <c r="C111" s="133"/>
      <c r="D111" s="133"/>
      <c r="E111" s="3372" t="str">
        <f>IF(项目基本情况!E9="抵押净值",IF(OR(项目基本情况!E8="已注销",项目基本情况!E8="房地产抵押价值"),"4.抵押净值","5.抵押净值"),"——")</f>
        <v>——</v>
      </c>
      <c r="F111" s="3358"/>
      <c r="G111" s="1963" t="s">
        <v>1877</v>
      </c>
      <c r="H111" s="2770" t="str">
        <f>IF(E111="——","——",N59)</f>
        <v>——</v>
      </c>
      <c r="I111" s="133"/>
    </row>
    <row r="112" spans="1:35" ht="18.75" customHeight="1" thickBot="1">
      <c r="A112" s="133"/>
      <c r="B112" s="133"/>
      <c r="C112" s="133"/>
      <c r="D112" s="133"/>
      <c r="E112" s="3373"/>
      <c r="F112" s="3374"/>
      <c r="G112" s="1966" t="s">
        <v>1879</v>
      </c>
      <c r="H112" s="2774" t="str">
        <f>IF(E111="——","——",N61)</f>
        <v>——</v>
      </c>
      <c r="I112" s="133"/>
    </row>
    <row r="113" spans="1:27" ht="18.75" customHeight="1">
      <c r="A113" s="133"/>
      <c r="B113" s="133"/>
      <c r="C113" s="133"/>
      <c r="D113" s="133"/>
      <c r="E113" s="3381" t="s">
        <v>1885</v>
      </c>
      <c r="F113" s="3381"/>
      <c r="G113" s="3381"/>
      <c r="H113" s="3381"/>
      <c r="I113" s="133"/>
    </row>
    <row r="114" spans="1:27" ht="3.75" customHeight="1">
      <c r="A114" s="1883"/>
      <c r="B114" s="1883"/>
      <c r="C114" s="1883"/>
      <c r="D114" s="1883"/>
      <c r="E114" s="1945"/>
      <c r="F114" s="1945"/>
      <c r="G114" s="1945"/>
      <c r="H114" s="1945"/>
      <c r="I114" s="1883"/>
    </row>
    <row r="115" spans="1:27" ht="18.75" customHeight="1">
      <c r="A115" s="3392" t="s">
        <v>1887</v>
      </c>
      <c r="B115" s="3393"/>
      <c r="C115" s="3393"/>
      <c r="D115" s="3393"/>
      <c r="E115" s="3393"/>
      <c r="F115" s="3393"/>
      <c r="G115" s="3393"/>
      <c r="H115" s="3393"/>
      <c r="I115" s="3394"/>
    </row>
    <row r="116" spans="1:27" ht="27" customHeight="1">
      <c r="A116" s="3346" t="s">
        <v>1888</v>
      </c>
      <c r="B116" s="3350" t="s">
        <v>1889</v>
      </c>
      <c r="C116" s="3350" t="s">
        <v>1890</v>
      </c>
      <c r="D116" s="3356" t="s">
        <v>1891</v>
      </c>
      <c r="E116" s="3357"/>
      <c r="F116" s="3388" t="s">
        <v>1892</v>
      </c>
      <c r="G116" s="3388"/>
      <c r="H116" s="3346" t="s">
        <v>1893</v>
      </c>
      <c r="I116" s="3346"/>
    </row>
    <row r="117" spans="1:27" ht="18.75" customHeight="1">
      <c r="A117" s="3346"/>
      <c r="B117" s="3351"/>
      <c r="C117" s="3351"/>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8363.3700000000008</v>
      </c>
      <c r="C118" s="2502">
        <f>M19</f>
        <v>18753.7</v>
      </c>
      <c r="D118" s="2502">
        <f ca="1">ROUND(IF(D32="总价",C34,E118*B118/10000),0)</f>
        <v>2554</v>
      </c>
      <c r="E118" s="2502">
        <f ca="1">ROUND(IF(C33="自定义",IF(D32="楼面单价",C34,D118*10000/B118),I118-G118),0)</f>
        <v>3054</v>
      </c>
      <c r="F118" s="2502">
        <f ca="1">ROUND(IF(D32="总价",C35,G118*B118/10000),0)</f>
        <v>2755</v>
      </c>
      <c r="G118" s="2502">
        <f ca="1">ROUND(IF(D32="楼面单价",C35,F118*10000/B118),0)</f>
        <v>3294</v>
      </c>
      <c r="H118" s="2502">
        <f ca="1">ROUND(IF(D32="总价",C32,I118*B118/10000),0)</f>
        <v>5309</v>
      </c>
      <c r="I118" s="2502">
        <f ca="1">ROUND(IF(D32="楼面单价",C32,H118*10000/B118),0)</f>
        <v>6348</v>
      </c>
    </row>
    <row r="119" spans="1:27" ht="18.75" customHeight="1">
      <c r="A119" s="3346" t="s">
        <v>1897</v>
      </c>
      <c r="B119" s="3346"/>
      <c r="C119" s="3346"/>
      <c r="D119" s="3352" t="str">
        <f ca="1">NUMBERSTRING(INT(D118*10000),2)&amp;"元整"</f>
        <v>贰仟伍佰伍拾肆万元整</v>
      </c>
      <c r="E119" s="3353"/>
      <c r="F119" s="3352" t="str">
        <f ca="1">NUMBERSTRING(INT(F118*10000),2)&amp;"元整"</f>
        <v>贰仟柒佰伍拾伍万元整</v>
      </c>
      <c r="G119" s="3353"/>
      <c r="H119" s="3352" t="str">
        <f ca="1">NUMBERSTRING(INT(H118*10000),2)&amp;"元整"</f>
        <v>伍仟叁佰零玖万元整</v>
      </c>
      <c r="I119" s="3353"/>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89" t="s">
        <v>1897</v>
      </c>
      <c r="B121" s="3390"/>
      <c r="C121" s="3391"/>
      <c r="D121" s="3352" t="str">
        <f>IF(D120=0,"零元整",NUMBERSTRING(INT(D120*10000),2)&amp;"元整")</f>
        <v>零元整</v>
      </c>
      <c r="E121" s="3354"/>
      <c r="F121" s="3354"/>
      <c r="G121" s="3354"/>
      <c r="H121" s="3354"/>
      <c r="I121" s="3353"/>
      <c r="AA121" s="733"/>
    </row>
    <row r="122" spans="1:27" ht="18.75" customHeight="1">
      <c r="A122" s="3358" t="str">
        <f>IF(项目基本情况!B9="房地产市场价值","",MID(E107,3,LEN(E107)-2))</f>
        <v>房地产抵押价值</v>
      </c>
      <c r="B122" s="3358"/>
      <c r="C122" s="3358"/>
      <c r="D122" s="3347">
        <f ca="1">H107</f>
        <v>5309</v>
      </c>
      <c r="E122" s="3348"/>
      <c r="F122" s="3348"/>
      <c r="G122" s="3348"/>
      <c r="H122" s="3348"/>
      <c r="I122" s="3349"/>
      <c r="AA122" s="733"/>
    </row>
    <row r="123" spans="1:27" ht="18.75" customHeight="1">
      <c r="A123" s="3346" t="s">
        <v>1897</v>
      </c>
      <c r="B123" s="3346"/>
      <c r="C123" s="3346"/>
      <c r="D123" s="3352" t="str">
        <f ca="1">NUMBERSTRING(INT(D122*10000),2)&amp;"元整"</f>
        <v>伍仟叁佰零玖万元整</v>
      </c>
      <c r="E123" s="3354"/>
      <c r="F123" s="3354"/>
      <c r="G123" s="3354"/>
      <c r="H123" s="3354"/>
      <c r="I123" s="3353"/>
      <c r="AA123" s="733"/>
    </row>
    <row r="124" spans="1:27" ht="18.75" customHeight="1">
      <c r="A124" s="3358" t="str">
        <f>IF(项目基本情况!B9="房地产市场价值","",MID(E109,3,LEN(E109)-2))</f>
        <v/>
      </c>
      <c r="B124" s="3358"/>
      <c r="C124" s="3358"/>
      <c r="D124" s="3347" t="str">
        <f>H109</f>
        <v>——</v>
      </c>
      <c r="E124" s="3348"/>
      <c r="F124" s="3348"/>
      <c r="G124" s="3348"/>
      <c r="H124" s="3348"/>
      <c r="I124" s="3349"/>
      <c r="AA124" s="733"/>
    </row>
    <row r="125" spans="1:27" ht="18.75" customHeight="1">
      <c r="A125" s="3346" t="s">
        <v>1897</v>
      </c>
      <c r="B125" s="3346"/>
      <c r="C125" s="3346"/>
      <c r="D125" s="3352" t="e">
        <f>NUMBERSTRING(INT(D124*10000),2)&amp;"元整"</f>
        <v>#VALUE!</v>
      </c>
      <c r="E125" s="3354"/>
      <c r="F125" s="3354"/>
      <c r="G125" s="3354"/>
      <c r="H125" s="3354"/>
      <c r="I125" s="3353"/>
      <c r="AA125" s="733"/>
    </row>
    <row r="126" spans="1:27" ht="18.75" customHeight="1">
      <c r="A126" s="3358" t="str">
        <f>IF(项目基本情况!B9="房地产市场价值","",MID(E111,3,LEN(E111)-2))</f>
        <v/>
      </c>
      <c r="B126" s="3358"/>
      <c r="C126" s="3358"/>
      <c r="D126" s="3347" t="str">
        <f>H111</f>
        <v>——</v>
      </c>
      <c r="E126" s="3348"/>
      <c r="F126" s="3348"/>
      <c r="G126" s="3348"/>
      <c r="H126" s="3348"/>
      <c r="I126" s="3349"/>
      <c r="AA126" s="733"/>
    </row>
    <row r="127" spans="1:27" ht="18.75" customHeight="1">
      <c r="A127" s="3346" t="s">
        <v>1897</v>
      </c>
      <c r="B127" s="3346"/>
      <c r="C127" s="3346"/>
      <c r="D127" s="3352" t="e">
        <f>NUMBERSTRING(INT(D126*10000),2)&amp;"元整"</f>
        <v>#VALUE!</v>
      </c>
      <c r="E127" s="3354"/>
      <c r="F127" s="3354"/>
      <c r="G127" s="3354"/>
      <c r="H127" s="3354"/>
      <c r="I127" s="3353"/>
      <c r="AA127" s="733"/>
    </row>
    <row r="128" spans="1:27" ht="21.75" customHeight="1">
      <c r="A128" s="3355" t="s">
        <v>1898</v>
      </c>
      <c r="B128" s="3355"/>
      <c r="C128" s="3355"/>
      <c r="D128" s="3355"/>
      <c r="E128" s="3355"/>
      <c r="F128" s="3355"/>
      <c r="G128" s="3355"/>
      <c r="H128" s="3355"/>
      <c r="I128" s="3355"/>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B1" zoomScaleNormal="70" zoomScaleSheetLayoutView="100" workbookViewId="0">
      <selection activeCell="L50" sqref="L50"/>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10" s="205" customFormat="1" ht="20.25">
      <c r="A1" s="201" t="s">
        <v>1906</v>
      </c>
      <c r="B1" s="1604"/>
      <c r="C1" s="203"/>
      <c r="D1" s="203"/>
      <c r="E1" s="203"/>
      <c r="F1" s="203"/>
      <c r="G1" s="1240">
        <f>MATCH(B1,'数据-取费表'!A6:A16,0)+5</f>
        <v>7</v>
      </c>
    </row>
    <row r="2" spans="1:10" s="205" customFormat="1" ht="18" customHeight="1">
      <c r="A2" s="206" t="s">
        <v>1907</v>
      </c>
      <c r="B2" s="207">
        <f ca="1">IF(D2="——",C52,C52-E2)</f>
        <v>3901</v>
      </c>
      <c r="C2" s="204" t="s">
        <v>1908</v>
      </c>
      <c r="D2" s="1989" t="s">
        <v>70</v>
      </c>
      <c r="E2" s="1283" t="e">
        <f ca="1">SUMIF(INDIRECT("'"&amp;G2&amp;"'"&amp;"!A:A"),"承租人权益价值",INDIRECT("'"&amp;G2&amp;"'"&amp;"!c:c"))</f>
        <v>#REF!</v>
      </c>
      <c r="F2" s="1990" t="s">
        <v>1908</v>
      </c>
      <c r="G2" s="1991"/>
    </row>
    <row r="3" spans="1:10" s="205" customFormat="1" ht="18" customHeight="1" thickBot="1">
      <c r="A3" s="208" t="s">
        <v>1909</v>
      </c>
      <c r="B3" s="209">
        <f ca="1">ROUND(B2*10000/(IF(B1="",'数据-汇总表'!E3,INDIRECT("'数据-取费表'!k"&amp;$G$1))),0)</f>
        <v>4664</v>
      </c>
      <c r="C3" s="204" t="s">
        <v>1910</v>
      </c>
      <c r="D3" s="204"/>
      <c r="E3" s="204"/>
      <c r="F3" s="204"/>
      <c r="G3" s="204"/>
    </row>
    <row r="4" spans="1:10" s="213" customFormat="1" ht="15.75">
      <c r="A4" s="210" t="s">
        <v>1911</v>
      </c>
      <c r="B4" s="211"/>
      <c r="C4" s="211"/>
      <c r="D4" s="211"/>
      <c r="E4" s="211"/>
      <c r="F4" s="211"/>
      <c r="G4" s="212"/>
    </row>
    <row r="5" spans="1:10" s="219" customFormat="1" ht="13.5" customHeight="1">
      <c r="A5" s="260" t="s">
        <v>1912</v>
      </c>
      <c r="B5" s="215" t="s">
        <v>1913</v>
      </c>
      <c r="C5" s="216">
        <f ca="1">C6+C7+C8</f>
        <v>1560</v>
      </c>
      <c r="D5" s="216" t="s">
        <v>1914</v>
      </c>
      <c r="E5" s="217" t="s">
        <v>1915</v>
      </c>
      <c r="F5" s="217" t="s">
        <v>1916</v>
      </c>
      <c r="G5" s="218"/>
    </row>
    <row r="6" spans="1:10" s="219" customFormat="1" ht="13.5" customHeight="1">
      <c r="A6" s="866" t="s">
        <v>1917</v>
      </c>
      <c r="B6" s="220" t="s">
        <v>1918</v>
      </c>
      <c r="C6" s="221">
        <f>ROUND([2]基准地价修正!$C$33*'数据-汇总表'!D3/10000,0)</f>
        <v>1360</v>
      </c>
      <c r="D6" s="222"/>
      <c r="E6" s="223"/>
      <c r="F6" s="223"/>
      <c r="G6" s="224"/>
    </row>
    <row r="7" spans="1:10" s="219" customFormat="1" ht="13.5" customHeight="1">
      <c r="A7" s="866" t="s">
        <v>1919</v>
      </c>
      <c r="B7" s="220" t="s">
        <v>1920</v>
      </c>
      <c r="C7" s="225">
        <f>ROUND(C6*F7,0)</f>
        <v>41</v>
      </c>
      <c r="D7" s="225"/>
      <c r="E7" s="223"/>
      <c r="F7" s="226">
        <f>IF(项目基本情况!B8="出让",0,'数据-取费表'!B48+'数据-取费表'!B49)</f>
        <v>3.0499999999999999E-2</v>
      </c>
      <c r="G7" s="224"/>
    </row>
    <row r="8" spans="1:10" s="228" customFormat="1">
      <c r="A8" s="866" t="s">
        <v>1921</v>
      </c>
      <c r="B8" s="220" t="s">
        <v>1922</v>
      </c>
      <c r="C8" s="225">
        <f ca="1">IF(G8="已包含在土地购买价格中","0",IF(B1="",'数据-取费表'!B29,IF(G9="全部缴纳",C9+C10,H9)))</f>
        <v>159</v>
      </c>
      <c r="D8" s="227"/>
      <c r="E8" s="225"/>
      <c r="F8" s="226"/>
      <c r="G8" s="1992" t="s">
        <v>3200</v>
      </c>
      <c r="J8" s="228">
        <f>'数据-汇总表'!D3*[2]基准地价修正!$C$33/10000</f>
        <v>1359.6432500000001</v>
      </c>
    </row>
    <row r="9" spans="1:10" s="219" customFormat="1" ht="13.5" customHeight="1">
      <c r="A9" s="867" t="s">
        <v>619</v>
      </c>
      <c r="B9" s="229" t="s">
        <v>1923</v>
      </c>
      <c r="C9" s="230">
        <f ca="1">ROUND(D9*E9/10000,0)</f>
        <v>0</v>
      </c>
      <c r="D9" s="934">
        <f ca="1">IF(B1="",'数据-汇总表'!E5,IF(INDIRECT("'数据-取费表'!c"&amp;$G$1)="住宅",INDIRECT("'数据-取费表'!k"&amp;$G$1),0))</f>
        <v>0</v>
      </c>
      <c r="E9" s="230">
        <f>'数据-取费表'!B27</f>
        <v>0</v>
      </c>
      <c r="F9" s="226"/>
      <c r="G9" s="1993" t="s">
        <v>3201</v>
      </c>
      <c r="H9" s="1251"/>
      <c r="I9" s="1994" t="s">
        <v>1924</v>
      </c>
    </row>
    <row r="10" spans="1:10" s="219" customFormat="1" ht="13.5" customHeight="1">
      <c r="A10" s="867" t="s">
        <v>620</v>
      </c>
      <c r="B10" s="229" t="s">
        <v>1925</v>
      </c>
      <c r="C10" s="230">
        <f ca="1">ROUND(D10*E10/10000,0)</f>
        <v>159</v>
      </c>
      <c r="D10" s="934">
        <f ca="1">IF(B1="",'数据-汇总表'!E6,IF(INDIRECT("'数据-取费表'!c"&amp;$G$1)="住宅",INDIRECT("'数据-取费表'!s"&amp;$G$1),INDIRECT("'数据-取费表'!k"&amp;$G$1)+INDIRECT("'数据-取费表'!s"&amp;$G$1)))</f>
        <v>8363.3700000000008</v>
      </c>
      <c r="E10" s="230">
        <f>'数据-取费表'!B28</f>
        <v>190</v>
      </c>
      <c r="F10" s="226"/>
      <c r="G10" s="231"/>
    </row>
    <row r="11" spans="1:10" s="219" customFormat="1" ht="13.5" hidden="1" customHeight="1">
      <c r="A11" s="232" t="s">
        <v>7</v>
      </c>
      <c r="B11" s="220" t="s">
        <v>1926</v>
      </c>
      <c r="C11" s="216"/>
      <c r="D11" s="936"/>
      <c r="E11" s="223"/>
      <c r="F11" s="223"/>
      <c r="G11" s="224"/>
    </row>
    <row r="12" spans="1:10" s="219" customFormat="1" ht="13.5" hidden="1" customHeight="1">
      <c r="A12" s="232" t="s">
        <v>8</v>
      </c>
      <c r="B12" s="220" t="s">
        <v>1927</v>
      </c>
      <c r="C12" s="216">
        <v>0</v>
      </c>
      <c r="D12" s="936"/>
      <c r="E12" s="233"/>
      <c r="F12" s="226">
        <v>3.0499999999999999E-2</v>
      </c>
      <c r="G12" s="224"/>
    </row>
    <row r="13" spans="1:10" s="219" customFormat="1" ht="13.5" hidden="1" customHeight="1">
      <c r="A13" s="232" t="s">
        <v>9</v>
      </c>
      <c r="B13" s="220" t="s">
        <v>1928</v>
      </c>
      <c r="C13" s="216"/>
      <c r="D13" s="936"/>
      <c r="E13" s="223"/>
      <c r="F13" s="223"/>
      <c r="G13" s="224"/>
    </row>
    <row r="14" spans="1:10" s="219" customFormat="1" ht="13.5" hidden="1" customHeight="1">
      <c r="A14" s="232" t="s">
        <v>10</v>
      </c>
      <c r="B14" s="220" t="s">
        <v>1929</v>
      </c>
      <c r="C14" s="216"/>
      <c r="D14" s="936"/>
      <c r="E14" s="223"/>
      <c r="F14" s="223"/>
      <c r="G14" s="224" t="s">
        <v>1930</v>
      </c>
    </row>
    <row r="15" spans="1:10" s="219" customFormat="1" ht="13.5" hidden="1" customHeight="1">
      <c r="A15" s="232" t="s">
        <v>11</v>
      </c>
      <c r="B15" s="220" t="s">
        <v>1931</v>
      </c>
      <c r="C15" s="225"/>
      <c r="D15" s="936"/>
      <c r="E15" s="223"/>
      <c r="F15" s="223"/>
      <c r="G15" s="224" t="s">
        <v>1932</v>
      </c>
    </row>
    <row r="16" spans="1:10"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8363.3700000000008</v>
      </c>
      <c r="E19" s="216">
        <f>'数据-取费表'!B31</f>
        <v>200</v>
      </c>
      <c r="F19" s="236"/>
      <c r="G19" s="1992" t="s">
        <v>3202</v>
      </c>
    </row>
    <row r="20" spans="1:7" s="219" customFormat="1" ht="13.5" customHeight="1">
      <c r="A20" s="260" t="s">
        <v>1938</v>
      </c>
      <c r="B20" s="215" t="s">
        <v>1939</v>
      </c>
      <c r="C20" s="237">
        <f ca="1">ROUND((C5+C19)*F20,0)</f>
        <v>31</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67</v>
      </c>
      <c r="D22" s="240">
        <f ca="1">C26</f>
        <v>4.0000000000000002E-4</v>
      </c>
      <c r="E22" s="241" t="s">
        <v>1943</v>
      </c>
      <c r="F22" s="242">
        <f ca="1">'数据-取费表'!B40</f>
        <v>4.2000000000000003E-2</v>
      </c>
      <c r="G22" s="239" t="str">
        <f>IF('数据-取费表'!B22&lt;=1,"单利计息","复利计息")</f>
        <v>单利计息</v>
      </c>
    </row>
    <row r="23" spans="1:7" s="219" customFormat="1" ht="13.5" customHeight="1">
      <c r="A23" s="868" t="s">
        <v>1947</v>
      </c>
      <c r="B23" s="220" t="s">
        <v>1948</v>
      </c>
      <c r="C23" s="1217">
        <f ca="1">ROUND(IF('数据-取费表'!B22&lt;=1,C5*F22*'数据-取费表'!B23,C5*(POWER((1+F22),'数据-取费表'!B23)-1)),0)</f>
        <v>66</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1</v>
      </c>
      <c r="D25" s="243"/>
      <c r="E25" s="246"/>
      <c r="F25" s="244"/>
      <c r="G25" s="247" t="s">
        <v>1955</v>
      </c>
    </row>
    <row r="26" spans="1:7" s="219" customFormat="1">
      <c r="A26" s="868" t="s">
        <v>614</v>
      </c>
      <c r="B26" s="220" t="s">
        <v>1956</v>
      </c>
      <c r="C26" s="243">
        <f ca="1">ROUND(IF('数据-取费表'!B22&lt;=1,F21*F22*'数据-取费表'!B23/2,F21*(POWER((1+F22),'数据-取费表'!B23/2)-1)),4)</f>
        <v>4.0000000000000002E-4</v>
      </c>
      <c r="D26" s="243"/>
      <c r="E26" s="246"/>
      <c r="F26" s="244"/>
      <c r="G26" s="248"/>
    </row>
    <row r="27" spans="1:7" s="219" customFormat="1" ht="24.75">
      <c r="A27" s="260" t="s">
        <v>1957</v>
      </c>
      <c r="B27" s="249" t="s">
        <v>1958</v>
      </c>
      <c r="C27" s="250">
        <f ca="1">C28</f>
        <v>80</v>
      </c>
      <c r="D27" s="240">
        <f ca="1">C29</f>
        <v>1E-3</v>
      </c>
      <c r="E27" s="241" t="s">
        <v>1959</v>
      </c>
      <c r="F27" s="251">
        <f ca="1">IF(B1="",'数据-取费表'!Q16,INDIRECT("'数据-取费表'!q"&amp;$G$1))</f>
        <v>0.05</v>
      </c>
      <c r="G27" s="252" t="s">
        <v>1960</v>
      </c>
    </row>
    <row r="28" spans="1:7" s="219" customFormat="1" ht="13.5" customHeight="1">
      <c r="A28" s="868" t="s">
        <v>610</v>
      </c>
      <c r="B28" s="253" t="s">
        <v>1961</v>
      </c>
      <c r="C28" s="254">
        <f ca="1">ROUND((C5+C19+C20)*F27*'数据-取费表'!B21/'数据-取费表'!B20,0)</f>
        <v>80</v>
      </c>
      <c r="D28" s="240"/>
      <c r="E28" s="241"/>
      <c r="F28" s="251"/>
      <c r="G28" s="252"/>
    </row>
    <row r="29" spans="1:7" s="219" customFormat="1" ht="13.5" customHeight="1">
      <c r="A29" s="868" t="s">
        <v>611</v>
      </c>
      <c r="B29" s="253" t="s">
        <v>1962</v>
      </c>
      <c r="C29" s="243">
        <f ca="1">ROUND(C21*F27*'数据-取费表'!B21/'数据-取费表'!B20,4)</f>
        <v>1E-3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1876</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2352</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2091</v>
      </c>
      <c r="D34" s="222"/>
      <c r="E34" s="225"/>
      <c r="F34" s="262">
        <f ca="1">IF('数据-取费表'!B24=0,1,IF(B1="",'数据-取费表'!N16,INDIRECT("'数据-取费表'!n"&amp;$G$1)))</f>
        <v>1</v>
      </c>
      <c r="G34" s="224" t="s">
        <v>1971</v>
      </c>
    </row>
    <row r="35" spans="1:7" ht="13.5" customHeight="1">
      <c r="A35" s="868" t="s">
        <v>615</v>
      </c>
      <c r="B35" s="220" t="s">
        <v>1972</v>
      </c>
      <c r="C35" s="225">
        <f ca="1">ROUND(C34*F35,0)</f>
        <v>63</v>
      </c>
      <c r="D35" s="225"/>
      <c r="E35" s="225"/>
      <c r="F35" s="264">
        <f>'数据-取费表'!B33</f>
        <v>0.03</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7" s="263" customFormat="1" ht="13.5" customHeight="1">
      <c r="A37" s="868" t="s">
        <v>617</v>
      </c>
      <c r="B37" s="220" t="s">
        <v>1976</v>
      </c>
      <c r="C37" s="254">
        <f ca="1">ROUND(E37*D37*F34/10000,0)</f>
        <v>167</v>
      </c>
      <c r="D37" s="222">
        <f ca="1">D19</f>
        <v>8363.3700000000008</v>
      </c>
      <c r="E37" s="254">
        <f>'数据-取费表'!B35</f>
        <v>200</v>
      </c>
      <c r="F37" s="264"/>
      <c r="G37" s="266" t="s">
        <v>1977</v>
      </c>
    </row>
    <row r="38" spans="1:7" ht="13.5" customHeight="1">
      <c r="A38" s="868" t="s">
        <v>618</v>
      </c>
      <c r="B38" s="220" t="s">
        <v>1978</v>
      </c>
      <c r="C38" s="225">
        <f ca="1">ROUND(C34*F38,0)</f>
        <v>31</v>
      </c>
      <c r="D38" s="225"/>
      <c r="E38" s="225"/>
      <c r="F38" s="264">
        <f>'数据-取费表'!B36</f>
        <v>1.4999999999999999E-2</v>
      </c>
      <c r="G38" s="224" t="s">
        <v>1973</v>
      </c>
    </row>
    <row r="39" spans="1:7" s="219" customFormat="1" ht="13.5" customHeight="1">
      <c r="A39" s="260" t="s">
        <v>1979</v>
      </c>
      <c r="B39" s="215" t="s">
        <v>1980</v>
      </c>
      <c r="C39" s="237">
        <f ca="1">ROUND(C33*F20,0)</f>
        <v>47</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50</v>
      </c>
      <c r="D41" s="240">
        <f ca="1">C44</f>
        <v>4.0000000000000002E-4</v>
      </c>
      <c r="E41" s="241" t="s">
        <v>1984</v>
      </c>
      <c r="F41" s="2486">
        <f ca="1">F22</f>
        <v>4.2000000000000003E-2</v>
      </c>
      <c r="G41" s="239" t="str">
        <f>IF('数据-取费表'!B22&lt;=1,"单利计息","复利计息")</f>
        <v>单利计息</v>
      </c>
    </row>
    <row r="42" spans="1:7" ht="13.5" customHeight="1">
      <c r="A42" s="868" t="s">
        <v>610</v>
      </c>
      <c r="B42" s="220" t="s">
        <v>1988</v>
      </c>
      <c r="C42" s="243">
        <f ca="1">ROUND(IF('数据-取费表'!B22&lt;=1,C33*F22*'数据-取费表'!B21/2,C33*(POWER((1+F22),'数据-取费表'!B21/2)-1)),0)</f>
        <v>49</v>
      </c>
      <c r="D42" s="243"/>
      <c r="E42" s="243"/>
      <c r="F42" s="244"/>
      <c r="G42" s="3428" t="s">
        <v>1989</v>
      </c>
    </row>
    <row r="43" spans="1:7" ht="13.5" customHeight="1">
      <c r="A43" s="868" t="s">
        <v>611</v>
      </c>
      <c r="B43" s="220" t="s">
        <v>1990</v>
      </c>
      <c r="C43" s="243">
        <f ca="1">ROUND(IF('数据-取费表'!B22&lt;=1,C39*F22*'数据-取费表'!B21/2,C39*(POWER((1+F22),'数据-取费表'!B21/2)-1)),0)</f>
        <v>1</v>
      </c>
      <c r="D43" s="243"/>
      <c r="E43" s="243"/>
      <c r="F43" s="244"/>
      <c r="G43" s="3429"/>
    </row>
    <row r="44" spans="1:7" ht="13.5" customHeight="1">
      <c r="A44" s="868" t="s">
        <v>612</v>
      </c>
      <c r="B44" s="220" t="s">
        <v>1991</v>
      </c>
      <c r="C44" s="243">
        <f ca="1">ROUND(IF('数据-取费表'!B22&lt;=1,C40*F22*'数据-取费表'!B21/2,C40*(POWER((1+F22),'数据-取费表'!B21/2)-1)),4)</f>
        <v>4.0000000000000002E-4</v>
      </c>
      <c r="D44" s="243"/>
      <c r="E44" s="243"/>
      <c r="F44" s="244"/>
      <c r="G44" s="3430"/>
    </row>
    <row r="45" spans="1:7" s="219" customFormat="1" ht="13.5" customHeight="1">
      <c r="A45" s="260" t="s">
        <v>1992</v>
      </c>
      <c r="B45" s="249" t="s">
        <v>1958</v>
      </c>
      <c r="C45" s="250">
        <f ca="1">C46</f>
        <v>120</v>
      </c>
      <c r="D45" s="240">
        <f ca="1">C47</f>
        <v>1E-3</v>
      </c>
      <c r="E45" s="241" t="s">
        <v>1984</v>
      </c>
      <c r="F45" s="2487">
        <f ca="1">F27</f>
        <v>0.05</v>
      </c>
      <c r="G45" s="252" t="s">
        <v>1993</v>
      </c>
    </row>
    <row r="46" spans="1:7" s="219" customFormat="1" ht="13.5" customHeight="1">
      <c r="A46" s="868" t="s">
        <v>610</v>
      </c>
      <c r="B46" s="253" t="s">
        <v>1994</v>
      </c>
      <c r="C46" s="254">
        <f ca="1">ROUND((C33+C39)*F27,0)</f>
        <v>120</v>
      </c>
      <c r="D46" s="268"/>
      <c r="E46" s="241"/>
      <c r="F46" s="251"/>
      <c r="G46" s="252"/>
    </row>
    <row r="47" spans="1:7" s="219" customFormat="1" ht="13.5" customHeight="1">
      <c r="A47" s="868" t="s">
        <v>611</v>
      </c>
      <c r="B47" s="253" t="s">
        <v>1995</v>
      </c>
      <c r="C47" s="243">
        <f ca="1">ROUND(C40*F27,4)</f>
        <v>1E-3</v>
      </c>
      <c r="D47" s="268"/>
      <c r="E47" s="241"/>
      <c r="F47" s="251"/>
      <c r="G47" s="252"/>
    </row>
    <row r="48" spans="1:7" s="219" customFormat="1" ht="13.5" customHeight="1">
      <c r="A48" s="260" t="s">
        <v>1957</v>
      </c>
      <c r="B48" s="215" t="s">
        <v>1996</v>
      </c>
      <c r="C48" s="1447">
        <f>ROUND(F30/(1+'数据-取费表'!C42),4)</f>
        <v>5.2400000000000002E-2</v>
      </c>
      <c r="D48" s="241" t="s">
        <v>1984</v>
      </c>
      <c r="E48" s="237"/>
      <c r="F48" s="2486">
        <f>F30</f>
        <v>5.5000000000000007E-2</v>
      </c>
      <c r="G48" s="239" t="s">
        <v>1997</v>
      </c>
    </row>
    <row r="49" spans="1:7" ht="16.5" customHeight="1">
      <c r="A49" s="260" t="s">
        <v>1963</v>
      </c>
      <c r="B49" s="215" t="s">
        <v>1998</v>
      </c>
      <c r="C49" s="237">
        <f ca="1">ROUND((C33+C39+C41+C45)/(1-C40-D41-D45-C48),0)</f>
        <v>2774</v>
      </c>
      <c r="D49" s="237"/>
      <c r="E49" s="237"/>
      <c r="F49" s="269"/>
      <c r="G49" s="239" t="s">
        <v>1999</v>
      </c>
    </row>
    <row r="50" spans="1:7" s="263" customFormat="1" ht="24">
      <c r="A50" s="260" t="s">
        <v>2000</v>
      </c>
      <c r="B50" s="215" t="s">
        <v>2001</v>
      </c>
      <c r="C50" s="237"/>
      <c r="D50" s="237"/>
      <c r="E50" s="237"/>
      <c r="F50" s="269">
        <f>IF('数据-取费表'!B24=0,'数据-取费表'!N16,1)</f>
        <v>0.73</v>
      </c>
      <c r="G50" s="252" t="s">
        <v>2002</v>
      </c>
    </row>
    <row r="51" spans="1:7" ht="16.5" customHeight="1">
      <c r="A51" s="260" t="s">
        <v>2003</v>
      </c>
      <c r="B51" s="215" t="s">
        <v>2004</v>
      </c>
      <c r="C51" s="237">
        <f ca="1">ROUND(C49*F50,0)</f>
        <v>2025</v>
      </c>
      <c r="D51" s="237"/>
      <c r="E51" s="237"/>
      <c r="F51" s="269"/>
      <c r="G51" s="239" t="s">
        <v>2005</v>
      </c>
    </row>
    <row r="52" spans="1:7" s="213" customFormat="1" ht="16.5" thickBot="1">
      <c r="A52" s="270" t="s">
        <v>2006</v>
      </c>
      <c r="B52" s="271"/>
      <c r="C52" s="272">
        <f ca="1">C31+C51</f>
        <v>3901</v>
      </c>
      <c r="D52" s="271"/>
      <c r="E52" s="271"/>
      <c r="F52" s="271"/>
      <c r="G52" s="273"/>
    </row>
    <row r="55" spans="1:7" ht="15">
      <c r="B55" s="275" t="s">
        <v>2007</v>
      </c>
      <c r="C55" s="276"/>
    </row>
    <row r="56" spans="1:7">
      <c r="B56" s="278" t="s">
        <v>1237</v>
      </c>
      <c r="C56" s="280">
        <f ca="1">1-C57</f>
        <v>0.48099999999999998</v>
      </c>
    </row>
    <row r="57" spans="1:7">
      <c r="B57" s="278" t="s">
        <v>1238</v>
      </c>
      <c r="C57" s="279">
        <f ca="1">ROUND(C51/C52,3)</f>
        <v>0.51900000000000002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39" t="str">
        <f>项目基本情况!B1</f>
        <v>北京市房地产抵押价值预评估</v>
      </c>
      <c r="C37" s="3239"/>
      <c r="D37" s="3239"/>
      <c r="E37" s="3239"/>
      <c r="F37" s="3239"/>
      <c r="G37" s="3239"/>
      <c r="H37" s="3239"/>
      <c r="I37" s="3239"/>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2417</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2890</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1589040</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1589040</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0</v>
      </c>
      <c r="F9" s="226"/>
      <c r="G9" s="231"/>
    </row>
    <row r="10" spans="1:8" s="219" customFormat="1" ht="13.5" customHeight="1">
      <c r="A10" s="867" t="s">
        <v>620</v>
      </c>
      <c r="B10" s="229" t="s">
        <v>1925</v>
      </c>
      <c r="C10" s="230">
        <f ca="1">ROUND(D10*E10,0)</f>
        <v>1589040</v>
      </c>
      <c r="D10" s="934">
        <f ca="1">IF(B1="",'数据-汇总表'!E6,IF(INDIRECT("'数据-取费表'!c"&amp;$G$1)="住宅",INDIRECT("'数据-取费表'!s"&amp;$G$1),INDIRECT("'数据-取费表'!k"&amp;$G$1)+INDIRECT("'数据-取费表'!s"&amp;$G$1)))</f>
        <v>8363.3700000000008</v>
      </c>
      <c r="E10" s="230">
        <f>'数据-取费表'!B28</f>
        <v>190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1672674</v>
      </c>
      <c r="D19" s="938">
        <f ca="1">D9+D10</f>
        <v>8363.3700000000008</v>
      </c>
      <c r="E19" s="216">
        <f>'数据-取费表'!B31</f>
        <v>200</v>
      </c>
      <c r="F19" s="236"/>
      <c r="G19" s="1992"/>
    </row>
    <row r="20" spans="1:7" s="219" customFormat="1" ht="13.5" customHeight="1">
      <c r="A20" s="260" t="s">
        <v>2019</v>
      </c>
      <c r="B20" s="215" t="s">
        <v>2020</v>
      </c>
      <c r="C20" s="237">
        <f ca="1">ROUND((C5+C19)*F20,0)</f>
        <v>65234</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138362</v>
      </c>
      <c r="D22" s="240">
        <f ca="1">C26</f>
        <v>4.0000000000000002E-4</v>
      </c>
      <c r="E22" s="241" t="s">
        <v>2024</v>
      </c>
      <c r="F22" s="242">
        <f ca="1">'数据-取费表'!B40</f>
        <v>4.2000000000000003E-2</v>
      </c>
      <c r="G22" s="239" t="str">
        <f>IF('数据-取费表'!B22&lt;=1,"单利计息","复利计息")</f>
        <v>单利计息</v>
      </c>
    </row>
    <row r="23" spans="1:7" s="219" customFormat="1" ht="13.5" customHeight="1">
      <c r="A23" s="868" t="s">
        <v>1917</v>
      </c>
      <c r="B23" s="220" t="s">
        <v>2028</v>
      </c>
      <c r="C23" s="1242">
        <f ca="1">ROUND(IF('数据-取费表'!B22&lt;=1,C5*F22*'数据-取费表'!B22,C5*(POWER((1+F22),'数据-取费表'!B22)-1)),0)</f>
        <v>66740</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70252</v>
      </c>
      <c r="D24" s="243"/>
      <c r="E24" s="243"/>
      <c r="F24" s="244"/>
      <c r="G24" s="245" t="s">
        <v>2031</v>
      </c>
    </row>
    <row r="25" spans="1:7" s="219" customFormat="1" ht="24">
      <c r="A25" s="868" t="s">
        <v>1921</v>
      </c>
      <c r="B25" s="220" t="s">
        <v>2032</v>
      </c>
      <c r="C25" s="1242">
        <f ca="1">ROUND(IF('数据-取费表'!B22&lt;=1,C20*F22*'数据-取费表'!B22/2,C20*(POWER((1+F22),'数据-取费表'!B22/2)-1)),0)</f>
        <v>1370</v>
      </c>
      <c r="D25" s="243"/>
      <c r="E25" s="246"/>
      <c r="F25" s="244"/>
      <c r="G25" s="247" t="s">
        <v>2033</v>
      </c>
    </row>
    <row r="26" spans="1:7" s="219" customFormat="1">
      <c r="A26" s="868" t="s">
        <v>614</v>
      </c>
      <c r="B26" s="220" t="s">
        <v>1956</v>
      </c>
      <c r="C26" s="243">
        <f ca="1">ROUND(IF('数据-取费表'!B22&lt;=1,F21*F22*'数据-取费表'!B22/2,F21*(POWER((1+F22),'数据-取费表'!B22/2)-1)),4)</f>
        <v>4.0000000000000002E-4</v>
      </c>
      <c r="D26" s="243"/>
      <c r="E26" s="246"/>
      <c r="F26" s="244"/>
      <c r="G26" s="248"/>
    </row>
    <row r="27" spans="1:7" s="219" customFormat="1" ht="24.75">
      <c r="A27" s="260" t="s">
        <v>1957</v>
      </c>
      <c r="B27" s="249" t="s">
        <v>1958</v>
      </c>
      <c r="C27" s="250">
        <f ca="1">C28</f>
        <v>166347</v>
      </c>
      <c r="D27" s="240">
        <f ca="1">C29</f>
        <v>1E-3</v>
      </c>
      <c r="E27" s="241" t="s">
        <v>1959</v>
      </c>
      <c r="F27" s="251">
        <f ca="1">IF(B1="",'数据-取费表'!Q16,INDIRECT("'数据-取费表'!q"&amp;$G$1))</f>
        <v>0.05</v>
      </c>
      <c r="G27" s="252" t="s">
        <v>1960</v>
      </c>
    </row>
    <row r="28" spans="1:7" s="219" customFormat="1" ht="13.5" customHeight="1">
      <c r="A28" s="868" t="s">
        <v>610</v>
      </c>
      <c r="B28" s="253" t="s">
        <v>1961</v>
      </c>
      <c r="C28" s="254">
        <f ca="1">ROUND((C5+C19+C20)*F27,0)</f>
        <v>166347</v>
      </c>
      <c r="D28" s="240"/>
      <c r="E28" s="241"/>
      <c r="F28" s="251"/>
      <c r="G28" s="252"/>
    </row>
    <row r="29" spans="1:7" s="219" customFormat="1" ht="13.5" customHeight="1">
      <c r="A29" s="868" t="s">
        <v>611</v>
      </c>
      <c r="B29" s="253" t="s">
        <v>1962</v>
      </c>
      <c r="C29" s="243">
        <f ca="1">ROUND(C21*F27,4)</f>
        <v>1E-3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3921029</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23521978</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20908425</v>
      </c>
      <c r="D34" s="222"/>
      <c r="E34" s="225"/>
      <c r="F34" s="262"/>
      <c r="G34" s="224"/>
    </row>
    <row r="35" spans="1:7" ht="13.5" customHeight="1">
      <c r="A35" s="868" t="s">
        <v>615</v>
      </c>
      <c r="B35" s="220" t="s">
        <v>1972</v>
      </c>
      <c r="C35" s="225">
        <f ca="1">ROUND(C34*F35,0)</f>
        <v>627253</v>
      </c>
      <c r="D35" s="225"/>
      <c r="E35" s="225"/>
      <c r="F35" s="264">
        <f>'数据-取费表'!B33</f>
        <v>0.03</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1672674</v>
      </c>
      <c r="D37" s="222">
        <f ca="1">D19</f>
        <v>8363.3700000000008</v>
      </c>
      <c r="E37" s="254">
        <f>'数据-取费表'!B35</f>
        <v>200</v>
      </c>
      <c r="F37" s="264"/>
      <c r="G37" s="266"/>
    </row>
    <row r="38" spans="1:7" ht="13.5" customHeight="1">
      <c r="A38" s="868" t="s">
        <v>618</v>
      </c>
      <c r="B38" s="220" t="s">
        <v>1978</v>
      </c>
      <c r="C38" s="225">
        <f ca="1">ROUND(C34*F38,0)</f>
        <v>313626</v>
      </c>
      <c r="D38" s="225"/>
      <c r="E38" s="225"/>
      <c r="F38" s="264">
        <f>'数据-取费表'!B36</f>
        <v>1.4999999999999999E-2</v>
      </c>
      <c r="G38" s="224" t="s">
        <v>1973</v>
      </c>
    </row>
    <row r="39" spans="1:7" s="219" customFormat="1" ht="13.5" customHeight="1">
      <c r="A39" s="260" t="s">
        <v>1979</v>
      </c>
      <c r="B39" s="215" t="s">
        <v>1980</v>
      </c>
      <c r="C39" s="237">
        <f ca="1">ROUND(C33*F20,0)</f>
        <v>470440</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503841</v>
      </c>
      <c r="D41" s="240">
        <f ca="1">C44</f>
        <v>4.0000000000000002E-4</v>
      </c>
      <c r="E41" s="241" t="s">
        <v>1984</v>
      </c>
      <c r="F41" s="2486">
        <f ca="1">F22</f>
        <v>4.2000000000000003E-2</v>
      </c>
      <c r="G41" s="239" t="str">
        <f>IF('数据-取费表'!B22&lt;=1,"单利计息","复利计息")</f>
        <v>单利计息</v>
      </c>
    </row>
    <row r="42" spans="1:7" ht="13.5" customHeight="1">
      <c r="A42" s="868" t="s">
        <v>610</v>
      </c>
      <c r="B42" s="220" t="s">
        <v>1988</v>
      </c>
      <c r="C42" s="243">
        <f ca="1">ROUND(IF('数据-取费表'!B22&lt;=1,C33*F22*'数据-取费表'!B20/2,C33*(POWER((1+F22),'数据-取费表'!B20/2)-1)),0)</f>
        <v>493962</v>
      </c>
      <c r="D42" s="243"/>
      <c r="E42" s="243"/>
      <c r="F42" s="244"/>
      <c r="G42" s="3428" t="s">
        <v>2036</v>
      </c>
    </row>
    <row r="43" spans="1:7" ht="13.5" customHeight="1">
      <c r="A43" s="868" t="s">
        <v>611</v>
      </c>
      <c r="B43" s="220" t="s">
        <v>1990</v>
      </c>
      <c r="C43" s="243">
        <f ca="1">ROUND(IF('数据-取费表'!B22&lt;=1,C39*F22*'数据-取费表'!B20/2,C39*(POWER((1+F22),'数据-取费表'!B20/2)-1)),0)</f>
        <v>9879</v>
      </c>
      <c r="D43" s="243"/>
      <c r="E43" s="243"/>
      <c r="F43" s="244"/>
      <c r="G43" s="3429"/>
    </row>
    <row r="44" spans="1:7" ht="13.5" customHeight="1">
      <c r="A44" s="868" t="s">
        <v>612</v>
      </c>
      <c r="B44" s="220" t="s">
        <v>1991</v>
      </c>
      <c r="C44" s="243">
        <f ca="1">ROUND(IF('数据-取费表'!B22&lt;=1,C40*F22*'数据-取费表'!B20/2,C40*(POWER((1+F22),'数据-取费表'!B20/2)-1)),4)</f>
        <v>4.0000000000000002E-4</v>
      </c>
      <c r="D44" s="243"/>
      <c r="E44" s="243"/>
      <c r="F44" s="244"/>
      <c r="G44" s="3430"/>
    </row>
    <row r="45" spans="1:7" s="219" customFormat="1" ht="13.5" customHeight="1">
      <c r="A45" s="260" t="s">
        <v>1992</v>
      </c>
      <c r="B45" s="249" t="s">
        <v>1958</v>
      </c>
      <c r="C45" s="250">
        <f ca="1">C46</f>
        <v>1199621</v>
      </c>
      <c r="D45" s="240">
        <f ca="1">C47</f>
        <v>1E-3</v>
      </c>
      <c r="E45" s="241" t="s">
        <v>1984</v>
      </c>
      <c r="F45" s="2487">
        <f ca="1">F27</f>
        <v>0.05</v>
      </c>
      <c r="G45" s="252" t="s">
        <v>1993</v>
      </c>
    </row>
    <row r="46" spans="1:7" s="219" customFormat="1" ht="13.5" customHeight="1">
      <c r="A46" s="868" t="s">
        <v>610</v>
      </c>
      <c r="B46" s="253" t="s">
        <v>1994</v>
      </c>
      <c r="C46" s="254">
        <f ca="1">ROUND((C33+C39)*F27,0)</f>
        <v>1199621</v>
      </c>
      <c r="D46" s="268"/>
      <c r="E46" s="241"/>
      <c r="F46" s="251"/>
      <c r="G46" s="252"/>
    </row>
    <row r="47" spans="1:7" s="219" customFormat="1" ht="13.5" customHeight="1">
      <c r="A47" s="868" t="s">
        <v>611</v>
      </c>
      <c r="B47" s="253" t="s">
        <v>1995</v>
      </c>
      <c r="C47" s="243">
        <f ca="1">ROUND(C40*F27,4)</f>
        <v>1E-3</v>
      </c>
      <c r="D47" s="268"/>
      <c r="E47" s="241"/>
      <c r="F47" s="251"/>
      <c r="G47" s="252"/>
    </row>
    <row r="48" spans="1:7" s="219" customFormat="1" ht="13.5" customHeight="1">
      <c r="A48" s="260" t="s">
        <v>1957</v>
      </c>
      <c r="B48" s="215" t="s">
        <v>1996</v>
      </c>
      <c r="C48" s="267">
        <f>ROUND(F30/(1+'数据-取费表'!C42),4)</f>
        <v>5.2400000000000002E-2</v>
      </c>
      <c r="D48" s="241" t="s">
        <v>1984</v>
      </c>
      <c r="E48" s="237"/>
      <c r="F48" s="2486">
        <f>F30</f>
        <v>5.5000000000000007E-2</v>
      </c>
      <c r="G48" s="239" t="s">
        <v>1997</v>
      </c>
    </row>
    <row r="49" spans="1:7" ht="16.5" customHeight="1">
      <c r="A49" s="260" t="s">
        <v>1963</v>
      </c>
      <c r="B49" s="215" t="s">
        <v>2037</v>
      </c>
      <c r="C49" s="237">
        <f ca="1">ROUND((C33+C39+C41+C45)/(1-C40-D41-D45-C48),0)</f>
        <v>27743338</v>
      </c>
      <c r="D49" s="237"/>
      <c r="E49" s="237"/>
      <c r="F49" s="269"/>
      <c r="G49" s="239" t="s">
        <v>1999</v>
      </c>
    </row>
    <row r="50" spans="1:7" s="263" customFormat="1">
      <c r="A50" s="260" t="s">
        <v>2000</v>
      </c>
      <c r="B50" s="215" t="s">
        <v>2001</v>
      </c>
      <c r="C50" s="237"/>
      <c r="D50" s="237"/>
      <c r="E50" s="237"/>
      <c r="F50" s="269">
        <f>IF('数据-取费表'!B24=0,'数据-取费表'!N16,1)</f>
        <v>0.73</v>
      </c>
      <c r="G50" s="252"/>
    </row>
    <row r="51" spans="1:7" ht="16.5" customHeight="1">
      <c r="A51" s="260" t="s">
        <v>2003</v>
      </c>
      <c r="B51" s="215" t="s">
        <v>2038</v>
      </c>
      <c r="C51" s="237">
        <f ca="1">ROUND(C49*F50,0)</f>
        <v>20252637</v>
      </c>
      <c r="D51" s="237"/>
      <c r="E51" s="237"/>
      <c r="F51" s="269"/>
      <c r="G51" s="239" t="s">
        <v>2005</v>
      </c>
    </row>
    <row r="52" spans="1:7" s="213" customFormat="1" ht="16.5" thickBot="1">
      <c r="A52" s="270" t="s">
        <v>2006</v>
      </c>
      <c r="B52" s="271"/>
      <c r="C52" s="272">
        <f ca="1">C31+C51</f>
        <v>24173666</v>
      </c>
      <c r="D52" s="271"/>
      <c r="E52" s="271"/>
      <c r="F52" s="271"/>
      <c r="G52" s="273"/>
    </row>
    <row r="55" spans="1:7" ht="15">
      <c r="B55" s="275" t="s">
        <v>2007</v>
      </c>
      <c r="C55" s="276"/>
    </row>
    <row r="56" spans="1:7">
      <c r="B56" s="278" t="s">
        <v>1237</v>
      </c>
      <c r="C56" s="280">
        <f ca="1">1-C57</f>
        <v>0.16200000000000003</v>
      </c>
    </row>
    <row r="57" spans="1:7">
      <c r="B57" s="278" t="s">
        <v>1238</v>
      </c>
      <c r="C57" s="279">
        <f ca="1">ROUND(C51/C52,3)</f>
        <v>0.83799999999999997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7</v>
      </c>
    </row>
    <row r="2" spans="1:33" ht="18" customHeight="1">
      <c r="A2" s="206" t="s">
        <v>1907</v>
      </c>
      <c r="B2" s="209">
        <f ca="1">C32</f>
        <v>0</v>
      </c>
      <c r="C2" s="281" t="s">
        <v>2040</v>
      </c>
      <c r="D2" s="281"/>
      <c r="E2" s="2986"/>
      <c r="F2" s="2986"/>
      <c r="G2" s="2986"/>
      <c r="H2" s="2986"/>
      <c r="I2" s="2986"/>
      <c r="J2" s="2986"/>
      <c r="K2" s="2986"/>
    </row>
    <row r="3" spans="1:33" ht="18" customHeight="1" thickBot="1">
      <c r="A3" s="208" t="s">
        <v>1909</v>
      </c>
      <c r="B3" s="209">
        <f ca="1">ROUND(B2*10000/IF(C1="",'数据-汇总表'!E3,INDIRECT("'数据-取费表'!K"&amp;$K$1)),0)</f>
        <v>0</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3">
        <f ca="1">ROUND(C11*F12,0)</f>
        <v>0</v>
      </c>
      <c r="D12" s="890"/>
      <c r="E12" s="334"/>
      <c r="F12" s="893">
        <f>'数据-取费表'!B33</f>
        <v>0.03</v>
      </c>
      <c r="G12" s="8" t="s">
        <v>2062</v>
      </c>
      <c r="H12" s="885"/>
      <c r="I12" s="885"/>
      <c r="J12" s="885"/>
      <c r="K12" s="886"/>
    </row>
    <row r="13" spans="1:33" s="892" customFormat="1" ht="13.5" customHeight="1">
      <c r="A13" s="888" t="s">
        <v>1062</v>
      </c>
      <c r="B13" s="889" t="s">
        <v>2063</v>
      </c>
      <c r="C13" s="23">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3">
        <f ca="1">ROUND(D14*E14*F11/10000,0)</f>
        <v>0</v>
      </c>
      <c r="D14" s="935">
        <f ca="1">IF(C1="",'数据-汇总表'!E3,INDIRECT("'数据-取费表'!K"&amp;$K$1)+INDIRECT("'数据-取费表'!S"&amp;$K$1))</f>
        <v>8363.3700000000008</v>
      </c>
      <c r="E14" s="23">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3">
        <f ca="1">ROUND(D17*E17/10000,0)</f>
        <v>0</v>
      </c>
      <c r="D17" s="935">
        <f ca="1">D14</f>
        <v>8363.3700000000008</v>
      </c>
      <c r="E17" s="23">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3">
        <f ca="1">C19+C20-IF(C1="",'数据-取费表'!B29,IF(G18="已全部缴纳",C19+C20,H18))</f>
        <v>0</v>
      </c>
      <c r="D18" s="935"/>
      <c r="E18" s="23"/>
      <c r="F18" s="893"/>
      <c r="G18" s="1998"/>
      <c r="H18" s="1301"/>
      <c r="I18" s="1999" t="s">
        <v>2073</v>
      </c>
      <c r="J18" s="896"/>
      <c r="K18" s="897"/>
    </row>
    <row r="19" spans="1:33" s="892" customFormat="1" ht="13.5" customHeight="1">
      <c r="A19" s="888" t="s">
        <v>624</v>
      </c>
      <c r="B19" s="889" t="s">
        <v>2074</v>
      </c>
      <c r="C19" s="23">
        <f ca="1">ROUND(D19*E19/10000,0)</f>
        <v>0</v>
      </c>
      <c r="D19" s="935">
        <f ca="1">IF(C1="",'数据-汇总表'!E5,IF(INDIRECT("'数据-取费表'!c"&amp;$K$1)="住宅",INDIRECT("'数据-取费表'!k"&amp;$K$1),0))</f>
        <v>0</v>
      </c>
      <c r="E19" s="23">
        <f>'数据-取费表'!B27</f>
        <v>0</v>
      </c>
      <c r="F19" s="893"/>
      <c r="G19" s="14"/>
      <c r="H19" s="1303"/>
      <c r="I19" s="898"/>
      <c r="J19" s="898"/>
      <c r="K19" s="899"/>
    </row>
    <row r="20" spans="1:33" s="892" customFormat="1" ht="13.5" customHeight="1">
      <c r="A20" s="888" t="s">
        <v>625</v>
      </c>
      <c r="B20" s="889" t="s">
        <v>2075</v>
      </c>
      <c r="C20" s="23">
        <f ca="1">ROUND(D20*E20/10000,0)</f>
        <v>159</v>
      </c>
      <c r="D20" s="935">
        <f ca="1">IF(C1="",'数据-汇总表'!E6,IF(INDIRECT("'数据-取费表'!c"&amp;$K$1)="住宅",INDIRECT("'数据-取费表'!s"&amp;$K$1),INDIRECT("'数据-取费表'!k"&amp;$K$1)+INDIRECT("'数据-取费表'!s"&amp;$K$1)))</f>
        <v>8363.3700000000008</v>
      </c>
      <c r="E20" s="23">
        <f>'数据-取费表'!B28</f>
        <v>190</v>
      </c>
      <c r="F20" s="893"/>
      <c r="G20" s="14"/>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4.2000000000000003E-2</v>
      </c>
      <c r="G25" s="135"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（1）-（3）项×年利率×建设期÷2</v>
      </c>
      <c r="H27" s="896"/>
      <c r="I27" s="896"/>
      <c r="J27" s="896"/>
      <c r="K27" s="897"/>
    </row>
    <row r="28" spans="1:33" s="294" customFormat="1" ht="13.5" customHeight="1">
      <c r="A28" s="878" t="s">
        <v>2089</v>
      </c>
      <c r="B28" s="2001" t="s">
        <v>2090</v>
      </c>
      <c r="C28" s="292">
        <f ca="1">C30</f>
        <v>0</v>
      </c>
      <c r="D28" s="285">
        <f ca="1">C29</f>
        <v>0</v>
      </c>
      <c r="E28" s="287" t="s">
        <v>15</v>
      </c>
      <c r="F28" s="293">
        <f ca="1">IF(C1="",'数据-取费表'!Q16,INDIRECT("'数据-取费表'!q"&amp;$K$1))</f>
        <v>0.05</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H39" sqref="H3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6</v>
      </c>
      <c r="D1" s="1496" t="s">
        <v>70</v>
      </c>
      <c r="E1" s="1497" t="s">
        <v>1111</v>
      </c>
      <c r="F1" s="1173">
        <f ca="1">J53</f>
        <v>32.08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5913</v>
      </c>
      <c r="C2" s="1521" t="s">
        <v>1240</v>
      </c>
      <c r="D2" s="1521"/>
      <c r="E2" s="1522"/>
      <c r="F2" s="1523"/>
      <c r="G2" s="2884"/>
      <c r="H2" s="2873"/>
      <c r="I2" s="2873"/>
      <c r="J2" s="2873"/>
      <c r="K2" s="2874"/>
      <c r="L2" s="2873"/>
      <c r="M2" s="2873"/>
    </row>
    <row r="3" spans="1:37" ht="18" customHeight="1" thickBot="1">
      <c r="A3" s="1524" t="s">
        <v>1241</v>
      </c>
      <c r="B3" s="1525">
        <f ca="1">IF(ISERROR(B2*10000/F43),0,ROUND(B2*10000/F43,0))</f>
        <v>7070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413</v>
      </c>
      <c r="D5" s="1498" t="s">
        <v>1126</v>
      </c>
      <c r="E5" s="1183"/>
      <c r="F5" s="1184"/>
      <c r="G5" s="1518"/>
      <c r="H5" s="304">
        <v>1</v>
      </c>
      <c r="I5" s="305" t="s">
        <v>1125</v>
      </c>
      <c r="J5" s="1182">
        <f ca="1">J6+J10+J12</f>
        <v>0</v>
      </c>
      <c r="K5" s="1498" t="s">
        <v>1126</v>
      </c>
      <c r="L5" s="1183"/>
      <c r="M5" s="1184"/>
    </row>
    <row r="6" spans="1:37" ht="18" customHeight="1">
      <c r="A6" s="1181" t="s">
        <v>822</v>
      </c>
      <c r="B6" s="3433" t="s">
        <v>1127</v>
      </c>
      <c r="C6" s="1186">
        <f ca="1">ROUND(F6*F8*F7*(1-F9)/10000,0)</f>
        <v>412</v>
      </c>
      <c r="D6" s="159" t="s">
        <v>2609</v>
      </c>
      <c r="E6" s="307" t="s">
        <v>1129</v>
      </c>
      <c r="F6" s="308">
        <f ca="1">INDIRECT("'数据-取费表'!u"&amp;$G$1)</f>
        <v>1.5</v>
      </c>
      <c r="G6" s="1518"/>
      <c r="H6" s="1181" t="s">
        <v>822</v>
      </c>
      <c r="I6" s="3433" t="s">
        <v>1127</v>
      </c>
      <c r="J6" s="306">
        <f ca="1">ROUND(M6*M8*M7*(1-M9)/10000,0)</f>
        <v>0</v>
      </c>
      <c r="K6" s="159" t="s">
        <v>2608</v>
      </c>
      <c r="L6" s="307" t="s">
        <v>1129</v>
      </c>
      <c r="M6" s="308">
        <f ca="1">INDIRECT("'数据-取费表'!z"&amp;$G$1)</f>
        <v>0</v>
      </c>
    </row>
    <row r="7" spans="1:37" ht="18" customHeight="1">
      <c r="A7" s="1185"/>
      <c r="B7" s="3434"/>
      <c r="C7" s="1187"/>
      <c r="D7" s="312"/>
      <c r="E7" s="1188" t="s">
        <v>1130</v>
      </c>
      <c r="F7" s="308">
        <f ca="1">IF(INDIRECT("'数据-取费表'!ah"&amp;$G$1)="",INDIRECT("'数据-取费表'!k"&amp;$G$1),INDIRECT("'数据-取费表'!ah"&amp;$G$1))</f>
        <v>8363.3700000000008</v>
      </c>
      <c r="G7" s="1518"/>
      <c r="H7" s="309"/>
      <c r="I7" s="3434"/>
      <c r="J7" s="311"/>
      <c r="K7" s="312"/>
      <c r="L7" s="307" t="s">
        <v>1130</v>
      </c>
      <c r="M7" s="308">
        <f ca="1">F7</f>
        <v>8363.3700000000008</v>
      </c>
    </row>
    <row r="8" spans="1:37" ht="18" customHeight="1">
      <c r="A8" s="309"/>
      <c r="B8" s="3434"/>
      <c r="C8" s="311"/>
      <c r="D8" s="312"/>
      <c r="E8" s="307" t="s">
        <v>1131</v>
      </c>
      <c r="F8" s="308">
        <f ca="1">INDIRECT("'数据-取费表'!ai"&amp;$G$1)</f>
        <v>365</v>
      </c>
      <c r="G8" s="1518"/>
      <c r="H8" s="309"/>
      <c r="I8" s="3434"/>
      <c r="J8" s="311"/>
      <c r="K8" s="312"/>
      <c r="L8" s="307" t="s">
        <v>1131</v>
      </c>
      <c r="M8" s="308">
        <f ca="1">INDIRECT("'数据-取费表'!ai"&amp;$G$1)</f>
        <v>365</v>
      </c>
    </row>
    <row r="9" spans="1:37" ht="18" customHeight="1">
      <c r="A9" s="309"/>
      <c r="B9" s="3435"/>
      <c r="C9" s="311"/>
      <c r="D9" s="312"/>
      <c r="E9" s="307" t="s">
        <v>1132</v>
      </c>
      <c r="F9" s="317">
        <f ca="1">INDIRECT("'数据-取费表'!w"&amp;$G$1)</f>
        <v>0.1</v>
      </c>
      <c r="G9" s="1518"/>
      <c r="H9" s="309"/>
      <c r="I9" s="3435"/>
      <c r="J9" s="311"/>
      <c r="K9" s="312"/>
      <c r="L9" s="318" t="s">
        <v>1132</v>
      </c>
      <c r="M9" s="319">
        <f ca="1">INDIRECT("'数据-取费表'!ab"&amp;$G$1)</f>
        <v>0</v>
      </c>
    </row>
    <row r="10" spans="1:37" ht="18" customHeight="1">
      <c r="A10" s="1181" t="s">
        <v>826</v>
      </c>
      <c r="B10" s="1499" t="s">
        <v>1133</v>
      </c>
      <c r="C10" s="321">
        <f ca="1">ROUND(IF(F10="押一",C6/12*F11,IF(F10="押二",C6/12*2*F11,IF(F10="押三",C6/12*3*F11,C11*F11))),0)</f>
        <v>1</v>
      </c>
      <c r="D10" s="1500" t="s">
        <v>2617</v>
      </c>
      <c r="E10" s="318" t="s">
        <v>1134</v>
      </c>
      <c r="F10" s="1228" t="s">
        <v>3195</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2025</v>
      </c>
      <c r="D13" s="1193" t="s">
        <v>1139</v>
      </c>
      <c r="E13" s="1193" t="s">
        <v>1140</v>
      </c>
      <c r="F13" s="1194">
        <f ca="1">INDIRECT("'数据-取费表'!y"&amp;$G$1)</f>
        <v>0.73</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2091</v>
      </c>
      <c r="D14" s="1479" t="s">
        <v>1142</v>
      </c>
      <c r="E14" s="1476"/>
      <c r="F14" s="324"/>
      <c r="G14" s="1518"/>
      <c r="H14" s="1093" t="s">
        <v>822</v>
      </c>
      <c r="I14" s="307" t="s">
        <v>1143</v>
      </c>
      <c r="J14" s="23">
        <f ca="1">C29</f>
        <v>2774</v>
      </c>
      <c r="K14" s="14"/>
      <c r="L14" s="896"/>
      <c r="M14" s="897"/>
    </row>
    <row r="15" spans="1:37" s="1531" customFormat="1" ht="18" customHeight="1" thickBot="1">
      <c r="A15" s="1093" t="s">
        <v>823</v>
      </c>
      <c r="B15" s="307" t="s">
        <v>1144</v>
      </c>
      <c r="C15" s="23">
        <f ca="1">ROUND(C14*F15,0)</f>
        <v>63</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68</v>
      </c>
      <c r="K16" s="1199" t="s">
        <v>1149</v>
      </c>
      <c r="L16" s="1200"/>
      <c r="M16" s="1184"/>
    </row>
    <row r="17" spans="1:37" s="1531" customFormat="1" ht="18" customHeight="1">
      <c r="A17" s="1093" t="s">
        <v>1114</v>
      </c>
      <c r="B17" s="307" t="s">
        <v>1150</v>
      </c>
      <c r="C17" s="23">
        <f ca="1">ROUND(F17*(F43+INDIRECT("'数据-取费表'!S"&amp;$G$1))/10000,0)</f>
        <v>167</v>
      </c>
      <c r="D17" s="307" t="s">
        <v>1151</v>
      </c>
      <c r="E17" s="307" t="s">
        <v>1152</v>
      </c>
      <c r="F17" s="25">
        <f>'数据-取费表'!B35</f>
        <v>200</v>
      </c>
      <c r="G17" s="1530"/>
      <c r="H17" s="1093" t="s">
        <v>822</v>
      </c>
      <c r="I17" s="307" t="s">
        <v>1153</v>
      </c>
      <c r="J17" s="2484">
        <f ca="1">ROUND(IF(AND(项目基本情况!B11="自然人",项目基本情况!B10="北京市"),J6*M17/(1+'数据-取费表'!C42),J18+J19+J20),0)</f>
        <v>26</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31</v>
      </c>
      <c r="D18" s="307" t="s">
        <v>1145</v>
      </c>
      <c r="E18" s="307" t="s">
        <v>1146</v>
      </c>
      <c r="F18" s="327">
        <f>'数据-取费表'!B36</f>
        <v>1.4999999999999999E-2</v>
      </c>
      <c r="G18" s="1530"/>
      <c r="H18" s="1093" t="s">
        <v>821</v>
      </c>
      <c r="I18" s="307" t="s">
        <v>1157</v>
      </c>
      <c r="J18" s="23">
        <f ca="1">ROUND(J6*M18/(1+'数据-取费表'!C42),2)</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2352</v>
      </c>
      <c r="D19" s="135" t="s">
        <v>1160</v>
      </c>
      <c r="E19" s="1494"/>
      <c r="F19" s="25"/>
      <c r="G19" s="1518"/>
      <c r="H19" s="1093" t="s">
        <v>823</v>
      </c>
      <c r="I19" s="307" t="s">
        <v>1161</v>
      </c>
      <c r="J19" s="23">
        <f ca="1">IF(K19="按租金收入计税",ROUND(J6*M19/(1+'数据-取费表'!C42),2),ROUND(C29*M19*0.7,2))</f>
        <v>23.3</v>
      </c>
      <c r="K19" s="1504" t="s">
        <v>1162</v>
      </c>
      <c r="L19" s="307" t="s">
        <v>1146</v>
      </c>
      <c r="M19" s="327">
        <f>IF(K19="按租金收入计税",'数据-取费表'!B51,'数据-取费表'!B50)</f>
        <v>1.2E-2</v>
      </c>
    </row>
    <row r="20" spans="1:37" s="1531" customFormat="1" ht="18" customHeight="1">
      <c r="A20" s="1093" t="s">
        <v>826</v>
      </c>
      <c r="B20" s="307" t="s">
        <v>1163</v>
      </c>
      <c r="C20" s="23">
        <f ca="1">ROUND(C19*F20,0)</f>
        <v>47</v>
      </c>
      <c r="D20" s="328" t="s">
        <v>1164</v>
      </c>
      <c r="E20" s="307" t="s">
        <v>1146</v>
      </c>
      <c r="F20" s="327">
        <f>'数据-取费表'!B37</f>
        <v>0.02</v>
      </c>
      <c r="G20" s="1530"/>
      <c r="H20" s="1093" t="s">
        <v>1113</v>
      </c>
      <c r="I20" s="159" t="s">
        <v>1165</v>
      </c>
      <c r="J20" s="24">
        <f ca="1">ROUND(M20*M21/10000,2)</f>
        <v>2.81</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18</v>
      </c>
      <c r="D21" s="328" t="s">
        <v>1169</v>
      </c>
      <c r="E21" s="307" t="s">
        <v>1170</v>
      </c>
      <c r="F21" s="327">
        <f>'数据-取费表'!B38</f>
        <v>0.02</v>
      </c>
      <c r="G21" s="1530"/>
      <c r="H21" s="331"/>
      <c r="I21" s="316"/>
      <c r="J21" s="28"/>
      <c r="K21" s="332"/>
      <c r="L21" s="307" t="s">
        <v>1171</v>
      </c>
      <c r="M21" s="308">
        <f ca="1">INDIRECT("'数据-取费表'!r"&amp;$G$1)</f>
        <v>18753.7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单利计息。建造成本、管理费用、销售费用产生的利息。</v>
      </c>
      <c r="E22" s="1494"/>
      <c r="F22" s="25"/>
      <c r="G22" s="1518"/>
      <c r="H22" s="1093" t="s">
        <v>826</v>
      </c>
      <c r="I22" s="307" t="s">
        <v>1173</v>
      </c>
      <c r="J22" s="23">
        <f ca="1">ROUND(J14*M22,1)</f>
        <v>41.6</v>
      </c>
      <c r="K22" s="1478" t="s">
        <v>1174</v>
      </c>
      <c r="L22" s="307" t="s">
        <v>1146</v>
      </c>
      <c r="M22" s="333">
        <f ca="1">INDIRECT("'数据-取费表'!Ak"&amp;$G$1)</f>
        <v>1.4999999999999999E-2</v>
      </c>
    </row>
    <row r="23" spans="1:37" s="1531" customFormat="1" ht="18" customHeight="1">
      <c r="A23" s="1093" t="s">
        <v>821</v>
      </c>
      <c r="B23" s="307" t="s">
        <v>1175</v>
      </c>
      <c r="C23" s="23">
        <f ca="1">IF('数据-取费表'!B22&lt;=1,ROUND(C19*F24*F23/2,0)+ROUND(C20*F24*F23/2,0),ROUND(C19*(POWER((1+F24),F23/2)-1),0)+ROUND(C20*(POWER((1+F24),F23/2)-1),0))</f>
        <v>50</v>
      </c>
      <c r="D23" s="334" t="str">
        <f>IF(F23&lt;=1,"(建造成本+管理费用)×利率×(建设周期÷2)","(建造成本+管理费用)×((1+利率)^(建设周期÷2)-1)")</f>
        <v>(建造成本+管理费用)×利率×(建设周期÷2)</v>
      </c>
      <c r="E23" s="307" t="s">
        <v>1176</v>
      </c>
      <c r="F23" s="330">
        <f>'数据-取费表'!B20</f>
        <v>1</v>
      </c>
      <c r="G23" s="1530"/>
      <c r="H23" s="1093" t="s">
        <v>862</v>
      </c>
      <c r="I23" s="307" t="s">
        <v>1177</v>
      </c>
      <c r="J23" s="23">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4.0000000000000002E-4</v>
      </c>
      <c r="D24" s="334" t="str">
        <f>IF(F23&lt;=1,"销售费用×利率×(建设周期÷2)","销售费用×((1+利率)^(建设周期÷2)-1)")</f>
        <v>销售费用×利率×(建设周期÷2)</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3"/>
      <c r="D25" s="135" t="s">
        <v>1186</v>
      </c>
      <c r="E25" s="1494"/>
      <c r="F25" s="25"/>
      <c r="G25" s="1518"/>
      <c r="H25" s="1191" t="s">
        <v>818</v>
      </c>
      <c r="I25" s="1206" t="s">
        <v>1187</v>
      </c>
      <c r="J25" s="315">
        <f ca="1">J5-J16</f>
        <v>-68</v>
      </c>
      <c r="K25" s="1207" t="s">
        <v>1188</v>
      </c>
      <c r="L25" s="1208"/>
      <c r="M25" s="1209"/>
    </row>
    <row r="26" spans="1:37">
      <c r="A26" s="1093" t="s">
        <v>821</v>
      </c>
      <c r="B26" s="307" t="s">
        <v>1189</v>
      </c>
      <c r="C26" s="23">
        <f ca="1">ROUND((C19+C20)*F26,0)</f>
        <v>120</v>
      </c>
      <c r="D26" s="328" t="s">
        <v>1190</v>
      </c>
      <c r="E26" s="318" t="s">
        <v>1191</v>
      </c>
      <c r="F26" s="317">
        <f ca="1">INDIRECT("'数据-取费表'!q"&amp;$G$1)</f>
        <v>0.05</v>
      </c>
      <c r="G26" s="1518"/>
      <c r="H26" s="304" t="s">
        <v>819</v>
      </c>
      <c r="I26" s="305" t="s">
        <v>1192</v>
      </c>
      <c r="J26" s="306">
        <f ca="1">IF(J5&lt;&gt;0,ROUND(J25*(1-((1+M28)/(1+M26))^M27)/(M26-M28),0),0)</f>
        <v>0</v>
      </c>
      <c r="K26" s="329" t="s">
        <v>1193</v>
      </c>
      <c r="L26" s="307" t="s">
        <v>1194</v>
      </c>
      <c r="M26" s="317">
        <f ca="1">INDIRECT("'数据-取费表'!I"&amp;$G$1)</f>
        <v>0.05</v>
      </c>
    </row>
    <row r="27" spans="1:37" ht="18" customHeight="1">
      <c r="A27" s="1093" t="s">
        <v>823</v>
      </c>
      <c r="B27" s="307" t="s">
        <v>1195</v>
      </c>
      <c r="C27" s="23">
        <f ca="1">ROUND(F21*F26,4)</f>
        <v>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2774</v>
      </c>
      <c r="D29" s="1204"/>
      <c r="E29" s="1202"/>
      <c r="F29" s="1205"/>
      <c r="G29" s="1530"/>
      <c r="H29" s="339" t="s">
        <v>820</v>
      </c>
      <c r="I29" s="340" t="s">
        <v>1203</v>
      </c>
      <c r="J29" s="341">
        <f ca="1">ROUND(J26/(1+F40)^F41,0)</f>
        <v>0</v>
      </c>
      <c r="K29" s="342" t="s">
        <v>1204</v>
      </c>
      <c r="L29" s="343"/>
      <c r="M29" s="344">
        <f ca="1">INDIRECT("'数据-取费表'!k"&amp;$G$1)</f>
        <v>8363.3700000000008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120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71</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IF(项目基本情况!B11="自然人","——",ROUND(C6*F32/(1+'数据-取费表'!C42),2))</f>
        <v>21.58</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IF(项目基本情况!B11="自然人","——",IF(D33="按租金收入计税",ROUND(C6*F33/(1+'数据-取费表'!C42),2),IF(D33="按房产原值计税",ROUND(C29*F33*0.7,2),INDIRECT("'数据-取费表'!Aj"&amp;$G$1))))</f>
        <v>47.09</v>
      </c>
      <c r="D33" s="1504" t="s">
        <v>3196</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4">
        <f ca="1">IF(项目基本情况!B11="自然人","——",ROUND(F34*F35/10000,2))</f>
        <v>2.81</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18753.7</v>
      </c>
      <c r="G35" s="1518"/>
      <c r="H35" s="2875"/>
      <c r="I35" s="1532"/>
      <c r="J35" s="1533"/>
      <c r="K35" s="2879"/>
      <c r="L35" s="2878"/>
      <c r="M35" s="2878"/>
    </row>
    <row r="36" spans="1:18" ht="18" customHeight="1">
      <c r="A36" s="1214" t="s">
        <v>826</v>
      </c>
      <c r="B36" s="307" t="s">
        <v>1173</v>
      </c>
      <c r="C36" s="23">
        <f ca="1">ROUND(C29*F36,1)</f>
        <v>41.6</v>
      </c>
      <c r="D36" s="1478" t="s">
        <v>1206</v>
      </c>
      <c r="E36" s="307" t="s">
        <v>1146</v>
      </c>
      <c r="F36" s="333">
        <f ca="1">INDIRECT("'数据-取费表'!Ak"&amp;$G$1)</f>
        <v>1.4999999999999999E-2</v>
      </c>
      <c r="G36" s="1518"/>
      <c r="H36" s="2878"/>
      <c r="I36" s="1532"/>
      <c r="J36" s="1533"/>
      <c r="K36" s="2719"/>
      <c r="L36" s="2878"/>
      <c r="M36" s="2878"/>
    </row>
    <row r="37" spans="1:18" ht="18" customHeight="1">
      <c r="A37" s="1093" t="s">
        <v>862</v>
      </c>
      <c r="B37" s="307" t="s">
        <v>1177</v>
      </c>
      <c r="C37" s="23">
        <f ca="1">ROUND(C13*F37,1)</f>
        <v>3</v>
      </c>
      <c r="D37" s="1478"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4.0999999999999996</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5">
        <f ca="1">C5-C30</f>
        <v>293</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5913</v>
      </c>
      <c r="D40" s="329" t="s">
        <v>1193</v>
      </c>
      <c r="E40" s="307" t="s">
        <v>1194</v>
      </c>
      <c r="F40" s="317">
        <f ca="1">INDIRECT("'数据-取费表'!I"&amp;$G$1)</f>
        <v>0.05</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32.08</v>
      </c>
      <c r="G41" s="1518"/>
      <c r="H41" s="1305"/>
      <c r="I41" s="1532"/>
      <c r="J41" s="1533"/>
      <c r="K41" s="2719"/>
      <c r="L41" s="1305"/>
      <c r="M41" s="1305"/>
    </row>
    <row r="42" spans="1:18" ht="18" customHeight="1">
      <c r="A42" s="313"/>
      <c r="B42" s="314"/>
      <c r="C42" s="315"/>
      <c r="D42" s="332"/>
      <c r="E42" s="307" t="s">
        <v>1201</v>
      </c>
      <c r="F42" s="317">
        <f ca="1">INDIRECT("'数据-取费表'!v"&amp;$G$1)</f>
        <v>0.02</v>
      </c>
      <c r="G42" s="1518"/>
      <c r="H42" s="1305"/>
      <c r="I42" s="1532"/>
      <c r="J42" s="1533"/>
      <c r="K42" s="2719"/>
      <c r="L42" s="1305"/>
      <c r="M42" s="1305"/>
    </row>
    <row r="43" spans="1:18" ht="18" customHeight="1" thickBot="1">
      <c r="A43" s="339" t="s">
        <v>820</v>
      </c>
      <c r="B43" s="340" t="s">
        <v>1211</v>
      </c>
      <c r="C43" s="341">
        <f ca="1">ROUND(C40*10000/F43,0)</f>
        <v>7070</v>
      </c>
      <c r="D43" s="342" t="s">
        <v>1212</v>
      </c>
      <c r="E43" s="343" t="s">
        <v>1213</v>
      </c>
      <c r="F43" s="344">
        <f ca="1">INDIRECT("'数据-取费表'!k"&amp;$G$1)</f>
        <v>8363.3700000000008</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-10358</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3197</v>
      </c>
      <c r="K47" s="1550" t="s">
        <v>1251</v>
      </c>
      <c r="L47" s="1551">
        <f ca="1">INDIRECT("'数据-取费表'!d"&amp;$G$1)</f>
        <v>50</v>
      </c>
      <c r="M47" s="1514" t="str">
        <f>IF(ISNUMBER(FIND("住宅",C1)),"住宅","非住宅")</f>
        <v>非住宅</v>
      </c>
      <c r="O47" s="1552" t="s">
        <v>827</v>
      </c>
      <c r="P47" s="1553" t="s">
        <v>1252</v>
      </c>
      <c r="Q47" s="1554">
        <f ca="1">C40+J29</f>
        <v>5913</v>
      </c>
      <c r="R47" s="1554" t="s">
        <v>1253</v>
      </c>
    </row>
    <row r="48" spans="1:18" s="1518" customFormat="1" ht="28.5" thickBot="1">
      <c r="A48" s="1222" t="s">
        <v>863</v>
      </c>
      <c r="B48" s="305" t="s">
        <v>1125</v>
      </c>
      <c r="C48" s="1493">
        <f ca="1">C49+C53+C55</f>
        <v>0</v>
      </c>
      <c r="D48" s="1224"/>
      <c r="E48" s="1225"/>
      <c r="F48" s="1073"/>
      <c r="G48" s="730"/>
      <c r="H48" s="731"/>
      <c r="I48" s="1555" t="s">
        <v>1254</v>
      </c>
      <c r="J48" s="1556" t="s">
        <v>3198</v>
      </c>
      <c r="K48" s="1557" t="s">
        <v>1255</v>
      </c>
      <c r="L48" s="1558">
        <f ca="1">INDIRECT("'数据-取费表'!f"&amp;$G$1)</f>
        <v>32.08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1"/>
      <c r="I49" s="1555" t="s">
        <v>1258</v>
      </c>
      <c r="J49" s="1560">
        <v>2003</v>
      </c>
      <c r="K49" s="1557" t="s">
        <v>1259</v>
      </c>
      <c r="L49" s="1561"/>
      <c r="O49" s="1562" t="s">
        <v>829</v>
      </c>
      <c r="P49" s="1553" t="s">
        <v>1260</v>
      </c>
      <c r="Q49" s="1554">
        <f ca="1">C29</f>
        <v>2774</v>
      </c>
      <c r="R49" s="1554" t="s">
        <v>1253</v>
      </c>
    </row>
    <row r="50" spans="1:18" s="1518" customFormat="1" ht="13.5" thickBot="1">
      <c r="A50" s="1087"/>
      <c r="B50" s="1090"/>
      <c r="C50" s="1230"/>
      <c r="D50" s="1064"/>
      <c r="E50" s="1167" t="s">
        <v>1130</v>
      </c>
      <c r="F50" s="1168">
        <f ca="1">F7</f>
        <v>8363.3700000000008</v>
      </c>
      <c r="H50" s="731"/>
      <c r="I50" s="1555" t="s">
        <v>1261</v>
      </c>
      <c r="J50" s="1563">
        <f>SUMPRODUCT((I63:I65=J47)*(J62:L62=J48)*(J63:L65))</f>
        <v>70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51</v>
      </c>
      <c r="K51" s="1568" t="s">
        <v>1265</v>
      </c>
      <c r="L51" s="1569">
        <f ca="1">ROUND(-PV(INDIRECT("'数据-取费表'!h"&amp;$G$1),J51,(C39-C13*C76),0),0)</f>
        <v>2603</v>
      </c>
      <c r="M51" s="1570"/>
      <c r="O51" s="1562" t="s">
        <v>831</v>
      </c>
      <c r="P51" s="1553" t="s">
        <v>1266</v>
      </c>
      <c r="Q51" s="1565">
        <f>J52</f>
        <v>0.09</v>
      </c>
      <c r="R51" s="1554"/>
    </row>
    <row r="52" spans="1:18" s="1518" customFormat="1" ht="13.5" thickBot="1">
      <c r="A52" s="1088"/>
      <c r="B52" s="1090"/>
      <c r="C52" s="1091"/>
      <c r="D52" s="1064"/>
      <c r="E52" s="1092" t="s">
        <v>1132</v>
      </c>
      <c r="F52" s="1165"/>
      <c r="I52" s="1571" t="s">
        <v>1267</v>
      </c>
      <c r="J52" s="1572">
        <v>0.09</v>
      </c>
      <c r="K52" s="1571" t="s">
        <v>1268</v>
      </c>
      <c r="L52" s="1572"/>
      <c r="O52" s="1562" t="s">
        <v>832</v>
      </c>
      <c r="P52" s="1553" t="s">
        <v>1269</v>
      </c>
      <c r="Q52" s="1554">
        <f ca="1">J53</f>
        <v>32.08</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32.08</v>
      </c>
      <c r="K53" s="3431" t="s">
        <v>1272</v>
      </c>
      <c r="L53" s="3432"/>
      <c r="O53" s="1552" t="s">
        <v>833</v>
      </c>
      <c r="P53" s="1553" t="s">
        <v>1273</v>
      </c>
      <c r="Q53" s="1554">
        <f ca="1">Q47+Q48</f>
        <v>5913</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2025</v>
      </c>
      <c r="D56" s="1581"/>
      <c r="E56" s="1582"/>
      <c r="F56" s="1574"/>
      <c r="I56" s="1583" t="s">
        <v>1278</v>
      </c>
      <c r="J56" s="1584" t="s">
        <v>3180</v>
      </c>
      <c r="K56" s="1555" t="s">
        <v>1279</v>
      </c>
      <c r="L56" s="1558" t="str">
        <f ca="1">IF(L48&lt;J51,"——",L48-J53)</f>
        <v>——</v>
      </c>
      <c r="O56" s="1552" t="s">
        <v>827</v>
      </c>
      <c r="P56" s="1553" t="s">
        <v>1252</v>
      </c>
      <c r="Q56" s="1554">
        <f ca="1">C40+J29</f>
        <v>5913</v>
      </c>
      <c r="R56" s="1554" t="s">
        <v>1253</v>
      </c>
    </row>
    <row r="57" spans="1:18" s="1518" customFormat="1" ht="24.75" thickBot="1">
      <c r="A57" s="1585"/>
      <c r="B57" s="1061" t="s">
        <v>1202</v>
      </c>
      <c r="C57" s="243">
        <f ca="1">C29</f>
        <v>2774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281</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236</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IF(项目基本情况!B11="自然人","——",IF(D61="按租金收入计税",ROUND(C49*F61/(1+'数据-取费表'!C42),2),IF(D61="按房产原值计税",ROUND(C57*F61*0.7,2),INDIRECT("'数据-取费表'!Aj"&amp;$G$1))))</f>
        <v>233.02</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4">
        <f ca="1">IF(项目基本情况!B11="自然人","——",ROUND(F62*F63/10000,2))</f>
        <v>2.81</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5913</v>
      </c>
      <c r="R62" s="1554" t="s">
        <v>834</v>
      </c>
    </row>
    <row r="63" spans="1:18" s="1518" customFormat="1" ht="13.5" thickBot="1">
      <c r="A63" s="331"/>
      <c r="B63" s="1067"/>
      <c r="C63" s="28"/>
      <c r="D63" s="1077"/>
      <c r="E63" s="1061" t="s">
        <v>1223</v>
      </c>
      <c r="F63" s="308">
        <f t="shared" ca="1" si="0"/>
        <v>18753.7</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ROUND(C57*F64,1)</f>
        <v>41.6</v>
      </c>
      <c r="D64" s="1075" t="s">
        <v>1226</v>
      </c>
      <c r="E64" s="1061" t="s">
        <v>1218</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ROUND(C56*F65,1)</f>
        <v>3</v>
      </c>
      <c r="D65" s="1075" t="s">
        <v>1178</v>
      </c>
      <c r="E65" s="1061" t="s">
        <v>1179</v>
      </c>
      <c r="F65" s="335">
        <f t="shared" ca="1" si="0"/>
        <v>1.5E-3</v>
      </c>
      <c r="I65" s="1596" t="s">
        <v>1303</v>
      </c>
      <c r="J65" s="1597">
        <v>40</v>
      </c>
      <c r="K65" s="1597">
        <v>30</v>
      </c>
      <c r="L65" s="1597">
        <v>50</v>
      </c>
      <c r="M65" s="1599">
        <v>0.02</v>
      </c>
      <c r="O65" s="1552" t="s">
        <v>827</v>
      </c>
      <c r="P65" s="1553" t="s">
        <v>1304</v>
      </c>
      <c r="Q65" s="1554">
        <f ca="1">C40+J29</f>
        <v>5913</v>
      </c>
      <c r="R65" s="1554" t="s">
        <v>1253</v>
      </c>
    </row>
    <row r="66" spans="1:18" s="1518" customFormat="1" ht="16.5" thickBot="1">
      <c r="A66" s="1093" t="s">
        <v>1228</v>
      </c>
      <c r="B66" s="1061" t="s">
        <v>1163</v>
      </c>
      <c r="C66" s="23">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-281</v>
      </c>
      <c r="D67" s="1074" t="s">
        <v>1188</v>
      </c>
      <c r="E67" s="1079"/>
      <c r="F67" s="1080"/>
      <c r="O67" s="1562" t="s">
        <v>829</v>
      </c>
      <c r="P67" s="1553" t="s">
        <v>1286</v>
      </c>
      <c r="Q67" s="1600">
        <f ca="1">L51</f>
        <v>2603</v>
      </c>
      <c r="R67" s="1554" t="s">
        <v>1306</v>
      </c>
    </row>
    <row r="68" spans="1:18" s="1518" customFormat="1" ht="16.5" thickBot="1">
      <c r="A68" s="1058" t="s">
        <v>819</v>
      </c>
      <c r="B68" s="1059" t="s">
        <v>1209</v>
      </c>
      <c r="C68" s="306">
        <f ca="1">ROUND(C67*(1-((1+F70)/(1+F68))^F69)/(F68-F70),0)</f>
        <v>-4445</v>
      </c>
      <c r="D68" s="1076" t="s">
        <v>1193</v>
      </c>
      <c r="E68" s="1061" t="s">
        <v>1194</v>
      </c>
      <c r="F68" s="317">
        <f ca="1">F40</f>
        <v>0.05</v>
      </c>
      <c r="O68" s="1562" t="s">
        <v>830</v>
      </c>
      <c r="P68" s="1601" t="s">
        <v>1307</v>
      </c>
      <c r="Q68" s="1554">
        <f ca="1">ROUND(Q69-Q70*Q71,0)</f>
        <v>131</v>
      </c>
      <c r="R68" s="1554" t="s">
        <v>838</v>
      </c>
    </row>
    <row r="69" spans="1:18" s="1518" customFormat="1" ht="13.5" thickBot="1">
      <c r="A69" s="1062"/>
      <c r="B69" s="1063"/>
      <c r="C69" s="311"/>
      <c r="D69" s="1081" t="s">
        <v>1197</v>
      </c>
      <c r="E69" s="1061" t="s">
        <v>1198</v>
      </c>
      <c r="F69" s="338">
        <f ca="1">F41</f>
        <v>32.08</v>
      </c>
      <c r="O69" s="1562" t="s">
        <v>835</v>
      </c>
      <c r="P69" s="1601" t="s">
        <v>1308</v>
      </c>
      <c r="Q69" s="1554">
        <f ca="1">C39</f>
        <v>293</v>
      </c>
      <c r="R69" s="1554" t="s">
        <v>1253</v>
      </c>
    </row>
    <row r="70" spans="1:18" s="1518" customFormat="1" ht="13.5" thickBot="1">
      <c r="A70" s="1065"/>
      <c r="B70" s="1066"/>
      <c r="C70" s="315"/>
      <c r="D70" s="1077"/>
      <c r="E70" s="1061" t="s">
        <v>1201</v>
      </c>
      <c r="F70" s="1165"/>
      <c r="O70" s="1562" t="s">
        <v>836</v>
      </c>
      <c r="P70" s="1601" t="s">
        <v>1309</v>
      </c>
      <c r="Q70" s="1554">
        <f ca="1">C13</f>
        <v>2025</v>
      </c>
      <c r="R70" s="1554" t="s">
        <v>1253</v>
      </c>
    </row>
    <row r="71" spans="1:18" s="1518" customFormat="1" ht="13.5" thickBot="1">
      <c r="A71" s="1082" t="s">
        <v>820</v>
      </c>
      <c r="B71" s="1083" t="s">
        <v>1211</v>
      </c>
      <c r="C71" s="341">
        <f ca="1">ROUND(C68*10000/F71,0)</f>
        <v>-5315</v>
      </c>
      <c r="D71" s="1084" t="s">
        <v>1212</v>
      </c>
      <c r="E71" s="1085" t="s">
        <v>1213</v>
      </c>
      <c r="F71" s="344">
        <f ca="1">F43</f>
        <v>8363.3700000000008</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162</v>
      </c>
      <c r="D75" s="1518"/>
      <c r="E75" s="1518"/>
      <c r="F75" s="1518"/>
      <c r="K75" s="1536"/>
      <c r="L75" s="1518"/>
      <c r="O75" s="1552" t="s">
        <v>833</v>
      </c>
      <c r="P75" s="1553" t="s">
        <v>1273</v>
      </c>
      <c r="Q75" s="1554">
        <f ca="1">Q65+Q66</f>
        <v>5913</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0.44699999999999995</v>
      </c>
    </row>
    <row r="80" spans="1:18">
      <c r="B80" s="345" t="s">
        <v>1235</v>
      </c>
      <c r="C80" s="279">
        <f ca="1">ROUND(C75/C39,3)</f>
        <v>0.55300000000000005</v>
      </c>
    </row>
    <row r="81" spans="2:3">
      <c r="B81" s="275" t="s">
        <v>1236</v>
      </c>
      <c r="C81" s="243"/>
    </row>
    <row r="82" spans="2:3">
      <c r="B82" s="278" t="s">
        <v>1237</v>
      </c>
      <c r="C82" s="280">
        <f ca="1">1-C83</f>
        <v>0.65799999999999992</v>
      </c>
    </row>
    <row r="83" spans="2:3">
      <c r="B83" s="278" t="s">
        <v>1238</v>
      </c>
      <c r="C83" s="279">
        <f ca="1">ROUND(C13/C40,3)</f>
        <v>0.34200000000000003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33" t="s">
        <v>1127</v>
      </c>
      <c r="C6" s="1186">
        <f ca="1">ROUND(F6*F8*F7*(1-F9),0)</f>
        <v>0</v>
      </c>
      <c r="D6" s="159" t="s">
        <v>2606</v>
      </c>
      <c r="E6" s="307" t="s">
        <v>1129</v>
      </c>
      <c r="F6" s="308">
        <f ca="1">INDIRECT("'数据-取费表'!u"&amp;$G$1)</f>
        <v>0</v>
      </c>
      <c r="G6" s="1518"/>
      <c r="H6" s="1181" t="s">
        <v>822</v>
      </c>
      <c r="I6" s="3433" t="s">
        <v>1127</v>
      </c>
      <c r="J6" s="306">
        <f ca="1">ROUND(M6*M8*M7*(1-M9),0)</f>
        <v>0</v>
      </c>
      <c r="K6" s="1510" t="s">
        <v>2607</v>
      </c>
      <c r="L6" s="307" t="s">
        <v>1129</v>
      </c>
      <c r="M6" s="308">
        <f ca="1">INDIRECT("'数据-取费表'!z"&amp;$G$1)</f>
        <v>0</v>
      </c>
    </row>
    <row r="7" spans="1:37" ht="18" customHeight="1">
      <c r="A7" s="1185"/>
      <c r="B7" s="3434"/>
      <c r="C7" s="1187"/>
      <c r="D7" s="312"/>
      <c r="E7" s="1188" t="s">
        <v>1130</v>
      </c>
      <c r="F7" s="308">
        <f ca="1">IF(INDIRECT("'数据-取费表'!ah"&amp;$G$1)="",INDIRECT("'数据-取费表'!k"&amp;$G$1),INDIRECT("'数据-取费表'!ah"&amp;$G$1))</f>
        <v>0</v>
      </c>
      <c r="G7" s="1518"/>
      <c r="H7" s="309"/>
      <c r="I7" s="3434"/>
      <c r="J7" s="311"/>
      <c r="K7" s="312"/>
      <c r="L7" s="307" t="s">
        <v>1130</v>
      </c>
      <c r="M7" s="308">
        <f ca="1">F7</f>
        <v>0</v>
      </c>
    </row>
    <row r="8" spans="1:37" ht="18" customHeight="1">
      <c r="A8" s="309"/>
      <c r="B8" s="3434"/>
      <c r="C8" s="311"/>
      <c r="D8" s="312"/>
      <c r="E8" s="307" t="s">
        <v>1131</v>
      </c>
      <c r="F8" s="308">
        <f ca="1">INDIRECT("'数据-取费表'!ai"&amp;$G$1)</f>
        <v>0</v>
      </c>
      <c r="G8" s="1518"/>
      <c r="H8" s="309"/>
      <c r="I8" s="3434"/>
      <c r="J8" s="311"/>
      <c r="K8" s="312"/>
      <c r="L8" s="307" t="s">
        <v>1131</v>
      </c>
      <c r="M8" s="308">
        <f ca="1">INDIRECT("'数据-取费表'!ai"&amp;$G$1)</f>
        <v>0</v>
      </c>
    </row>
    <row r="9" spans="1:37" ht="18" customHeight="1">
      <c r="A9" s="309"/>
      <c r="B9" s="3435"/>
      <c r="C9" s="311"/>
      <c r="D9" s="312"/>
      <c r="E9" s="307" t="s">
        <v>1132</v>
      </c>
      <c r="F9" s="317">
        <f ca="1">INDIRECT("'数据-取费表'!w"&amp;$G$1)</f>
        <v>0</v>
      </c>
      <c r="G9" s="1518"/>
      <c r="H9" s="309"/>
      <c r="I9" s="3435"/>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3">
        <f ca="1">C29</f>
        <v>0</v>
      </c>
      <c r="K14" s="14"/>
      <c r="L14" s="896"/>
      <c r="M14" s="897"/>
    </row>
    <row r="15" spans="1:37" s="1531" customFormat="1" ht="18" customHeight="1" thickBot="1">
      <c r="A15" s="1093" t="s">
        <v>823</v>
      </c>
      <c r="B15" s="307" t="s">
        <v>1144</v>
      </c>
      <c r="C15" s="23">
        <f ca="1">ROUND(C14*F15,0)</f>
        <v>0</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3">
        <f ca="1">ROUND(F17*(F43+INDIRECT("'数据-取费表'!S"&amp;$G$1)),0)</f>
        <v>0</v>
      </c>
      <c r="D17" s="307" t="s">
        <v>1151</v>
      </c>
      <c r="E17" s="307" t="s">
        <v>1152</v>
      </c>
      <c r="F17" s="25">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0</v>
      </c>
      <c r="D18" s="307" t="s">
        <v>1145</v>
      </c>
      <c r="E18" s="307" t="s">
        <v>1146</v>
      </c>
      <c r="F18" s="327">
        <f>'数据-取费表'!B36</f>
        <v>1.4999999999999999E-2</v>
      </c>
      <c r="G18" s="1530"/>
      <c r="H18" s="1093" t="s">
        <v>821</v>
      </c>
      <c r="I18" s="307" t="s">
        <v>1157</v>
      </c>
      <c r="J18" s="23">
        <f ca="1">ROUND(J6*M18/(1+'数据-取费表'!C42),0)</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0</v>
      </c>
      <c r="D19" s="135" t="s">
        <v>1160</v>
      </c>
      <c r="E19" s="1494"/>
      <c r="F19" s="25"/>
      <c r="G19" s="1518"/>
      <c r="H19" s="1093" t="s">
        <v>823</v>
      </c>
      <c r="I19" s="307" t="s">
        <v>1161</v>
      </c>
      <c r="J19" s="23">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3">
        <f ca="1">ROUND(C19*F20,0)</f>
        <v>0</v>
      </c>
      <c r="D20" s="328" t="s">
        <v>1164</v>
      </c>
      <c r="E20" s="307" t="s">
        <v>1146</v>
      </c>
      <c r="F20" s="327">
        <f>'数据-取费表'!B37</f>
        <v>0.02</v>
      </c>
      <c r="G20" s="1530"/>
      <c r="H20" s="1093" t="s">
        <v>1113</v>
      </c>
      <c r="I20" s="159" t="s">
        <v>1165</v>
      </c>
      <c r="J20" s="24">
        <f ca="1">ROUND(M20*M21,0)</f>
        <v>0</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v>
      </c>
      <c r="D21" s="328" t="s">
        <v>1169</v>
      </c>
      <c r="E21" s="307" t="s">
        <v>1170</v>
      </c>
      <c r="F21" s="327">
        <f>'数据-取费表'!B38</f>
        <v>0.02</v>
      </c>
      <c r="G21" s="1530"/>
      <c r="H21" s="331"/>
      <c r="I21" s="316"/>
      <c r="J21" s="28"/>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单利计息。建造成本、管理费用、销售费用产生的利息。</v>
      </c>
      <c r="E22" s="1494"/>
      <c r="F22" s="25"/>
      <c r="G22" s="1518"/>
      <c r="H22" s="1093" t="s">
        <v>826</v>
      </c>
      <c r="I22" s="307" t="s">
        <v>1173</v>
      </c>
      <c r="J22" s="23">
        <f ca="1">ROUND(J14*M22,0)</f>
        <v>0</v>
      </c>
      <c r="K22" s="1478" t="s">
        <v>1174</v>
      </c>
      <c r="L22" s="307" t="s">
        <v>1146</v>
      </c>
      <c r="M22" s="333">
        <f ca="1">INDIRECT("'数据-取费表'!Ak"&amp;$G$1)</f>
        <v>0</v>
      </c>
    </row>
    <row r="23" spans="1:37" s="1531" customFormat="1" ht="18" customHeight="1">
      <c r="A23" s="1093"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1176</v>
      </c>
      <c r="F23" s="330">
        <f>'数据-取费表'!B20</f>
        <v>1</v>
      </c>
      <c r="G23" s="1530"/>
      <c r="H23" s="1093" t="s">
        <v>862</v>
      </c>
      <c r="I23" s="307" t="s">
        <v>1177</v>
      </c>
      <c r="J23" s="23">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4.0000000000000002E-4</v>
      </c>
      <c r="D24" s="334" t="str">
        <f>IF(F23&lt;=1,"销售费用×利率×(建设周期÷2)","销售费用×((1+利率)^(建设周期÷2)-1)")</f>
        <v>销售费用×利率×(建设周期÷2)</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3"/>
      <c r="D25" s="135" t="s">
        <v>1186</v>
      </c>
      <c r="E25" s="1494"/>
      <c r="F25" s="25"/>
      <c r="G25" s="1518"/>
      <c r="H25" s="1191" t="s">
        <v>818</v>
      </c>
      <c r="I25" s="1206" t="s">
        <v>1187</v>
      </c>
      <c r="J25" s="315">
        <f ca="1">J5-J16</f>
        <v>0</v>
      </c>
      <c r="K25" s="1207" t="s">
        <v>1188</v>
      </c>
      <c r="L25" s="1208"/>
      <c r="M25" s="1209"/>
    </row>
    <row r="26" spans="1:37" ht="18" customHeight="1">
      <c r="A26" s="1093" t="s">
        <v>821</v>
      </c>
      <c r="B26" s="307" t="s">
        <v>1189</v>
      </c>
      <c r="C26" s="23">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3">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IF(项目基本情况!B11="自然人","——",ROUND(C6*F32/(1+'数据-取费表'!C42),0))</f>
        <v>0</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4">
        <f ca="1">IF(项目基本情况!B11="自然人","——",ROUND(F34*F35,))</f>
        <v>0</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0</v>
      </c>
      <c r="G35" s="1518"/>
      <c r="H35" s="2875"/>
      <c r="I35" s="1532"/>
      <c r="J35" s="1533"/>
      <c r="K35" s="2879"/>
      <c r="L35" s="2878"/>
      <c r="M35" s="2878"/>
    </row>
    <row r="36" spans="1:18" ht="18" customHeight="1">
      <c r="A36" s="1214" t="s">
        <v>826</v>
      </c>
      <c r="B36" s="307" t="s">
        <v>1173</v>
      </c>
      <c r="C36" s="23">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3">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431" t="s">
        <v>1272</v>
      </c>
      <c r="L53" s="3432"/>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IF(项目基本情况!B11="自然人","——",ROUND(C48*F60/(1+'数据-取费表'!C42),0))</f>
        <v>0</v>
      </c>
      <c r="D60" s="1075" t="s">
        <v>1158</v>
      </c>
      <c r="E60" s="1061" t="s">
        <v>1146</v>
      </c>
      <c r="F60" s="336">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4">
        <f ca="1">IF(项目基本情况!B11="自然人","——",ROUND(F62*F63,0))</f>
        <v>0</v>
      </c>
      <c r="D62" s="1076" t="s">
        <v>1221</v>
      </c>
      <c r="E62" s="1061" t="s">
        <v>1222</v>
      </c>
      <c r="F62" s="330">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8"/>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3">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19" t="s">
        <v>2820</v>
      </c>
      <c r="B2" s="3023" t="e">
        <f>C40</f>
        <v>#DIV/0!</v>
      </c>
      <c r="C2" s="3024" t="s">
        <v>2821</v>
      </c>
      <c r="D2" s="3024"/>
      <c r="E2" s="3025"/>
      <c r="F2" s="3026"/>
      <c r="G2" s="3027"/>
      <c r="H2" s="3028"/>
      <c r="I2" s="3029"/>
      <c r="J2" s="3436" t="s">
        <v>2822</v>
      </c>
      <c r="K2" s="3437"/>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38" t="s">
        <v>2832</v>
      </c>
      <c r="K3" s="3439"/>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38" t="s">
        <v>2834</v>
      </c>
      <c r="K4" s="3439"/>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40" t="s">
        <v>2838</v>
      </c>
      <c r="B6" s="3441"/>
      <c r="C6" s="3442"/>
      <c r="D6" s="3050"/>
      <c r="E6" s="3051"/>
      <c r="F6" s="3052"/>
      <c r="G6" s="3053"/>
      <c r="H6" s="3028"/>
      <c r="I6" s="3029"/>
      <c r="J6" s="3443">
        <v>1</v>
      </c>
      <c r="K6" s="3444"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43"/>
      <c r="K7" s="3445"/>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47" t="s">
        <v>2852</v>
      </c>
      <c r="C8" s="3448"/>
      <c r="D8" s="3069" t="s">
        <v>2853</v>
      </c>
      <c r="E8" s="3070" t="s">
        <v>2854</v>
      </c>
      <c r="F8" s="3071" t="s">
        <v>2855</v>
      </c>
      <c r="G8" s="3072"/>
      <c r="H8" s="3028"/>
      <c r="I8" s="3029"/>
      <c r="J8" s="3443"/>
      <c r="K8" s="3445"/>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47" t="s">
        <v>2858</v>
      </c>
      <c r="C9" s="3448"/>
      <c r="D9" s="3069">
        <f>ROUND(D6*E9,0)</f>
        <v>0</v>
      </c>
      <c r="E9" s="3073"/>
      <c r="F9" s="3074" t="s">
        <v>2859</v>
      </c>
      <c r="G9" s="3053"/>
      <c r="H9" s="3028"/>
      <c r="I9" s="3029"/>
      <c r="J9" s="3443"/>
      <c r="K9" s="3445"/>
      <c r="L9" s="3063" t="s">
        <v>2860</v>
      </c>
      <c r="M9" s="3064"/>
      <c r="N9" s="3040"/>
      <c r="O9" s="3065"/>
      <c r="P9" s="3065"/>
      <c r="Q9" s="3066">
        <v>365</v>
      </c>
      <c r="R9" s="3067">
        <f t="shared" si="0"/>
        <v>0</v>
      </c>
      <c r="S9" s="3021"/>
      <c r="T9" s="3021"/>
      <c r="U9" s="3021"/>
      <c r="V9" s="3029"/>
    </row>
    <row r="10" spans="1:22" s="3033" customFormat="1" ht="13.15" customHeight="1">
      <c r="A10" s="3068">
        <v>2</v>
      </c>
      <c r="B10" s="3447" t="s">
        <v>2861</v>
      </c>
      <c r="C10" s="3448"/>
      <c r="D10" s="3069">
        <f>ROUND(D6*E10,0)</f>
        <v>0</v>
      </c>
      <c r="E10" s="3073"/>
      <c r="F10" s="3074" t="s">
        <v>2862</v>
      </c>
      <c r="G10" s="3053"/>
      <c r="H10" s="3028"/>
      <c r="I10" s="3029"/>
      <c r="J10" s="3443"/>
      <c r="K10" s="3445"/>
      <c r="L10" s="3063" t="s">
        <v>2863</v>
      </c>
      <c r="M10" s="3064"/>
      <c r="N10" s="3040"/>
      <c r="O10" s="3065"/>
      <c r="P10" s="3065"/>
      <c r="Q10" s="3066">
        <v>365</v>
      </c>
      <c r="R10" s="3067">
        <f t="shared" si="0"/>
        <v>0</v>
      </c>
      <c r="S10" s="3021"/>
      <c r="T10" s="3021"/>
      <c r="U10" s="3021"/>
      <c r="V10" s="3029"/>
    </row>
    <row r="11" spans="1:22" s="3033" customFormat="1" ht="13.15" customHeight="1">
      <c r="A11" s="3068">
        <v>3</v>
      </c>
      <c r="B11" s="3447" t="s">
        <v>2864</v>
      </c>
      <c r="C11" s="3448"/>
      <c r="D11" s="3069">
        <f>D12+D14+D15+D16</f>
        <v>0</v>
      </c>
      <c r="E11" s="3075" t="e">
        <f>D11/D6</f>
        <v>#DIV/0!</v>
      </c>
      <c r="F11" s="3071"/>
      <c r="G11" s="3072"/>
      <c r="H11" s="3028"/>
      <c r="I11" s="3029"/>
      <c r="J11" s="3443"/>
      <c r="K11" s="3445"/>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49" t="s">
        <v>2867</v>
      </c>
      <c r="C12" s="3450"/>
      <c r="D12" s="3077">
        <f>ROUND(D13*1.2%*(1-30%),0)</f>
        <v>0</v>
      </c>
      <c r="E12" s="3078">
        <v>1.2E-2</v>
      </c>
      <c r="F12" s="3071" t="s">
        <v>2868</v>
      </c>
      <c r="G12" s="3072"/>
      <c r="H12" s="3028"/>
      <c r="I12" s="3029"/>
      <c r="J12" s="3443"/>
      <c r="K12" s="3445"/>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43"/>
      <c r="K13" s="3445"/>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49" t="s">
        <v>2873</v>
      </c>
      <c r="C14" s="3450"/>
      <c r="D14" s="3077">
        <f>ROUND(E14*B5/10000,0)</f>
        <v>0</v>
      </c>
      <c r="E14" s="3066"/>
      <c r="F14" s="3071" t="s">
        <v>2874</v>
      </c>
      <c r="G14" s="3072"/>
      <c r="H14" s="3028"/>
      <c r="I14" s="3029"/>
      <c r="J14" s="3443"/>
      <c r="K14" s="3446"/>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49" t="s">
        <v>2877</v>
      </c>
      <c r="C15" s="3450"/>
      <c r="D15" s="3077">
        <f>ROUND(D6*E15,0)</f>
        <v>0</v>
      </c>
      <c r="E15" s="3078">
        <v>5.5E-2</v>
      </c>
      <c r="F15" s="3071" t="s">
        <v>2878</v>
      </c>
      <c r="G15" s="3053"/>
      <c r="H15" s="3028"/>
      <c r="I15" s="3029"/>
      <c r="J15" s="3443">
        <v>2</v>
      </c>
      <c r="K15" s="3444"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49" t="s">
        <v>2886</v>
      </c>
      <c r="C16" s="3450"/>
      <c r="D16" s="3088">
        <f>D6*E16</f>
        <v>0</v>
      </c>
      <c r="E16" s="3089"/>
      <c r="F16" s="3074" t="s">
        <v>2887</v>
      </c>
      <c r="G16" s="3053"/>
      <c r="H16" s="3028"/>
      <c r="I16" s="3029"/>
      <c r="J16" s="3443"/>
      <c r="K16" s="3445"/>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51" t="s">
        <v>2889</v>
      </c>
      <c r="C17" s="3452"/>
      <c r="D17" s="3091">
        <f>ROUND(D6*E17,0)</f>
        <v>0</v>
      </c>
      <c r="E17" s="3092"/>
      <c r="F17" s="3093" t="s">
        <v>2890</v>
      </c>
      <c r="G17" s="3053"/>
      <c r="H17" s="3028"/>
      <c r="I17" s="3029"/>
      <c r="J17" s="3443"/>
      <c r="K17" s="3445"/>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43"/>
      <c r="K18" s="3445"/>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43"/>
      <c r="K19" s="3446"/>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43">
        <v>3</v>
      </c>
      <c r="K20" s="3444"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43"/>
      <c r="K21" s="3445"/>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43"/>
      <c r="K22" s="3445"/>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43"/>
      <c r="K23" s="3445"/>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43"/>
      <c r="K24" s="3446"/>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53">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454"/>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36" t="s">
        <v>2822</v>
      </c>
      <c r="K32" s="3437"/>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38" t="s">
        <v>2832</v>
      </c>
      <c r="K33" s="3439"/>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38" t="s">
        <v>2834</v>
      </c>
      <c r="K34" s="3439"/>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43">
        <v>1</v>
      </c>
      <c r="K36" s="3444"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43"/>
      <c r="K37" s="3445"/>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43"/>
      <c r="K38" s="3445"/>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43"/>
      <c r="K39" s="3445"/>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43"/>
      <c r="K40" s="3446"/>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53">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54"/>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5913</v>
      </c>
      <c r="C2" s="2008" t="s">
        <v>2099</v>
      </c>
      <c r="D2" s="2009" t="s">
        <v>2100</v>
      </c>
      <c r="E2" s="2782">
        <f>SUM(E6:E13)</f>
        <v>8363.3700000000008</v>
      </c>
      <c r="F2" s="2885"/>
      <c r="G2" s="1624"/>
      <c r="H2" s="1624"/>
      <c r="I2" s="1624"/>
      <c r="J2" s="1624"/>
      <c r="K2" s="1624"/>
      <c r="L2" s="1624"/>
      <c r="M2" s="1624"/>
      <c r="N2" s="1624"/>
      <c r="O2" s="1624"/>
      <c r="P2" s="1624"/>
      <c r="Q2" s="1624"/>
      <c r="R2" s="1624"/>
      <c r="S2" s="1624"/>
    </row>
    <row r="3" spans="1:22" ht="15.75">
      <c r="A3" s="2006" t="s">
        <v>1119</v>
      </c>
      <c r="B3" s="2776">
        <f ca="1">ROUND(B2*10000/E2,0)</f>
        <v>7070</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55" t="s">
        <v>2102</v>
      </c>
      <c r="C5" s="3456"/>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5913</v>
      </c>
      <c r="C6" s="2008" t="s">
        <v>2099</v>
      </c>
      <c r="D6" s="2887"/>
      <c r="E6" s="2781">
        <f>IF(OR(A6=0,F6="否"),0,'数据-取费表'!K6+'数据-取费表'!S6)</f>
        <v>8363.3700000000008</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8363.3700000000008</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475" t="s">
        <v>2116</v>
      </c>
      <c r="D4" s="3476"/>
      <c r="E4" s="3477" t="s">
        <v>2117</v>
      </c>
      <c r="F4" s="3478"/>
      <c r="G4" s="3475" t="s">
        <v>2118</v>
      </c>
      <c r="H4" s="3476"/>
      <c r="I4" s="3475" t="s">
        <v>2119</v>
      </c>
      <c r="J4" s="3476"/>
      <c r="K4" s="2025" t="s">
        <v>2120</v>
      </c>
      <c r="L4" s="2893"/>
      <c r="M4" s="2894"/>
      <c r="N4" s="2894"/>
      <c r="O4" s="2894"/>
      <c r="P4" s="3479" t="s">
        <v>2121</v>
      </c>
      <c r="Q4" s="3480"/>
      <c r="R4" s="3462" t="s">
        <v>2117</v>
      </c>
      <c r="S4" s="3463"/>
      <c r="T4" s="3462" t="s">
        <v>2118</v>
      </c>
      <c r="U4" s="3463"/>
      <c r="V4" s="3487" t="s">
        <v>2119</v>
      </c>
      <c r="W4" s="3487"/>
      <c r="X4" s="1489"/>
      <c r="Y4" s="3462" t="s">
        <v>2121</v>
      </c>
      <c r="Z4" s="3463"/>
      <c r="AA4" s="3457" t="s">
        <v>2117</v>
      </c>
      <c r="AB4" s="3457" t="s">
        <v>2118</v>
      </c>
      <c r="AC4" s="3457" t="s">
        <v>2119</v>
      </c>
    </row>
    <row r="5" spans="1:29" ht="15">
      <c r="A5" s="363"/>
      <c r="B5" s="364"/>
      <c r="C5" s="3468" t="s">
        <v>2122</v>
      </c>
      <c r="D5" s="3469"/>
      <c r="E5" s="3466" t="s">
        <v>2123</v>
      </c>
      <c r="F5" s="3467"/>
      <c r="G5" s="3468" t="s">
        <v>2124</v>
      </c>
      <c r="H5" s="3469"/>
      <c r="I5" s="3468" t="s">
        <v>2125</v>
      </c>
      <c r="J5" s="3469"/>
      <c r="K5" s="2026"/>
      <c r="L5" s="2893"/>
      <c r="M5" s="2894"/>
      <c r="N5" s="2894"/>
      <c r="O5" s="2894"/>
      <c r="P5" s="3481"/>
      <c r="Q5" s="3482"/>
      <c r="R5" s="3464"/>
      <c r="S5" s="3465"/>
      <c r="T5" s="3464"/>
      <c r="U5" s="3465"/>
      <c r="V5" s="3487"/>
      <c r="W5" s="3487"/>
      <c r="X5" s="1489"/>
      <c r="Y5" s="3464"/>
      <c r="Z5" s="3465"/>
      <c r="AA5" s="3458"/>
      <c r="AB5" s="3458"/>
      <c r="AC5" s="3458"/>
    </row>
    <row r="6" spans="1:29" ht="15.75" thickBot="1">
      <c r="A6" s="365"/>
      <c r="B6" s="366"/>
      <c r="C6" s="3470" t="s">
        <v>2126</v>
      </c>
      <c r="D6" s="3471"/>
      <c r="E6" s="3472" t="s">
        <v>2126</v>
      </c>
      <c r="F6" s="3473"/>
      <c r="G6" s="3470" t="s">
        <v>2126</v>
      </c>
      <c r="H6" s="3471"/>
      <c r="I6" s="3470" t="s">
        <v>2126</v>
      </c>
      <c r="J6" s="3471"/>
      <c r="K6" s="2026" t="s">
        <v>2127</v>
      </c>
      <c r="L6" s="2893"/>
      <c r="M6" s="2894"/>
      <c r="N6" s="2894"/>
      <c r="O6" s="2894"/>
      <c r="P6" s="3483"/>
      <c r="Q6" s="3484"/>
      <c r="R6" s="3464"/>
      <c r="S6" s="3465"/>
      <c r="T6" s="3485"/>
      <c r="U6" s="3486"/>
      <c r="V6" s="3487"/>
      <c r="W6" s="3487"/>
      <c r="X6" s="1489"/>
      <c r="Y6" s="3485"/>
      <c r="Z6" s="3486"/>
      <c r="AA6" s="3459"/>
      <c r="AB6" s="3459"/>
      <c r="AC6" s="3459"/>
    </row>
    <row r="7" spans="1:29" s="112" customFormat="1" ht="15.75" thickBot="1">
      <c r="A7" s="367" t="s">
        <v>2128</v>
      </c>
      <c r="B7" s="368"/>
      <c r="C7" s="369">
        <f>'数据-取费表'!B2</f>
        <v>44677</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460" t="s">
        <v>2129</v>
      </c>
      <c r="Q7" s="3488"/>
      <c r="R7" s="709" t="s">
        <v>23</v>
      </c>
      <c r="S7" s="710">
        <f t="shared" ref="S7:S15" si="0">F7</f>
        <v>0</v>
      </c>
      <c r="T7" s="709" t="s">
        <v>23</v>
      </c>
      <c r="U7" s="710">
        <f t="shared" ref="U7:U15" si="1">H7</f>
        <v>0</v>
      </c>
      <c r="V7" s="709" t="s">
        <v>23</v>
      </c>
      <c r="W7" s="710">
        <f t="shared" ref="W7:W15" si="2">J7</f>
        <v>0</v>
      </c>
      <c r="X7" s="711"/>
      <c r="Y7" s="3460" t="s">
        <v>2129</v>
      </c>
      <c r="Z7" s="3461"/>
      <c r="AA7" s="712" t="e">
        <f>D7/F7</f>
        <v>#DIV/0!</v>
      </c>
      <c r="AB7" s="712" t="e">
        <f>D7/H7</f>
        <v>#DIV/0!</v>
      </c>
      <c r="AC7" s="712" t="e">
        <f>D7/J7</f>
        <v>#DIV/0!</v>
      </c>
    </row>
    <row r="8" spans="1:29" s="112"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460" t="s">
        <v>2132</v>
      </c>
      <c r="Q8" s="3461"/>
      <c r="R8" s="709" t="s">
        <v>23</v>
      </c>
      <c r="S8" s="710">
        <f t="shared" si="0"/>
        <v>0</v>
      </c>
      <c r="T8" s="709" t="s">
        <v>23</v>
      </c>
      <c r="U8" s="710">
        <f t="shared" si="1"/>
        <v>0</v>
      </c>
      <c r="V8" s="709" t="s">
        <v>23</v>
      </c>
      <c r="W8" s="710">
        <f t="shared" si="2"/>
        <v>0</v>
      </c>
      <c r="X8" s="711"/>
      <c r="Y8" s="3460" t="s">
        <v>2132</v>
      </c>
      <c r="Z8" s="3461"/>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474" t="s">
        <v>2135</v>
      </c>
      <c r="Q9" s="1477" t="str">
        <f t="shared" ref="Q9:Q15" si="6">B9</f>
        <v>用途</v>
      </c>
      <c r="R9" s="709" t="s">
        <v>17</v>
      </c>
      <c r="S9" s="710">
        <f t="shared" si="0"/>
        <v>100</v>
      </c>
      <c r="T9" s="709" t="s">
        <v>17</v>
      </c>
      <c r="U9" s="710">
        <f t="shared" si="1"/>
        <v>100</v>
      </c>
      <c r="V9" s="709" t="s">
        <v>17</v>
      </c>
      <c r="W9" s="710">
        <f t="shared" si="2"/>
        <v>100</v>
      </c>
      <c r="X9" s="711"/>
      <c r="Y9" s="340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474"/>
      <c r="Q10" s="1477" t="str">
        <f t="shared" si="6"/>
        <v>土地使用年限（年）</v>
      </c>
      <c r="R10" s="709" t="s">
        <v>17</v>
      </c>
      <c r="S10" s="710">
        <f t="shared" si="0"/>
        <v>100</v>
      </c>
      <c r="T10" s="709" t="s">
        <v>17</v>
      </c>
      <c r="U10" s="710">
        <f t="shared" si="1"/>
        <v>100</v>
      </c>
      <c r="V10" s="709" t="s">
        <v>17</v>
      </c>
      <c r="W10" s="710">
        <f t="shared" si="2"/>
        <v>100</v>
      </c>
      <c r="X10" s="711"/>
      <c r="Y10" s="3404"/>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474"/>
      <c r="Q11" s="1477" t="str">
        <f t="shared" si="6"/>
        <v>容积率</v>
      </c>
      <c r="R11" s="709" t="s">
        <v>21</v>
      </c>
      <c r="S11" s="710" t="e">
        <f t="shared" si="0"/>
        <v>#N/A</v>
      </c>
      <c r="T11" s="709" t="s">
        <v>21</v>
      </c>
      <c r="U11" s="710" t="e">
        <f t="shared" si="1"/>
        <v>#N/A</v>
      </c>
      <c r="V11" s="709" t="s">
        <v>21</v>
      </c>
      <c r="W11" s="710" t="e">
        <f t="shared" si="2"/>
        <v>#N/A</v>
      </c>
      <c r="X11" s="711"/>
      <c r="Y11" s="3404"/>
      <c r="Z11" s="54"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474"/>
      <c r="Q12" s="1477">
        <f t="shared" si="6"/>
        <v>111</v>
      </c>
      <c r="R12" s="709" t="s">
        <v>21</v>
      </c>
      <c r="S12" s="710">
        <f t="shared" si="0"/>
        <v>100</v>
      </c>
      <c r="T12" s="709" t="s">
        <v>21</v>
      </c>
      <c r="U12" s="710">
        <f t="shared" si="1"/>
        <v>100</v>
      </c>
      <c r="V12" s="709" t="s">
        <v>21</v>
      </c>
      <c r="W12" s="710">
        <f t="shared" si="2"/>
        <v>100</v>
      </c>
      <c r="X12" s="711"/>
      <c r="Y12" s="3404"/>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474"/>
      <c r="Q13" s="1477">
        <f t="shared" si="6"/>
        <v>111</v>
      </c>
      <c r="R13" s="709" t="s">
        <v>21</v>
      </c>
      <c r="S13" s="710">
        <f t="shared" si="0"/>
        <v>100</v>
      </c>
      <c r="T13" s="709" t="s">
        <v>21</v>
      </c>
      <c r="U13" s="710">
        <f t="shared" si="1"/>
        <v>100</v>
      </c>
      <c r="V13" s="709" t="s">
        <v>21</v>
      </c>
      <c r="W13" s="710">
        <f t="shared" si="2"/>
        <v>100</v>
      </c>
      <c r="X13" s="711"/>
      <c r="Y13" s="3404"/>
      <c r="Z13" s="54">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474"/>
      <c r="Q14" s="1477">
        <f t="shared" si="6"/>
        <v>111</v>
      </c>
      <c r="R14" s="709" t="s">
        <v>21</v>
      </c>
      <c r="S14" s="710">
        <f t="shared" si="0"/>
        <v>100</v>
      </c>
      <c r="T14" s="709" t="s">
        <v>21</v>
      </c>
      <c r="U14" s="710">
        <f t="shared" si="1"/>
        <v>100</v>
      </c>
      <c r="V14" s="709" t="s">
        <v>21</v>
      </c>
      <c r="W14" s="710">
        <f t="shared" si="2"/>
        <v>100</v>
      </c>
      <c r="X14" s="711"/>
      <c r="Y14" s="3404"/>
      <c r="Z14" s="54">
        <f t="shared" si="7"/>
        <v>111</v>
      </c>
      <c r="AA14" s="712">
        <f t="shared" si="3"/>
        <v>1</v>
      </c>
      <c r="AB14" s="712">
        <f t="shared" si="4"/>
        <v>1</v>
      </c>
      <c r="AC14" s="712">
        <f t="shared" si="5"/>
        <v>1</v>
      </c>
    </row>
    <row r="15" spans="1:29" ht="99.75">
      <c r="A15" s="398" t="s">
        <v>2139</v>
      </c>
      <c r="B15" s="64"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501" t="s">
        <v>2140</v>
      </c>
      <c r="Q15" s="1486" t="str">
        <f t="shared" si="6"/>
        <v>居住社区成熟度</v>
      </c>
      <c r="R15" s="713" t="s">
        <v>21</v>
      </c>
      <c r="S15" s="714">
        <f t="shared" si="0"/>
        <v>100</v>
      </c>
      <c r="T15" s="713" t="s">
        <v>21</v>
      </c>
      <c r="U15" s="714">
        <f t="shared" si="1"/>
        <v>100</v>
      </c>
      <c r="V15" s="713" t="s">
        <v>21</v>
      </c>
      <c r="W15" s="714">
        <f t="shared" si="2"/>
        <v>100</v>
      </c>
      <c r="X15" s="1489"/>
      <c r="Y15" s="3494"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502"/>
      <c r="Q16" s="1486"/>
      <c r="R16" s="713"/>
      <c r="S16" s="714"/>
      <c r="T16" s="713"/>
      <c r="U16" s="714"/>
      <c r="V16" s="713"/>
      <c r="W16" s="714"/>
      <c r="X16" s="1489"/>
      <c r="Y16" s="3495"/>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502"/>
      <c r="Q17" s="1486" t="str">
        <f>B17</f>
        <v>交通便捷度</v>
      </c>
      <c r="R17" s="713" t="s">
        <v>21</v>
      </c>
      <c r="S17" s="714">
        <f>F17</f>
        <v>100</v>
      </c>
      <c r="T17" s="713" t="s">
        <v>21</v>
      </c>
      <c r="U17" s="714">
        <f>H17</f>
        <v>100</v>
      </c>
      <c r="V17" s="713" t="s">
        <v>21</v>
      </c>
      <c r="W17" s="714">
        <f>J17</f>
        <v>100</v>
      </c>
      <c r="X17" s="1489"/>
      <c r="Y17" s="3495"/>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502"/>
      <c r="Q18" s="1486"/>
      <c r="R18" s="713"/>
      <c r="S18" s="714"/>
      <c r="T18" s="713"/>
      <c r="U18" s="714"/>
      <c r="V18" s="713"/>
      <c r="W18" s="714"/>
      <c r="X18" s="1489"/>
      <c r="Y18" s="3495"/>
      <c r="Z18" s="1490"/>
      <c r="AA18" s="1487">
        <v>1</v>
      </c>
      <c r="AB18" s="1487">
        <v>1</v>
      </c>
      <c r="AC18" s="1487">
        <v>1</v>
      </c>
    </row>
    <row r="19" spans="1:29" ht="42.75">
      <c r="A19" s="386"/>
      <c r="B19" s="409" t="s">
        <v>1703</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502"/>
      <c r="Q19" s="1486" t="str">
        <f>B19</f>
        <v>公共配套设施</v>
      </c>
      <c r="R19" s="713" t="s">
        <v>21</v>
      </c>
      <c r="S19" s="714">
        <f>F19</f>
        <v>100</v>
      </c>
      <c r="T19" s="713" t="s">
        <v>21</v>
      </c>
      <c r="U19" s="714">
        <f>H19</f>
        <v>100</v>
      </c>
      <c r="V19" s="713" t="s">
        <v>21</v>
      </c>
      <c r="W19" s="714">
        <f>J19</f>
        <v>100</v>
      </c>
      <c r="X19" s="1489"/>
      <c r="Y19" s="3495"/>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502"/>
      <c r="Q20" s="1486"/>
      <c r="R20" s="713"/>
      <c r="S20" s="714"/>
      <c r="T20" s="713"/>
      <c r="U20" s="714"/>
      <c r="V20" s="713"/>
      <c r="W20" s="714"/>
      <c r="X20" s="1489"/>
      <c r="Y20" s="3495"/>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502"/>
      <c r="Q21" s="1486" t="str">
        <f>B21</f>
        <v>基础设施水平</v>
      </c>
      <c r="R21" s="713" t="s">
        <v>17</v>
      </c>
      <c r="S21" s="714">
        <f>F21</f>
        <v>100</v>
      </c>
      <c r="T21" s="713" t="s">
        <v>17</v>
      </c>
      <c r="U21" s="714">
        <f>H21</f>
        <v>100</v>
      </c>
      <c r="V21" s="713" t="s">
        <v>17</v>
      </c>
      <c r="W21" s="714">
        <f>J21</f>
        <v>100</v>
      </c>
      <c r="X21" s="1489"/>
      <c r="Y21" s="3495"/>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502"/>
      <c r="Q22" s="1486"/>
      <c r="R22" s="713"/>
      <c r="S22" s="714"/>
      <c r="T22" s="713"/>
      <c r="U22" s="714"/>
      <c r="V22" s="713"/>
      <c r="W22" s="714"/>
      <c r="X22" s="1489"/>
      <c r="Y22" s="3495"/>
      <c r="Z22" s="1490"/>
      <c r="AA22" s="1487">
        <v>1</v>
      </c>
      <c r="AB22" s="1487">
        <v>1</v>
      </c>
      <c r="AC22" s="1487">
        <v>1</v>
      </c>
    </row>
    <row r="23" spans="1:29" ht="57">
      <c r="A23" s="386"/>
      <c r="B23" s="409" t="s">
        <v>1706</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502"/>
      <c r="Q23" s="1486" t="str">
        <f>B23</f>
        <v>自然及人文环境</v>
      </c>
      <c r="R23" s="713" t="s">
        <v>21</v>
      </c>
      <c r="S23" s="714">
        <f>F23</f>
        <v>100</v>
      </c>
      <c r="T23" s="713" t="s">
        <v>21</v>
      </c>
      <c r="U23" s="714">
        <f>H23</f>
        <v>100</v>
      </c>
      <c r="V23" s="713" t="s">
        <v>21</v>
      </c>
      <c r="W23" s="714">
        <f>J23</f>
        <v>100</v>
      </c>
      <c r="X23" s="1489"/>
      <c r="Y23" s="3495"/>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502"/>
      <c r="Q24" s="1486"/>
      <c r="R24" s="713"/>
      <c r="S24" s="714"/>
      <c r="T24" s="713"/>
      <c r="U24" s="714"/>
      <c r="V24" s="713"/>
      <c r="W24" s="714"/>
      <c r="X24" s="1489"/>
      <c r="Y24" s="3495"/>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502"/>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95"/>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502"/>
      <c r="Q26" s="1486" t="str">
        <f t="shared" si="11"/>
        <v>朝向</v>
      </c>
      <c r="R26" s="713" t="s">
        <v>21</v>
      </c>
      <c r="S26" s="714">
        <f t="shared" si="12"/>
        <v>100</v>
      </c>
      <c r="T26" s="713" t="s">
        <v>21</v>
      </c>
      <c r="U26" s="714">
        <f t="shared" si="13"/>
        <v>100</v>
      </c>
      <c r="V26" s="713" t="s">
        <v>21</v>
      </c>
      <c r="W26" s="714">
        <f t="shared" si="14"/>
        <v>100</v>
      </c>
      <c r="X26" s="1489"/>
      <c r="Y26" s="3495"/>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502"/>
      <c r="Q27" s="1477">
        <f t="shared" si="11"/>
        <v>111</v>
      </c>
      <c r="R27" s="709" t="s">
        <v>21</v>
      </c>
      <c r="S27" s="710">
        <f t="shared" si="12"/>
        <v>100</v>
      </c>
      <c r="T27" s="709" t="s">
        <v>21</v>
      </c>
      <c r="U27" s="710">
        <f t="shared" si="13"/>
        <v>100</v>
      </c>
      <c r="V27" s="709" t="s">
        <v>21</v>
      </c>
      <c r="W27" s="710">
        <f t="shared" si="14"/>
        <v>100</v>
      </c>
      <c r="X27" s="711"/>
      <c r="Y27" s="3495"/>
      <c r="Z27" s="54">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502"/>
      <c r="Q28" s="1486">
        <f t="shared" si="11"/>
        <v>111</v>
      </c>
      <c r="R28" s="713" t="s">
        <v>21</v>
      </c>
      <c r="S28" s="714">
        <f t="shared" si="12"/>
        <v>100</v>
      </c>
      <c r="T28" s="713" t="s">
        <v>21</v>
      </c>
      <c r="U28" s="714">
        <f t="shared" si="13"/>
        <v>100</v>
      </c>
      <c r="V28" s="713" t="s">
        <v>21</v>
      </c>
      <c r="W28" s="714">
        <f t="shared" si="14"/>
        <v>100</v>
      </c>
      <c r="X28" s="1489"/>
      <c r="Y28" s="3495"/>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502"/>
      <c r="Q29" s="1486">
        <f t="shared" si="11"/>
        <v>111</v>
      </c>
      <c r="R29" s="713" t="s">
        <v>21</v>
      </c>
      <c r="S29" s="714">
        <f t="shared" si="12"/>
        <v>100</v>
      </c>
      <c r="T29" s="713" t="s">
        <v>21</v>
      </c>
      <c r="U29" s="714">
        <f t="shared" si="13"/>
        <v>100</v>
      </c>
      <c r="V29" s="713" t="s">
        <v>21</v>
      </c>
      <c r="W29" s="714">
        <f t="shared" si="14"/>
        <v>100</v>
      </c>
      <c r="X29" s="1489"/>
      <c r="Y29" s="3495"/>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502"/>
      <c r="Q30" s="1486">
        <f t="shared" si="11"/>
        <v>111</v>
      </c>
      <c r="R30" s="713" t="s">
        <v>21</v>
      </c>
      <c r="S30" s="714">
        <f t="shared" si="12"/>
        <v>100</v>
      </c>
      <c r="T30" s="713" t="s">
        <v>21</v>
      </c>
      <c r="U30" s="714">
        <f t="shared" si="13"/>
        <v>100</v>
      </c>
      <c r="V30" s="713" t="s">
        <v>21</v>
      </c>
      <c r="W30" s="714">
        <f t="shared" si="14"/>
        <v>100</v>
      </c>
      <c r="X30" s="1489"/>
      <c r="Y30" s="3495"/>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502"/>
      <c r="Q31" s="1486">
        <f t="shared" si="11"/>
        <v>111</v>
      </c>
      <c r="R31" s="713" t="s">
        <v>21</v>
      </c>
      <c r="S31" s="714">
        <f t="shared" si="12"/>
        <v>100</v>
      </c>
      <c r="T31" s="713" t="s">
        <v>21</v>
      </c>
      <c r="U31" s="714">
        <f t="shared" si="13"/>
        <v>100</v>
      </c>
      <c r="V31" s="713" t="s">
        <v>21</v>
      </c>
      <c r="W31" s="714">
        <f t="shared" si="14"/>
        <v>100</v>
      </c>
      <c r="X31" s="1489"/>
      <c r="Y31" s="3495"/>
      <c r="Z31" s="1490">
        <f t="shared" si="18"/>
        <v>111</v>
      </c>
      <c r="AA31" s="1487">
        <f t="shared" si="15"/>
        <v>1</v>
      </c>
      <c r="AB31" s="1487">
        <f t="shared" si="16"/>
        <v>1</v>
      </c>
      <c r="AC31" s="1487">
        <f t="shared" si="17"/>
        <v>1</v>
      </c>
    </row>
    <row r="32" spans="1:29" ht="15">
      <c r="A32" s="398" t="s">
        <v>2143</v>
      </c>
      <c r="B32" s="66"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496" t="s">
        <v>2145</v>
      </c>
      <c r="Q32" s="1486" t="str">
        <f t="shared" si="11"/>
        <v>建筑类型</v>
      </c>
      <c r="R32" s="713" t="s">
        <v>21</v>
      </c>
      <c r="S32" s="714">
        <f t="shared" si="12"/>
        <v>100</v>
      </c>
      <c r="T32" s="713" t="s">
        <v>21</v>
      </c>
      <c r="U32" s="714">
        <f t="shared" si="13"/>
        <v>100</v>
      </c>
      <c r="V32" s="713" t="s">
        <v>21</v>
      </c>
      <c r="W32" s="714">
        <f t="shared" si="14"/>
        <v>100</v>
      </c>
      <c r="X32" s="1489"/>
      <c r="Y32" s="3499"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497"/>
      <c r="Q33" s="715" t="str">
        <f t="shared" si="11"/>
        <v>项目建筑规模</v>
      </c>
      <c r="R33" s="716" t="s">
        <v>21</v>
      </c>
      <c r="S33" s="717" t="e">
        <f t="shared" si="12"/>
        <v>#N/A</v>
      </c>
      <c r="T33" s="716" t="s">
        <v>21</v>
      </c>
      <c r="U33" s="717" t="e">
        <f t="shared" si="13"/>
        <v>#N/A</v>
      </c>
      <c r="V33" s="716" t="s">
        <v>21</v>
      </c>
      <c r="W33" s="717" t="e">
        <f t="shared" si="14"/>
        <v>#N/A</v>
      </c>
      <c r="X33" s="718"/>
      <c r="Y33" s="3499"/>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497"/>
      <c r="Q34" s="1486" t="str">
        <f t="shared" si="11"/>
        <v>建筑结构</v>
      </c>
      <c r="R34" s="713" t="s">
        <v>21</v>
      </c>
      <c r="S34" s="714">
        <f t="shared" si="12"/>
        <v>100</v>
      </c>
      <c r="T34" s="713" t="s">
        <v>21</v>
      </c>
      <c r="U34" s="714">
        <f t="shared" si="13"/>
        <v>100</v>
      </c>
      <c r="V34" s="713" t="s">
        <v>21</v>
      </c>
      <c r="W34" s="714">
        <f t="shared" si="14"/>
        <v>100</v>
      </c>
      <c r="X34" s="1489"/>
      <c r="Y34" s="3499"/>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497"/>
      <c r="Q35" s="1486" t="str">
        <f t="shared" si="11"/>
        <v>建筑品质</v>
      </c>
      <c r="R35" s="713" t="s">
        <v>21</v>
      </c>
      <c r="S35" s="714">
        <f t="shared" si="12"/>
        <v>100</v>
      </c>
      <c r="T35" s="713" t="s">
        <v>21</v>
      </c>
      <c r="U35" s="714">
        <f t="shared" si="13"/>
        <v>100</v>
      </c>
      <c r="V35" s="713" t="s">
        <v>21</v>
      </c>
      <c r="W35" s="714">
        <f t="shared" si="14"/>
        <v>100</v>
      </c>
      <c r="X35" s="1489"/>
      <c r="Y35" s="3499"/>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497"/>
      <c r="Q36" s="1486" t="str">
        <f t="shared" si="11"/>
        <v>公共部分装修</v>
      </c>
      <c r="R36" s="713" t="s">
        <v>21</v>
      </c>
      <c r="S36" s="714">
        <f t="shared" si="12"/>
        <v>100</v>
      </c>
      <c r="T36" s="713" t="s">
        <v>21</v>
      </c>
      <c r="U36" s="714">
        <f t="shared" si="13"/>
        <v>100</v>
      </c>
      <c r="V36" s="713" t="s">
        <v>21</v>
      </c>
      <c r="W36" s="714">
        <f t="shared" si="14"/>
        <v>100</v>
      </c>
      <c r="X36" s="1489"/>
      <c r="Y36" s="3499"/>
      <c r="Z36" s="1490" t="str">
        <f t="shared" si="18"/>
        <v>公共部分装修</v>
      </c>
      <c r="AA36" s="1487">
        <f t="shared" si="15"/>
        <v>1</v>
      </c>
      <c r="AB36" s="1487">
        <f t="shared" si="16"/>
        <v>1</v>
      </c>
      <c r="AC36" s="1487">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497"/>
      <c r="Q37" s="1477" t="str">
        <f t="shared" si="11"/>
        <v>成新度</v>
      </c>
      <c r="R37" s="709" t="s">
        <v>21</v>
      </c>
      <c r="S37" s="710" t="e">
        <f t="shared" si="12"/>
        <v>#N/A</v>
      </c>
      <c r="T37" s="709" t="s">
        <v>21</v>
      </c>
      <c r="U37" s="710" t="e">
        <f t="shared" si="13"/>
        <v>#N/A</v>
      </c>
      <c r="V37" s="709" t="s">
        <v>21</v>
      </c>
      <c r="W37" s="710" t="e">
        <f t="shared" si="14"/>
        <v>#N/A</v>
      </c>
      <c r="X37" s="711"/>
      <c r="Y37" s="3499"/>
      <c r="Z37" s="54"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497" t="s">
        <v>2145</v>
      </c>
      <c r="Q38" s="1486" t="str">
        <f t="shared" si="11"/>
        <v>物业管理</v>
      </c>
      <c r="R38" s="713" t="s">
        <v>21</v>
      </c>
      <c r="S38" s="714">
        <f t="shared" si="12"/>
        <v>100</v>
      </c>
      <c r="T38" s="713" t="s">
        <v>21</v>
      </c>
      <c r="U38" s="714">
        <f t="shared" si="13"/>
        <v>100</v>
      </c>
      <c r="V38" s="713" t="s">
        <v>21</v>
      </c>
      <c r="W38" s="714">
        <f t="shared" si="14"/>
        <v>100</v>
      </c>
      <c r="X38" s="1489"/>
      <c r="Y38" s="3499"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497"/>
      <c r="Q39" s="1486" t="str">
        <f t="shared" si="11"/>
        <v>市政基础设施</v>
      </c>
      <c r="R39" s="713" t="s">
        <v>21</v>
      </c>
      <c r="S39" s="714">
        <f t="shared" si="12"/>
        <v>100</v>
      </c>
      <c r="T39" s="713" t="s">
        <v>21</v>
      </c>
      <c r="U39" s="714">
        <f t="shared" si="13"/>
        <v>100</v>
      </c>
      <c r="V39" s="713" t="s">
        <v>21</v>
      </c>
      <c r="W39" s="714">
        <f t="shared" si="14"/>
        <v>100</v>
      </c>
      <c r="X39" s="1489"/>
      <c r="Y39" s="3499"/>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497"/>
      <c r="Q40" s="1486" t="str">
        <f t="shared" si="11"/>
        <v>房型</v>
      </c>
      <c r="R40" s="713" t="s">
        <v>21</v>
      </c>
      <c r="S40" s="714">
        <f t="shared" si="12"/>
        <v>100</v>
      </c>
      <c r="T40" s="713" t="s">
        <v>21</v>
      </c>
      <c r="U40" s="714">
        <f t="shared" si="13"/>
        <v>100</v>
      </c>
      <c r="V40" s="713" t="s">
        <v>21</v>
      </c>
      <c r="W40" s="714">
        <f t="shared" si="14"/>
        <v>100</v>
      </c>
      <c r="X40" s="1489"/>
      <c r="Y40" s="3499"/>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497"/>
      <c r="Q41" s="715" t="str">
        <f t="shared" si="11"/>
        <v>单套/主力户型建筑面积</v>
      </c>
      <c r="R41" s="716" t="s">
        <v>21</v>
      </c>
      <c r="S41" s="717">
        <f t="shared" si="12"/>
        <v>100</v>
      </c>
      <c r="T41" s="716" t="s">
        <v>21</v>
      </c>
      <c r="U41" s="717">
        <f t="shared" si="13"/>
        <v>100</v>
      </c>
      <c r="V41" s="716" t="s">
        <v>21</v>
      </c>
      <c r="W41" s="717">
        <f t="shared" si="14"/>
        <v>100</v>
      </c>
      <c r="X41" s="718"/>
      <c r="Y41" s="3499"/>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497"/>
      <c r="Q42" s="1486" t="str">
        <f t="shared" si="11"/>
        <v>内部装修</v>
      </c>
      <c r="R42" s="713" t="s">
        <v>21</v>
      </c>
      <c r="S42" s="714">
        <f t="shared" si="12"/>
        <v>100</v>
      </c>
      <c r="T42" s="713" t="s">
        <v>21</v>
      </c>
      <c r="U42" s="714">
        <f t="shared" si="13"/>
        <v>100</v>
      </c>
      <c r="V42" s="713" t="s">
        <v>21</v>
      </c>
      <c r="W42" s="714">
        <f t="shared" si="14"/>
        <v>100</v>
      </c>
      <c r="X42" s="1489"/>
      <c r="Y42" s="3499"/>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497"/>
      <c r="Q43" s="1486" t="str">
        <f t="shared" si="11"/>
        <v>内部装修维护情况</v>
      </c>
      <c r="R43" s="713" t="s">
        <v>21</v>
      </c>
      <c r="S43" s="714">
        <f t="shared" si="12"/>
        <v>100</v>
      </c>
      <c r="T43" s="713" t="s">
        <v>21</v>
      </c>
      <c r="U43" s="714">
        <f t="shared" si="13"/>
        <v>100</v>
      </c>
      <c r="V43" s="713" t="s">
        <v>21</v>
      </c>
      <c r="W43" s="714">
        <f t="shared" si="14"/>
        <v>100</v>
      </c>
      <c r="X43" s="1489"/>
      <c r="Y43" s="3499"/>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497"/>
      <c r="Q44" s="1477">
        <f t="shared" si="11"/>
        <v>111</v>
      </c>
      <c r="R44" s="709" t="s">
        <v>21</v>
      </c>
      <c r="S44" s="710">
        <f t="shared" si="12"/>
        <v>100</v>
      </c>
      <c r="T44" s="709" t="s">
        <v>21</v>
      </c>
      <c r="U44" s="710">
        <f t="shared" si="13"/>
        <v>100</v>
      </c>
      <c r="V44" s="709" t="s">
        <v>21</v>
      </c>
      <c r="W44" s="710">
        <f t="shared" si="14"/>
        <v>100</v>
      </c>
      <c r="X44" s="711"/>
      <c r="Y44" s="3499"/>
      <c r="Z44" s="54">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497"/>
      <c r="Q45" s="1486">
        <f t="shared" si="11"/>
        <v>111</v>
      </c>
      <c r="R45" s="713" t="s">
        <v>21</v>
      </c>
      <c r="S45" s="714">
        <f t="shared" si="12"/>
        <v>100</v>
      </c>
      <c r="T45" s="713" t="s">
        <v>21</v>
      </c>
      <c r="U45" s="714">
        <f t="shared" si="13"/>
        <v>100</v>
      </c>
      <c r="V45" s="713" t="s">
        <v>21</v>
      </c>
      <c r="W45" s="714">
        <f t="shared" si="14"/>
        <v>100</v>
      </c>
      <c r="X45" s="1489"/>
      <c r="Y45" s="3499"/>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498"/>
      <c r="Q46" s="1486">
        <f t="shared" si="11"/>
        <v>111</v>
      </c>
      <c r="R46" s="713" t="s">
        <v>20</v>
      </c>
      <c r="S46" s="714">
        <f t="shared" si="12"/>
        <v>100</v>
      </c>
      <c r="T46" s="713" t="s">
        <v>20</v>
      </c>
      <c r="U46" s="714">
        <f t="shared" si="13"/>
        <v>100</v>
      </c>
      <c r="V46" s="713" t="s">
        <v>20</v>
      </c>
      <c r="W46" s="714">
        <f t="shared" si="14"/>
        <v>100</v>
      </c>
      <c r="X46" s="1489"/>
      <c r="Y46" s="3500"/>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492" t="str">
        <f>A47</f>
        <v>成交单价（元/平方米）</v>
      </c>
      <c r="Q47" s="3492"/>
      <c r="R47" s="3493">
        <f>E47</f>
        <v>0</v>
      </c>
      <c r="S47" s="3493"/>
      <c r="T47" s="3493">
        <f>G47</f>
        <v>0</v>
      </c>
      <c r="U47" s="3493"/>
      <c r="V47" s="3493">
        <f>I47</f>
        <v>0</v>
      </c>
      <c r="W47" s="3493"/>
      <c r="X47" s="698"/>
      <c r="Y47" s="720"/>
      <c r="Z47" s="698"/>
      <c r="AA47" s="698"/>
      <c r="AB47" s="698"/>
      <c r="AC47" s="698"/>
    </row>
    <row r="48" spans="1:29" ht="15.7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2022-4</v>
      </c>
      <c r="D58" s="1299">
        <f>EDATE(C58,-1)</f>
        <v>44621</v>
      </c>
      <c r="E58" s="1299">
        <f>EDATE(D58,-1)</f>
        <v>44593</v>
      </c>
      <c r="F58" s="1299">
        <f t="shared" ref="F58:O58" si="19">EDATE(E58,-1)</f>
        <v>44562</v>
      </c>
      <c r="G58" s="1299">
        <f t="shared" si="19"/>
        <v>44531</v>
      </c>
      <c r="H58" s="1299">
        <f t="shared" si="19"/>
        <v>44501</v>
      </c>
      <c r="I58" s="1299">
        <f t="shared" si="19"/>
        <v>44470</v>
      </c>
      <c r="J58" s="1299">
        <f t="shared" si="19"/>
        <v>44440</v>
      </c>
      <c r="K58" s="1299">
        <f t="shared" si="19"/>
        <v>44409</v>
      </c>
      <c r="L58" s="1299">
        <f t="shared" si="19"/>
        <v>44378</v>
      </c>
      <c r="M58" s="1299">
        <f t="shared" si="19"/>
        <v>44348</v>
      </c>
      <c r="N58" s="1299">
        <f t="shared" si="19"/>
        <v>44317</v>
      </c>
      <c r="O58" s="1299">
        <f t="shared" si="19"/>
        <v>44287</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2165</v>
      </c>
      <c r="B60" s="472"/>
      <c r="C60" s="473"/>
      <c r="D60" s="474"/>
      <c r="E60" s="474"/>
      <c r="F60" s="474"/>
      <c r="G60" s="474"/>
      <c r="H60" s="474"/>
      <c r="I60" s="474"/>
      <c r="J60" s="474"/>
      <c r="K60" s="474"/>
      <c r="L60" s="474"/>
      <c r="M60" s="475"/>
      <c r="N60" s="474"/>
      <c r="O60" s="475"/>
      <c r="P60" s="2056"/>
      <c r="Q60" s="460"/>
    </row>
    <row r="61" spans="1:29" s="112" customFormat="1" ht="15">
      <c r="A61" s="477" t="s">
        <v>2166</v>
      </c>
      <c r="B61" s="466"/>
      <c r="C61" s="478" t="s">
        <v>2167</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2190</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2191</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8363.3700000000008</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475" t="s">
        <v>2226</v>
      </c>
      <c r="D4" s="3476"/>
      <c r="E4" s="3477" t="s">
        <v>2227</v>
      </c>
      <c r="F4" s="3478"/>
      <c r="G4" s="3475" t="s">
        <v>2228</v>
      </c>
      <c r="H4" s="3476"/>
      <c r="I4" s="3475" t="s">
        <v>2229</v>
      </c>
      <c r="J4" s="3476"/>
      <c r="K4" s="566" t="s">
        <v>2230</v>
      </c>
      <c r="L4" s="2893"/>
      <c r="M4" s="2894"/>
      <c r="N4" s="2894"/>
      <c r="O4" s="2894"/>
      <c r="P4" s="3479" t="s">
        <v>2231</v>
      </c>
      <c r="Q4" s="3480"/>
      <c r="R4" s="3462" t="s">
        <v>2227</v>
      </c>
      <c r="S4" s="3463"/>
      <c r="T4" s="3462" t="s">
        <v>2228</v>
      </c>
      <c r="U4" s="3463"/>
      <c r="V4" s="3487" t="s">
        <v>2229</v>
      </c>
      <c r="W4" s="3487"/>
      <c r="X4" s="1489"/>
      <c r="Y4" s="3462" t="s">
        <v>2231</v>
      </c>
      <c r="Z4" s="3463"/>
      <c r="AA4" s="3457" t="s">
        <v>2227</v>
      </c>
      <c r="AB4" s="3487" t="s">
        <v>2228</v>
      </c>
      <c r="AC4" s="3457" t="s">
        <v>2229</v>
      </c>
    </row>
    <row r="5" spans="1:29" ht="15">
      <c r="A5" s="363"/>
      <c r="B5" s="364"/>
      <c r="C5" s="3468" t="s">
        <v>2122</v>
      </c>
      <c r="D5" s="3469"/>
      <c r="E5" s="3466" t="s">
        <v>2123</v>
      </c>
      <c r="F5" s="3467"/>
      <c r="G5" s="3468" t="s">
        <v>2124</v>
      </c>
      <c r="H5" s="3469"/>
      <c r="I5" s="3468" t="s">
        <v>2125</v>
      </c>
      <c r="J5" s="3469"/>
      <c r="K5" s="566"/>
      <c r="L5" s="2893"/>
      <c r="M5" s="2894"/>
      <c r="N5" s="2894"/>
      <c r="O5" s="2894"/>
      <c r="P5" s="3481"/>
      <c r="Q5" s="3482"/>
      <c r="R5" s="3464"/>
      <c r="S5" s="3465"/>
      <c r="T5" s="3464"/>
      <c r="U5" s="3465"/>
      <c r="V5" s="3487"/>
      <c r="W5" s="3487"/>
      <c r="X5" s="1489"/>
      <c r="Y5" s="3464"/>
      <c r="Z5" s="3465"/>
      <c r="AA5" s="3458"/>
      <c r="AB5" s="3487"/>
      <c r="AC5" s="3458"/>
    </row>
    <row r="6" spans="1:29" ht="15.75" thickBot="1">
      <c r="A6" s="365"/>
      <c r="B6" s="366"/>
      <c r="C6" s="3470" t="s">
        <v>2126</v>
      </c>
      <c r="D6" s="3471"/>
      <c r="E6" s="3472" t="s">
        <v>2126</v>
      </c>
      <c r="F6" s="3473"/>
      <c r="G6" s="3470" t="s">
        <v>2126</v>
      </c>
      <c r="H6" s="3471"/>
      <c r="I6" s="3470" t="s">
        <v>2126</v>
      </c>
      <c r="J6" s="3471"/>
      <c r="K6" s="566" t="s">
        <v>2127</v>
      </c>
      <c r="L6" s="2893"/>
      <c r="M6" s="2894"/>
      <c r="N6" s="2894"/>
      <c r="O6" s="2894"/>
      <c r="P6" s="3483"/>
      <c r="Q6" s="3484"/>
      <c r="R6" s="3464"/>
      <c r="S6" s="3465"/>
      <c r="T6" s="3485"/>
      <c r="U6" s="3486"/>
      <c r="V6" s="3487"/>
      <c r="W6" s="3487"/>
      <c r="X6" s="1489"/>
      <c r="Y6" s="3485"/>
      <c r="Z6" s="3486"/>
      <c r="AA6" s="3459"/>
      <c r="AB6" s="3487"/>
      <c r="AC6" s="3459"/>
    </row>
    <row r="7" spans="1:29" s="112" customFormat="1" ht="15.75" thickBot="1">
      <c r="A7" s="367" t="s">
        <v>2128</v>
      </c>
      <c r="B7" s="368"/>
      <c r="C7" s="369">
        <f>'数据-取费表'!B2</f>
        <v>44677</v>
      </c>
      <c r="D7" s="370">
        <v>100</v>
      </c>
      <c r="E7" s="371"/>
      <c r="F7" s="372">
        <f>SUMIF(58:58,YEAR(E7)&amp;"-"&amp;MONTH(E7),59:59)</f>
        <v>0</v>
      </c>
      <c r="G7" s="371"/>
      <c r="H7" s="370">
        <f>SUMIF(58:58,YEAR(G7)&amp;"-"&amp;MONTH(G7),59:59)</f>
        <v>0</v>
      </c>
      <c r="I7" s="371"/>
      <c r="J7" s="370">
        <f>SUMIF(58:58,YEAR(I7)&amp;"-"&amp;MONTH(I7),59:59)</f>
        <v>0</v>
      </c>
      <c r="K7" s="567"/>
      <c r="L7" s="2895"/>
      <c r="M7" s="2896"/>
      <c r="N7" s="2896"/>
      <c r="O7" s="2896"/>
      <c r="P7" s="3460" t="s">
        <v>2129</v>
      </c>
      <c r="Q7" s="3488"/>
      <c r="R7" s="709" t="s">
        <v>17</v>
      </c>
      <c r="S7" s="710">
        <f t="shared" ref="S7:S15" si="0">F7</f>
        <v>0</v>
      </c>
      <c r="T7" s="709" t="s">
        <v>17</v>
      </c>
      <c r="U7" s="710">
        <f t="shared" ref="U7:U15" si="1">H7</f>
        <v>0</v>
      </c>
      <c r="V7" s="709" t="s">
        <v>17</v>
      </c>
      <c r="W7" s="710">
        <f t="shared" ref="W7:W15" si="2">J7</f>
        <v>0</v>
      </c>
      <c r="X7" s="711"/>
      <c r="Y7" s="3460" t="s">
        <v>2129</v>
      </c>
      <c r="Z7" s="3461"/>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460" t="s">
        <v>2132</v>
      </c>
      <c r="Q8" s="3461"/>
      <c r="R8" s="709" t="s">
        <v>17</v>
      </c>
      <c r="S8" s="710">
        <f t="shared" si="0"/>
        <v>0</v>
      </c>
      <c r="T8" s="709" t="s">
        <v>17</v>
      </c>
      <c r="U8" s="710">
        <f t="shared" si="1"/>
        <v>0</v>
      </c>
      <c r="V8" s="709" t="s">
        <v>17</v>
      </c>
      <c r="W8" s="710">
        <f t="shared" si="2"/>
        <v>0</v>
      </c>
      <c r="X8" s="711"/>
      <c r="Y8" s="3460" t="s">
        <v>2132</v>
      </c>
      <c r="Z8" s="3461"/>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474" t="s">
        <v>2135</v>
      </c>
      <c r="Q9" s="1477" t="str">
        <f t="shared" ref="Q9:Q15" si="6">B9</f>
        <v>用途</v>
      </c>
      <c r="R9" s="709" t="s">
        <v>17</v>
      </c>
      <c r="S9" s="710">
        <f t="shared" si="0"/>
        <v>100</v>
      </c>
      <c r="T9" s="709" t="s">
        <v>17</v>
      </c>
      <c r="U9" s="710">
        <f t="shared" si="1"/>
        <v>100</v>
      </c>
      <c r="V9" s="709" t="s">
        <v>17</v>
      </c>
      <c r="W9" s="710">
        <f t="shared" si="2"/>
        <v>100</v>
      </c>
      <c r="X9" s="711"/>
      <c r="Y9" s="340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474"/>
      <c r="Q10" s="1477" t="str">
        <f t="shared" si="6"/>
        <v>土地使用年限（年）</v>
      </c>
      <c r="R10" s="709" t="s">
        <v>17</v>
      </c>
      <c r="S10" s="710">
        <f t="shared" si="0"/>
        <v>100</v>
      </c>
      <c r="T10" s="709" t="s">
        <v>17</v>
      </c>
      <c r="U10" s="710">
        <f t="shared" si="1"/>
        <v>100</v>
      </c>
      <c r="V10" s="709" t="s">
        <v>17</v>
      </c>
      <c r="W10" s="710">
        <f t="shared" si="2"/>
        <v>100</v>
      </c>
      <c r="X10" s="711"/>
      <c r="Y10" s="3404"/>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474"/>
      <c r="Q11" s="1477" t="str">
        <f t="shared" si="6"/>
        <v>容积率</v>
      </c>
      <c r="R11" s="709" t="s">
        <v>17</v>
      </c>
      <c r="S11" s="710" t="e">
        <f t="shared" si="0"/>
        <v>#N/A</v>
      </c>
      <c r="T11" s="709" t="s">
        <v>17</v>
      </c>
      <c r="U11" s="710" t="e">
        <f t="shared" si="1"/>
        <v>#N/A</v>
      </c>
      <c r="V11" s="709" t="s">
        <v>17</v>
      </c>
      <c r="W11" s="710" t="e">
        <f t="shared" si="2"/>
        <v>#N/A</v>
      </c>
      <c r="X11" s="711"/>
      <c r="Y11" s="3404"/>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474"/>
      <c r="Q12" s="1477">
        <f t="shared" si="6"/>
        <v>111</v>
      </c>
      <c r="R12" s="709" t="s">
        <v>17</v>
      </c>
      <c r="S12" s="710">
        <f t="shared" si="0"/>
        <v>100</v>
      </c>
      <c r="T12" s="709" t="s">
        <v>17</v>
      </c>
      <c r="U12" s="710">
        <f t="shared" si="1"/>
        <v>100</v>
      </c>
      <c r="V12" s="709" t="s">
        <v>17</v>
      </c>
      <c r="W12" s="710">
        <f t="shared" si="2"/>
        <v>100</v>
      </c>
      <c r="X12" s="711"/>
      <c r="Y12" s="3404"/>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474"/>
      <c r="Q13" s="1477">
        <f t="shared" si="6"/>
        <v>111</v>
      </c>
      <c r="R13" s="709" t="s">
        <v>17</v>
      </c>
      <c r="S13" s="710">
        <f t="shared" si="0"/>
        <v>100</v>
      </c>
      <c r="T13" s="709" t="s">
        <v>17</v>
      </c>
      <c r="U13" s="710">
        <f t="shared" si="1"/>
        <v>100</v>
      </c>
      <c r="V13" s="709" t="s">
        <v>17</v>
      </c>
      <c r="W13" s="710">
        <f t="shared" si="2"/>
        <v>100</v>
      </c>
      <c r="X13" s="711"/>
      <c r="Y13" s="3404"/>
      <c r="Z13" s="54">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474"/>
      <c r="Q14" s="1477">
        <f t="shared" si="6"/>
        <v>111</v>
      </c>
      <c r="R14" s="709" t="s">
        <v>17</v>
      </c>
      <c r="S14" s="710">
        <f t="shared" si="0"/>
        <v>100</v>
      </c>
      <c r="T14" s="709" t="s">
        <v>17</v>
      </c>
      <c r="U14" s="710">
        <f t="shared" si="1"/>
        <v>100</v>
      </c>
      <c r="V14" s="709" t="s">
        <v>17</v>
      </c>
      <c r="W14" s="710">
        <f t="shared" si="2"/>
        <v>100</v>
      </c>
      <c r="X14" s="711"/>
      <c r="Y14" s="3404"/>
      <c r="Z14" s="54">
        <f t="shared" si="7"/>
        <v>111</v>
      </c>
      <c r="AA14" s="712">
        <f t="shared" si="3"/>
        <v>1</v>
      </c>
      <c r="AB14" s="712">
        <f t="shared" si="4"/>
        <v>1</v>
      </c>
      <c r="AC14" s="712">
        <f t="shared" si="5"/>
        <v>1</v>
      </c>
    </row>
    <row r="15" spans="1:29" ht="71.25">
      <c r="A15" s="398" t="s">
        <v>2139</v>
      </c>
      <c r="B15" s="64"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501" t="s">
        <v>2140</v>
      </c>
      <c r="Q15" s="1486" t="str">
        <f t="shared" si="6"/>
        <v>商业繁华度</v>
      </c>
      <c r="R15" s="713" t="s">
        <v>17</v>
      </c>
      <c r="S15" s="714">
        <f t="shared" si="0"/>
        <v>100</v>
      </c>
      <c r="T15" s="713" t="s">
        <v>17</v>
      </c>
      <c r="U15" s="714">
        <f t="shared" si="1"/>
        <v>100</v>
      </c>
      <c r="V15" s="713" t="s">
        <v>17</v>
      </c>
      <c r="W15" s="714">
        <f t="shared" si="2"/>
        <v>100</v>
      </c>
      <c r="X15" s="1489"/>
      <c r="Y15" s="3494"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502"/>
      <c r="Q16" s="1486"/>
      <c r="R16" s="713"/>
      <c r="S16" s="714"/>
      <c r="T16" s="713"/>
      <c r="U16" s="714"/>
      <c r="V16" s="713"/>
      <c r="W16" s="714"/>
      <c r="X16" s="1489"/>
      <c r="Y16" s="3495"/>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502"/>
      <c r="Q17" s="1486" t="str">
        <f>B17</f>
        <v>交通便捷度</v>
      </c>
      <c r="R17" s="713" t="s">
        <v>17</v>
      </c>
      <c r="S17" s="714">
        <f>F17</f>
        <v>100</v>
      </c>
      <c r="T17" s="713" t="s">
        <v>17</v>
      </c>
      <c r="U17" s="714">
        <f>H17</f>
        <v>100</v>
      </c>
      <c r="V17" s="713" t="s">
        <v>17</v>
      </c>
      <c r="W17" s="714">
        <f>J17</f>
        <v>100</v>
      </c>
      <c r="X17" s="1489"/>
      <c r="Y17" s="3495"/>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502"/>
      <c r="Q18" s="1486"/>
      <c r="R18" s="713"/>
      <c r="S18" s="714"/>
      <c r="T18" s="713"/>
      <c r="U18" s="714"/>
      <c r="V18" s="713"/>
      <c r="W18" s="714"/>
      <c r="X18" s="1489"/>
      <c r="Y18" s="3495"/>
      <c r="Z18" s="1490"/>
      <c r="AA18" s="1487">
        <v>1</v>
      </c>
      <c r="AB18" s="1487">
        <v>1</v>
      </c>
      <c r="AC18" s="1487">
        <v>1</v>
      </c>
    </row>
    <row r="19" spans="1:29" ht="42.75">
      <c r="A19" s="386"/>
      <c r="B19" s="409" t="s">
        <v>2234</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502"/>
      <c r="Q19" s="1486" t="str">
        <f>B19</f>
        <v>公共配套设施</v>
      </c>
      <c r="R19" s="713" t="s">
        <v>17</v>
      </c>
      <c r="S19" s="714">
        <f>F19</f>
        <v>100</v>
      </c>
      <c r="T19" s="713" t="s">
        <v>17</v>
      </c>
      <c r="U19" s="714">
        <f>H19</f>
        <v>100</v>
      </c>
      <c r="V19" s="713" t="s">
        <v>17</v>
      </c>
      <c r="W19" s="714">
        <f>J19</f>
        <v>100</v>
      </c>
      <c r="X19" s="1489"/>
      <c r="Y19" s="3495"/>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502"/>
      <c r="Q20" s="1486"/>
      <c r="R20" s="713"/>
      <c r="S20" s="714"/>
      <c r="T20" s="713"/>
      <c r="U20" s="714"/>
      <c r="V20" s="713"/>
      <c r="W20" s="714"/>
      <c r="X20" s="1489"/>
      <c r="Y20" s="3495"/>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502"/>
      <c r="Q21" s="1486" t="str">
        <f>B21</f>
        <v>基础设施水平</v>
      </c>
      <c r="R21" s="713" t="s">
        <v>17</v>
      </c>
      <c r="S21" s="714">
        <f>F21</f>
        <v>100</v>
      </c>
      <c r="T21" s="713" t="s">
        <v>17</v>
      </c>
      <c r="U21" s="714">
        <f>H21</f>
        <v>100</v>
      </c>
      <c r="V21" s="713" t="s">
        <v>17</v>
      </c>
      <c r="W21" s="714">
        <f>J21</f>
        <v>100</v>
      </c>
      <c r="X21" s="1489"/>
      <c r="Y21" s="3495"/>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502"/>
      <c r="Q22" s="1486"/>
      <c r="R22" s="713"/>
      <c r="S22" s="714"/>
      <c r="T22" s="713"/>
      <c r="U22" s="714"/>
      <c r="V22" s="713"/>
      <c r="W22" s="714"/>
      <c r="X22" s="1489"/>
      <c r="Y22" s="3495"/>
      <c r="Z22" s="1490"/>
      <c r="AA22" s="1487">
        <v>1</v>
      </c>
      <c r="AB22" s="1487">
        <v>1</v>
      </c>
      <c r="AC22" s="1487">
        <v>1</v>
      </c>
    </row>
    <row r="23" spans="1:29" ht="57">
      <c r="A23" s="386"/>
      <c r="B23" s="409" t="s">
        <v>1706</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502"/>
      <c r="Q23" s="1486" t="str">
        <f>B23</f>
        <v>自然及人文环境</v>
      </c>
      <c r="R23" s="713" t="s">
        <v>17</v>
      </c>
      <c r="S23" s="714">
        <f>F23</f>
        <v>100</v>
      </c>
      <c r="T23" s="713" t="s">
        <v>17</v>
      </c>
      <c r="U23" s="714">
        <f>H23</f>
        <v>100</v>
      </c>
      <c r="V23" s="713" t="s">
        <v>17</v>
      </c>
      <c r="W23" s="714">
        <f>J23</f>
        <v>100</v>
      </c>
      <c r="X23" s="1489"/>
      <c r="Y23" s="3495"/>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502"/>
      <c r="Q24" s="1486"/>
      <c r="R24" s="713"/>
      <c r="S24" s="714"/>
      <c r="T24" s="713"/>
      <c r="U24" s="714"/>
      <c r="V24" s="713"/>
      <c r="W24" s="714"/>
      <c r="X24" s="1489"/>
      <c r="Y24" s="3495"/>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502"/>
      <c r="Q25" s="1486" t="str">
        <f t="shared" ref="Q25:Q46" si="11">B25</f>
        <v>临街状况</v>
      </c>
      <c r="R25" s="713" t="s">
        <v>17</v>
      </c>
      <c r="S25" s="714">
        <f>F25</f>
        <v>100</v>
      </c>
      <c r="T25" s="713" t="s">
        <v>17</v>
      </c>
      <c r="U25" s="714">
        <f>H25</f>
        <v>100</v>
      </c>
      <c r="V25" s="713" t="s">
        <v>17</v>
      </c>
      <c r="W25" s="714">
        <f>J25</f>
        <v>100</v>
      </c>
      <c r="X25" s="1489"/>
      <c r="Y25" s="3495"/>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502"/>
      <c r="Q26" s="1486" t="str">
        <f t="shared" si="11"/>
        <v>平面位置/可视性</v>
      </c>
      <c r="R26" s="713" t="s">
        <v>17</v>
      </c>
      <c r="S26" s="714">
        <f>F26</f>
        <v>100</v>
      </c>
      <c r="T26" s="713" t="s">
        <v>17</v>
      </c>
      <c r="U26" s="714">
        <f>H26</f>
        <v>100</v>
      </c>
      <c r="V26" s="713" t="s">
        <v>17</v>
      </c>
      <c r="W26" s="714">
        <f>J26</f>
        <v>100</v>
      </c>
      <c r="X26" s="1489"/>
      <c r="Y26" s="3495"/>
      <c r="Z26" s="1490" t="str">
        <f>Q26</f>
        <v>平面位置/可视性</v>
      </c>
      <c r="AA26" s="1487">
        <f t="shared" si="3"/>
        <v>1</v>
      </c>
      <c r="AB26" s="1487">
        <f t="shared" si="4"/>
        <v>1</v>
      </c>
      <c r="AC26" s="1487">
        <f t="shared" si="5"/>
        <v>1</v>
      </c>
    </row>
    <row r="27" spans="1:29" s="112"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502"/>
      <c r="Q27" s="1477" t="str">
        <f t="shared" si="11"/>
        <v>人流量</v>
      </c>
      <c r="R27" s="709" t="s">
        <v>17</v>
      </c>
      <c r="S27" s="710">
        <f>F27</f>
        <v>100</v>
      </c>
      <c r="T27" s="709" t="s">
        <v>17</v>
      </c>
      <c r="U27" s="710">
        <f>H27</f>
        <v>100</v>
      </c>
      <c r="V27" s="709" t="s">
        <v>17</v>
      </c>
      <c r="W27" s="710">
        <f>J27</f>
        <v>100</v>
      </c>
      <c r="X27" s="711"/>
      <c r="Y27" s="3495"/>
      <c r="Z27" s="54"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502"/>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95"/>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502"/>
      <c r="Q29" s="1486">
        <f t="shared" si="11"/>
        <v>111</v>
      </c>
      <c r="R29" s="713" t="s">
        <v>17</v>
      </c>
      <c r="S29" s="714">
        <f t="shared" si="12"/>
        <v>100</v>
      </c>
      <c r="T29" s="713" t="s">
        <v>17</v>
      </c>
      <c r="U29" s="714">
        <f t="shared" si="13"/>
        <v>100</v>
      </c>
      <c r="V29" s="713" t="s">
        <v>17</v>
      </c>
      <c r="W29" s="714">
        <f t="shared" si="14"/>
        <v>100</v>
      </c>
      <c r="X29" s="1489"/>
      <c r="Y29" s="3495"/>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502"/>
      <c r="Q30" s="1486">
        <f t="shared" si="11"/>
        <v>111</v>
      </c>
      <c r="R30" s="713" t="s">
        <v>17</v>
      </c>
      <c r="S30" s="714">
        <f t="shared" si="12"/>
        <v>100</v>
      </c>
      <c r="T30" s="713" t="s">
        <v>17</v>
      </c>
      <c r="U30" s="714">
        <f t="shared" si="13"/>
        <v>100</v>
      </c>
      <c r="V30" s="713" t="s">
        <v>17</v>
      </c>
      <c r="W30" s="714">
        <f t="shared" si="14"/>
        <v>100</v>
      </c>
      <c r="X30" s="1489"/>
      <c r="Y30" s="3495"/>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502"/>
      <c r="Q31" s="1486">
        <f t="shared" si="11"/>
        <v>111</v>
      </c>
      <c r="R31" s="713" t="s">
        <v>17</v>
      </c>
      <c r="S31" s="714">
        <f t="shared" si="12"/>
        <v>100</v>
      </c>
      <c r="T31" s="713" t="s">
        <v>17</v>
      </c>
      <c r="U31" s="714">
        <f t="shared" si="13"/>
        <v>100</v>
      </c>
      <c r="V31" s="713" t="s">
        <v>17</v>
      </c>
      <c r="W31" s="714">
        <f t="shared" si="14"/>
        <v>100</v>
      </c>
      <c r="X31" s="1489"/>
      <c r="Y31" s="3495"/>
      <c r="Z31" s="1490">
        <f t="shared" si="15"/>
        <v>111</v>
      </c>
      <c r="AA31" s="1487">
        <f t="shared" si="3"/>
        <v>1</v>
      </c>
      <c r="AB31" s="1487">
        <f t="shared" si="4"/>
        <v>1</v>
      </c>
      <c r="AC31" s="1487">
        <f t="shared" si="5"/>
        <v>1</v>
      </c>
    </row>
    <row r="32" spans="1:29" ht="15">
      <c r="A32" s="398" t="s">
        <v>2143</v>
      </c>
      <c r="B32" s="66"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496" t="s">
        <v>2145</v>
      </c>
      <c r="Q32" s="1486" t="str">
        <f t="shared" si="11"/>
        <v>商业类型</v>
      </c>
      <c r="R32" s="713" t="s">
        <v>17</v>
      </c>
      <c r="S32" s="714">
        <f t="shared" si="12"/>
        <v>100</v>
      </c>
      <c r="T32" s="713" t="s">
        <v>17</v>
      </c>
      <c r="U32" s="714">
        <f t="shared" si="13"/>
        <v>100</v>
      </c>
      <c r="V32" s="713" t="s">
        <v>17</v>
      </c>
      <c r="W32" s="714">
        <f t="shared" si="14"/>
        <v>100</v>
      </c>
      <c r="X32" s="1489"/>
      <c r="Y32" s="3499"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497"/>
      <c r="Q33" s="715" t="str">
        <f t="shared" si="11"/>
        <v>项目建筑规模</v>
      </c>
      <c r="R33" s="716" t="s">
        <v>17</v>
      </c>
      <c r="S33" s="717" t="e">
        <f t="shared" si="12"/>
        <v>#N/A</v>
      </c>
      <c r="T33" s="716" t="s">
        <v>17</v>
      </c>
      <c r="U33" s="717" t="e">
        <f t="shared" si="13"/>
        <v>#N/A</v>
      </c>
      <c r="V33" s="716" t="s">
        <v>17</v>
      </c>
      <c r="W33" s="717" t="e">
        <f t="shared" si="14"/>
        <v>#N/A</v>
      </c>
      <c r="X33" s="718"/>
      <c r="Y33" s="3499"/>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497"/>
      <c r="Q34" s="1486" t="str">
        <f t="shared" si="11"/>
        <v>建筑结构</v>
      </c>
      <c r="R34" s="713" t="s">
        <v>17</v>
      </c>
      <c r="S34" s="714">
        <f t="shared" si="12"/>
        <v>100</v>
      </c>
      <c r="T34" s="713" t="s">
        <v>17</v>
      </c>
      <c r="U34" s="714">
        <f t="shared" si="13"/>
        <v>100</v>
      </c>
      <c r="V34" s="713" t="s">
        <v>17</v>
      </c>
      <c r="W34" s="714">
        <f t="shared" si="14"/>
        <v>100</v>
      </c>
      <c r="X34" s="1489"/>
      <c r="Y34" s="3499"/>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497"/>
      <c r="Q35" s="1486" t="str">
        <f t="shared" si="11"/>
        <v>公共部分装修</v>
      </c>
      <c r="R35" s="713" t="s">
        <v>17</v>
      </c>
      <c r="S35" s="714">
        <f t="shared" si="12"/>
        <v>100</v>
      </c>
      <c r="T35" s="713" t="s">
        <v>17</v>
      </c>
      <c r="U35" s="714">
        <f t="shared" si="13"/>
        <v>100</v>
      </c>
      <c r="V35" s="713" t="s">
        <v>17</v>
      </c>
      <c r="W35" s="714">
        <f t="shared" si="14"/>
        <v>100</v>
      </c>
      <c r="X35" s="1489"/>
      <c r="Y35" s="3499"/>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497"/>
      <c r="Q36" s="1486" t="str">
        <f t="shared" si="11"/>
        <v>成新度</v>
      </c>
      <c r="R36" s="713" t="s">
        <v>17</v>
      </c>
      <c r="S36" s="714" t="e">
        <f t="shared" si="12"/>
        <v>#N/A</v>
      </c>
      <c r="T36" s="713" t="s">
        <v>17</v>
      </c>
      <c r="U36" s="714" t="e">
        <f t="shared" si="13"/>
        <v>#N/A</v>
      </c>
      <c r="V36" s="713" t="s">
        <v>17</v>
      </c>
      <c r="W36" s="714" t="e">
        <f t="shared" si="14"/>
        <v>#N/A</v>
      </c>
      <c r="X36" s="1489"/>
      <c r="Y36" s="3499"/>
      <c r="Z36" s="1490" t="str">
        <f t="shared" si="15"/>
        <v>成新度</v>
      </c>
      <c r="AA36" s="1487" t="e">
        <f t="shared" si="3"/>
        <v>#N/A</v>
      </c>
      <c r="AB36" s="1487" t="e">
        <f t="shared" si="4"/>
        <v>#N/A</v>
      </c>
      <c r="AC36" s="1487" t="e">
        <f t="shared" si="5"/>
        <v>#N/A</v>
      </c>
    </row>
    <row r="37" spans="1:29" s="112"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497"/>
      <c r="Q37" s="1477" t="str">
        <f t="shared" si="11"/>
        <v>市政基础设施</v>
      </c>
      <c r="R37" s="709" t="s">
        <v>17</v>
      </c>
      <c r="S37" s="710">
        <f t="shared" si="12"/>
        <v>100</v>
      </c>
      <c r="T37" s="709" t="s">
        <v>17</v>
      </c>
      <c r="U37" s="710">
        <f t="shared" si="13"/>
        <v>100</v>
      </c>
      <c r="V37" s="709" t="s">
        <v>17</v>
      </c>
      <c r="W37" s="710">
        <f t="shared" si="14"/>
        <v>100</v>
      </c>
      <c r="X37" s="711"/>
      <c r="Y37" s="3499"/>
      <c r="Z37" s="54"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497" t="s">
        <v>2145</v>
      </c>
      <c r="Q38" s="1486" t="str">
        <f t="shared" si="11"/>
        <v>业态</v>
      </c>
      <c r="R38" s="713" t="s">
        <v>17</v>
      </c>
      <c r="S38" s="714">
        <f t="shared" si="12"/>
        <v>100</v>
      </c>
      <c r="T38" s="713" t="s">
        <v>17</v>
      </c>
      <c r="U38" s="714">
        <f t="shared" si="13"/>
        <v>100</v>
      </c>
      <c r="V38" s="713" t="s">
        <v>17</v>
      </c>
      <c r="W38" s="714">
        <f t="shared" si="14"/>
        <v>100</v>
      </c>
      <c r="X38" s="1489"/>
      <c r="Y38" s="3499"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497"/>
      <c r="Q39" s="1486" t="str">
        <f t="shared" si="11"/>
        <v>层高</v>
      </c>
      <c r="R39" s="713" t="s">
        <v>17</v>
      </c>
      <c r="S39" s="714">
        <f t="shared" si="12"/>
        <v>100</v>
      </c>
      <c r="T39" s="713" t="s">
        <v>17</v>
      </c>
      <c r="U39" s="714">
        <f t="shared" si="13"/>
        <v>100</v>
      </c>
      <c r="V39" s="713" t="s">
        <v>17</v>
      </c>
      <c r="W39" s="714">
        <f t="shared" si="14"/>
        <v>100</v>
      </c>
      <c r="X39" s="1489"/>
      <c r="Y39" s="3499"/>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497"/>
      <c r="Q40" s="1486" t="str">
        <f t="shared" si="11"/>
        <v>单套建筑面积</v>
      </c>
      <c r="R40" s="713" t="s">
        <v>17</v>
      </c>
      <c r="S40" s="714">
        <f t="shared" si="12"/>
        <v>100</v>
      </c>
      <c r="T40" s="713" t="s">
        <v>17</v>
      </c>
      <c r="U40" s="714">
        <f t="shared" si="13"/>
        <v>100</v>
      </c>
      <c r="V40" s="713" t="s">
        <v>17</v>
      </c>
      <c r="W40" s="714">
        <f t="shared" si="14"/>
        <v>100</v>
      </c>
      <c r="X40" s="1489"/>
      <c r="Y40" s="3499"/>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497"/>
      <c r="Q41" s="715" t="str">
        <f t="shared" si="11"/>
        <v>进深比</v>
      </c>
      <c r="R41" s="716" t="s">
        <v>17</v>
      </c>
      <c r="S41" s="717">
        <f t="shared" si="12"/>
        <v>100</v>
      </c>
      <c r="T41" s="716" t="s">
        <v>17</v>
      </c>
      <c r="U41" s="717">
        <f t="shared" si="13"/>
        <v>100</v>
      </c>
      <c r="V41" s="716" t="s">
        <v>17</v>
      </c>
      <c r="W41" s="717">
        <f t="shared" si="14"/>
        <v>100</v>
      </c>
      <c r="X41" s="718"/>
      <c r="Y41" s="3499"/>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497"/>
      <c r="Q42" s="1486" t="str">
        <f t="shared" si="11"/>
        <v>内部装修</v>
      </c>
      <c r="R42" s="713" t="s">
        <v>17</v>
      </c>
      <c r="S42" s="714">
        <f t="shared" si="12"/>
        <v>100</v>
      </c>
      <c r="T42" s="713" t="s">
        <v>17</v>
      </c>
      <c r="U42" s="714">
        <f t="shared" si="13"/>
        <v>100</v>
      </c>
      <c r="V42" s="713" t="s">
        <v>17</v>
      </c>
      <c r="W42" s="714">
        <f t="shared" si="14"/>
        <v>100</v>
      </c>
      <c r="X42" s="1489"/>
      <c r="Y42" s="3499"/>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497"/>
      <c r="Q43" s="1486" t="str">
        <f t="shared" si="11"/>
        <v>内部装修维护情况</v>
      </c>
      <c r="R43" s="713" t="s">
        <v>17</v>
      </c>
      <c r="S43" s="714">
        <f t="shared" si="12"/>
        <v>100</v>
      </c>
      <c r="T43" s="713" t="s">
        <v>17</v>
      </c>
      <c r="U43" s="714">
        <f t="shared" si="13"/>
        <v>100</v>
      </c>
      <c r="V43" s="713" t="s">
        <v>17</v>
      </c>
      <c r="W43" s="714">
        <f t="shared" si="14"/>
        <v>100</v>
      </c>
      <c r="X43" s="1489"/>
      <c r="Y43" s="3499"/>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497"/>
      <c r="Q44" s="1477">
        <f t="shared" si="11"/>
        <v>111</v>
      </c>
      <c r="R44" s="709" t="s">
        <v>17</v>
      </c>
      <c r="S44" s="710">
        <f t="shared" si="12"/>
        <v>100</v>
      </c>
      <c r="T44" s="709" t="s">
        <v>17</v>
      </c>
      <c r="U44" s="710">
        <f t="shared" si="13"/>
        <v>100</v>
      </c>
      <c r="V44" s="709" t="s">
        <v>17</v>
      </c>
      <c r="W44" s="710">
        <f t="shared" si="14"/>
        <v>100</v>
      </c>
      <c r="X44" s="711"/>
      <c r="Y44" s="3499"/>
      <c r="Z44" s="54">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497"/>
      <c r="Q45" s="1486">
        <f t="shared" si="11"/>
        <v>111</v>
      </c>
      <c r="R45" s="713" t="s">
        <v>17</v>
      </c>
      <c r="S45" s="714">
        <f t="shared" si="12"/>
        <v>100</v>
      </c>
      <c r="T45" s="713" t="s">
        <v>17</v>
      </c>
      <c r="U45" s="714">
        <f t="shared" si="13"/>
        <v>100</v>
      </c>
      <c r="V45" s="713" t="s">
        <v>17</v>
      </c>
      <c r="W45" s="714">
        <f t="shared" si="14"/>
        <v>100</v>
      </c>
      <c r="X45" s="1489"/>
      <c r="Y45" s="3499"/>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498"/>
      <c r="Q46" s="1486">
        <f t="shared" si="11"/>
        <v>111</v>
      </c>
      <c r="R46" s="713" t="s">
        <v>17</v>
      </c>
      <c r="S46" s="714">
        <f t="shared" si="12"/>
        <v>100</v>
      </c>
      <c r="T46" s="713" t="s">
        <v>17</v>
      </c>
      <c r="U46" s="714">
        <f t="shared" si="13"/>
        <v>100</v>
      </c>
      <c r="V46" s="713" t="s">
        <v>17</v>
      </c>
      <c r="W46" s="714">
        <f t="shared" si="14"/>
        <v>100</v>
      </c>
      <c r="X46" s="1489"/>
      <c r="Y46" s="3500"/>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492" t="str">
        <f>A47</f>
        <v>成交单价（元/平方米）</v>
      </c>
      <c r="Q47" s="3492"/>
      <c r="R47" s="3487">
        <f>E47</f>
        <v>0</v>
      </c>
      <c r="S47" s="3487"/>
      <c r="T47" s="3487">
        <f>G47</f>
        <v>0</v>
      </c>
      <c r="U47" s="3487"/>
      <c r="V47" s="3487">
        <f>I47</f>
        <v>0</v>
      </c>
      <c r="W47" s="3487"/>
      <c r="X47" s="698"/>
      <c r="Y47" s="720"/>
      <c r="Z47" s="698"/>
      <c r="AA47" s="698"/>
      <c r="AB47" s="698"/>
      <c r="AC47" s="698"/>
    </row>
    <row r="48" spans="1:29" ht="15.7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2022-4</v>
      </c>
      <c r="D58" s="1299">
        <f>EDATE(C58,-1)</f>
        <v>44621</v>
      </c>
      <c r="E58" s="1299">
        <f t="shared" ref="E58:N58" si="16">EDATE(D58,-1)</f>
        <v>44593</v>
      </c>
      <c r="F58" s="1299">
        <f t="shared" si="16"/>
        <v>44562</v>
      </c>
      <c r="G58" s="1299">
        <f t="shared" si="16"/>
        <v>44531</v>
      </c>
      <c r="H58" s="1299">
        <f t="shared" si="16"/>
        <v>44501</v>
      </c>
      <c r="I58" s="1299">
        <f t="shared" si="16"/>
        <v>44470</v>
      </c>
      <c r="J58" s="1299">
        <f t="shared" si="16"/>
        <v>44440</v>
      </c>
      <c r="K58" s="1299">
        <f t="shared" si="16"/>
        <v>44409</v>
      </c>
      <c r="L58" s="1299">
        <f t="shared" si="16"/>
        <v>44378</v>
      </c>
      <c r="M58" s="1299">
        <f t="shared" si="16"/>
        <v>44348</v>
      </c>
      <c r="N58" s="1299">
        <f t="shared" si="16"/>
        <v>44317</v>
      </c>
      <c r="O58" s="1299">
        <f>EDATE(N58,-1)</f>
        <v>44287</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8363.3700000000008</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475" t="s">
        <v>2226</v>
      </c>
      <c r="D4" s="3476"/>
      <c r="E4" s="3477" t="s">
        <v>2227</v>
      </c>
      <c r="F4" s="3478"/>
      <c r="G4" s="3475" t="s">
        <v>2228</v>
      </c>
      <c r="H4" s="3476"/>
      <c r="I4" s="3475" t="s">
        <v>2229</v>
      </c>
      <c r="J4" s="3476"/>
      <c r="K4" s="566" t="s">
        <v>2230</v>
      </c>
      <c r="L4" s="2893"/>
      <c r="M4" s="2894"/>
      <c r="N4" s="2894"/>
      <c r="O4" s="2894"/>
      <c r="P4" s="3509" t="s">
        <v>2231</v>
      </c>
      <c r="Q4" s="3510"/>
      <c r="R4" s="3504" t="s">
        <v>2227</v>
      </c>
      <c r="S4" s="3505"/>
      <c r="T4" s="3504" t="s">
        <v>2228</v>
      </c>
      <c r="U4" s="3505"/>
      <c r="V4" s="3513" t="s">
        <v>2229</v>
      </c>
      <c r="W4" s="3513"/>
      <c r="X4" s="2094"/>
      <c r="Y4" s="3504" t="s">
        <v>2231</v>
      </c>
      <c r="Z4" s="3505"/>
      <c r="AA4" s="3503" t="s">
        <v>2227</v>
      </c>
      <c r="AB4" s="3503" t="s">
        <v>2228</v>
      </c>
      <c r="AC4" s="3506" t="s">
        <v>2229</v>
      </c>
    </row>
    <row r="5" spans="1:29" ht="15">
      <c r="A5" s="363"/>
      <c r="B5" s="364"/>
      <c r="C5" s="3468" t="s">
        <v>2122</v>
      </c>
      <c r="D5" s="3469"/>
      <c r="E5" s="3466" t="s">
        <v>2123</v>
      </c>
      <c r="F5" s="3467"/>
      <c r="G5" s="3468" t="s">
        <v>2124</v>
      </c>
      <c r="H5" s="3469"/>
      <c r="I5" s="3468" t="s">
        <v>2125</v>
      </c>
      <c r="J5" s="3469"/>
      <c r="K5" s="566"/>
      <c r="L5" s="2893"/>
      <c r="M5" s="2894"/>
      <c r="N5" s="2894"/>
      <c r="O5" s="2894"/>
      <c r="P5" s="3511"/>
      <c r="Q5" s="3482"/>
      <c r="R5" s="3464"/>
      <c r="S5" s="3465"/>
      <c r="T5" s="3464"/>
      <c r="U5" s="3465"/>
      <c r="V5" s="3487"/>
      <c r="W5" s="3487"/>
      <c r="X5" s="1489"/>
      <c r="Y5" s="3464"/>
      <c r="Z5" s="3465"/>
      <c r="AA5" s="3458"/>
      <c r="AB5" s="3458"/>
      <c r="AC5" s="3507"/>
    </row>
    <row r="6" spans="1:29" ht="15.75" thickBot="1">
      <c r="A6" s="365"/>
      <c r="B6" s="366"/>
      <c r="C6" s="3470" t="s">
        <v>2126</v>
      </c>
      <c r="D6" s="3471"/>
      <c r="E6" s="3472" t="s">
        <v>2126</v>
      </c>
      <c r="F6" s="3473"/>
      <c r="G6" s="3470" t="s">
        <v>2126</v>
      </c>
      <c r="H6" s="3471"/>
      <c r="I6" s="3470" t="s">
        <v>2126</v>
      </c>
      <c r="J6" s="3471"/>
      <c r="K6" s="566" t="s">
        <v>2127</v>
      </c>
      <c r="L6" s="2893"/>
      <c r="M6" s="2894"/>
      <c r="N6" s="2894"/>
      <c r="O6" s="2894"/>
      <c r="P6" s="3512"/>
      <c r="Q6" s="3484"/>
      <c r="R6" s="3464"/>
      <c r="S6" s="3465"/>
      <c r="T6" s="3485"/>
      <c r="U6" s="3486"/>
      <c r="V6" s="3487"/>
      <c r="W6" s="3487"/>
      <c r="X6" s="1489"/>
      <c r="Y6" s="3485"/>
      <c r="Z6" s="3486"/>
      <c r="AA6" s="3459"/>
      <c r="AB6" s="3459"/>
      <c r="AC6" s="3508"/>
    </row>
    <row r="7" spans="1:29" s="112" customFormat="1" ht="15.75" thickBot="1">
      <c r="A7" s="367" t="s">
        <v>2128</v>
      </c>
      <c r="B7" s="368"/>
      <c r="C7" s="369">
        <f>'数据-取费表'!B2</f>
        <v>44677</v>
      </c>
      <c r="D7" s="370">
        <v>100</v>
      </c>
      <c r="E7" s="371"/>
      <c r="F7" s="372">
        <f>SUMIF(59:59,YEAR(E7)&amp;"-"&amp;MONTH(E7),60:60)</f>
        <v>0</v>
      </c>
      <c r="G7" s="371"/>
      <c r="H7" s="370">
        <f>SUMIF(59:59,YEAR(G7)&amp;"-"&amp;MONTH(G7),60:60)</f>
        <v>0</v>
      </c>
      <c r="I7" s="371"/>
      <c r="J7" s="370">
        <f>SUMIF(59:59,YEAR(I7)&amp;"-"&amp;MONTH(I7),60:60)</f>
        <v>0</v>
      </c>
      <c r="K7" s="567"/>
      <c r="L7" s="2895"/>
      <c r="M7" s="2896"/>
      <c r="N7" s="2896"/>
      <c r="O7" s="2896"/>
      <c r="P7" s="3514" t="s">
        <v>2129</v>
      </c>
      <c r="Q7" s="3488"/>
      <c r="R7" s="709" t="s">
        <v>17</v>
      </c>
      <c r="S7" s="710">
        <f t="shared" ref="S7:S15" si="0">F7</f>
        <v>0</v>
      </c>
      <c r="T7" s="709" t="s">
        <v>17</v>
      </c>
      <c r="U7" s="710">
        <f t="shared" ref="U7:U15" si="1">H7</f>
        <v>0</v>
      </c>
      <c r="V7" s="709" t="s">
        <v>17</v>
      </c>
      <c r="W7" s="710">
        <f t="shared" ref="W7:W15" si="2">J7</f>
        <v>0</v>
      </c>
      <c r="X7" s="711"/>
      <c r="Y7" s="3460" t="s">
        <v>2129</v>
      </c>
      <c r="Z7" s="3461"/>
      <c r="AA7" s="712" t="e">
        <f>D7/F7</f>
        <v>#DIV/0!</v>
      </c>
      <c r="AB7" s="712" t="e">
        <f>D7/H7</f>
        <v>#DIV/0!</v>
      </c>
      <c r="AC7" s="2095"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514" t="s">
        <v>2132</v>
      </c>
      <c r="Q8" s="3461"/>
      <c r="R8" s="709" t="s">
        <v>17</v>
      </c>
      <c r="S8" s="710">
        <f t="shared" si="0"/>
        <v>0</v>
      </c>
      <c r="T8" s="709" t="s">
        <v>17</v>
      </c>
      <c r="U8" s="710">
        <f t="shared" si="1"/>
        <v>0</v>
      </c>
      <c r="V8" s="709" t="s">
        <v>17</v>
      </c>
      <c r="W8" s="710">
        <f t="shared" si="2"/>
        <v>0</v>
      </c>
      <c r="X8" s="711"/>
      <c r="Y8" s="3460" t="s">
        <v>2132</v>
      </c>
      <c r="Z8" s="3461"/>
      <c r="AA8" s="712" t="e">
        <f t="shared" ref="AA8:AA47" si="3">D8/F8</f>
        <v>#DIV/0!</v>
      </c>
      <c r="AB8" s="712" t="e">
        <f t="shared" ref="AB8:AB47" si="4">D8/H8</f>
        <v>#DIV/0!</v>
      </c>
      <c r="AC8" s="2095"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474" t="s">
        <v>2135</v>
      </c>
      <c r="Q9" s="1477" t="str">
        <f t="shared" ref="Q9:Q15" si="6">B9</f>
        <v>用途</v>
      </c>
      <c r="R9" s="709" t="s">
        <v>17</v>
      </c>
      <c r="S9" s="710">
        <f t="shared" si="0"/>
        <v>100</v>
      </c>
      <c r="T9" s="709" t="s">
        <v>17</v>
      </c>
      <c r="U9" s="710">
        <f t="shared" si="1"/>
        <v>100</v>
      </c>
      <c r="V9" s="709" t="s">
        <v>17</v>
      </c>
      <c r="W9" s="710">
        <f t="shared" si="2"/>
        <v>100</v>
      </c>
      <c r="X9" s="711"/>
      <c r="Y9" s="3404" t="s">
        <v>2136</v>
      </c>
      <c r="Z9" s="54" t="str">
        <f t="shared" ref="Z9:Z15" si="7">Q9</f>
        <v>用途</v>
      </c>
      <c r="AA9" s="712">
        <f t="shared" si="3"/>
        <v>1</v>
      </c>
      <c r="AB9" s="712">
        <f t="shared" si="4"/>
        <v>1</v>
      </c>
      <c r="AC9" s="2095">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474"/>
      <c r="Q10" s="1477" t="str">
        <f t="shared" si="6"/>
        <v>土地使用年限（年）</v>
      </c>
      <c r="R10" s="709" t="s">
        <v>17</v>
      </c>
      <c r="S10" s="710">
        <f t="shared" si="0"/>
        <v>100</v>
      </c>
      <c r="T10" s="709" t="s">
        <v>17</v>
      </c>
      <c r="U10" s="710">
        <f t="shared" si="1"/>
        <v>100</v>
      </c>
      <c r="V10" s="709" t="s">
        <v>17</v>
      </c>
      <c r="W10" s="710">
        <f t="shared" si="2"/>
        <v>100</v>
      </c>
      <c r="X10" s="711"/>
      <c r="Y10" s="3404"/>
      <c r="Z10" s="54" t="str">
        <f t="shared" si="7"/>
        <v>土地使用年限（年）</v>
      </c>
      <c r="AA10" s="712">
        <f t="shared" si="3"/>
        <v>1</v>
      </c>
      <c r="AB10" s="712">
        <f t="shared" si="4"/>
        <v>1</v>
      </c>
      <c r="AC10" s="2095">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474"/>
      <c r="Q11" s="1477" t="str">
        <f t="shared" si="6"/>
        <v>容积率</v>
      </c>
      <c r="R11" s="709" t="s">
        <v>17</v>
      </c>
      <c r="S11" s="710" t="e">
        <f t="shared" si="0"/>
        <v>#N/A</v>
      </c>
      <c r="T11" s="709" t="s">
        <v>17</v>
      </c>
      <c r="U11" s="710" t="e">
        <f t="shared" si="1"/>
        <v>#N/A</v>
      </c>
      <c r="V11" s="709" t="s">
        <v>17</v>
      </c>
      <c r="W11" s="710" t="e">
        <f t="shared" si="2"/>
        <v>#N/A</v>
      </c>
      <c r="X11" s="711"/>
      <c r="Y11" s="3404"/>
      <c r="Z11" s="54"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474"/>
      <c r="Q12" s="1477">
        <f t="shared" si="6"/>
        <v>111</v>
      </c>
      <c r="R12" s="709" t="s">
        <v>17</v>
      </c>
      <c r="S12" s="710">
        <f t="shared" si="0"/>
        <v>100</v>
      </c>
      <c r="T12" s="709" t="s">
        <v>17</v>
      </c>
      <c r="U12" s="710">
        <f t="shared" si="1"/>
        <v>100</v>
      </c>
      <c r="V12" s="709" t="s">
        <v>17</v>
      </c>
      <c r="W12" s="710">
        <f t="shared" si="2"/>
        <v>100</v>
      </c>
      <c r="X12" s="711"/>
      <c r="Y12" s="3404"/>
      <c r="Z12" s="54">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474"/>
      <c r="Q13" s="1477">
        <f t="shared" si="6"/>
        <v>111</v>
      </c>
      <c r="R13" s="709" t="s">
        <v>17</v>
      </c>
      <c r="S13" s="710">
        <f t="shared" si="0"/>
        <v>100</v>
      </c>
      <c r="T13" s="709" t="s">
        <v>17</v>
      </c>
      <c r="U13" s="710">
        <f t="shared" si="1"/>
        <v>100</v>
      </c>
      <c r="V13" s="709" t="s">
        <v>17</v>
      </c>
      <c r="W13" s="710">
        <f t="shared" si="2"/>
        <v>100</v>
      </c>
      <c r="X13" s="711"/>
      <c r="Y13" s="3404"/>
      <c r="Z13" s="54">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474"/>
      <c r="Q14" s="1477">
        <f t="shared" si="6"/>
        <v>111</v>
      </c>
      <c r="R14" s="709" t="s">
        <v>17</v>
      </c>
      <c r="S14" s="710">
        <f t="shared" si="0"/>
        <v>100</v>
      </c>
      <c r="T14" s="709" t="s">
        <v>17</v>
      </c>
      <c r="U14" s="710">
        <f t="shared" si="1"/>
        <v>100</v>
      </c>
      <c r="V14" s="709" t="s">
        <v>17</v>
      </c>
      <c r="W14" s="710">
        <f t="shared" si="2"/>
        <v>100</v>
      </c>
      <c r="X14" s="711"/>
      <c r="Y14" s="3404"/>
      <c r="Z14" s="54">
        <f t="shared" si="7"/>
        <v>111</v>
      </c>
      <c r="AA14" s="712">
        <f t="shared" si="3"/>
        <v>1</v>
      </c>
      <c r="AB14" s="712">
        <f t="shared" si="4"/>
        <v>1</v>
      </c>
      <c r="AC14" s="2095">
        <f t="shared" si="5"/>
        <v>1</v>
      </c>
    </row>
    <row r="15" spans="1:29" ht="71.25">
      <c r="A15" s="398" t="s">
        <v>2139</v>
      </c>
      <c r="B15" s="584" t="s">
        <v>2267</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501" t="s">
        <v>2140</v>
      </c>
      <c r="Q15" s="1486" t="str">
        <f t="shared" si="6"/>
        <v>办公集聚程度</v>
      </c>
      <c r="R15" s="713" t="s">
        <v>17</v>
      </c>
      <c r="S15" s="714">
        <f t="shared" si="0"/>
        <v>100</v>
      </c>
      <c r="T15" s="713" t="s">
        <v>17</v>
      </c>
      <c r="U15" s="714">
        <f t="shared" si="1"/>
        <v>100</v>
      </c>
      <c r="V15" s="713" t="s">
        <v>17</v>
      </c>
      <c r="W15" s="714">
        <f t="shared" si="2"/>
        <v>100</v>
      </c>
      <c r="X15" s="1489"/>
      <c r="Y15" s="3494" t="s">
        <v>2140</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502"/>
      <c r="Q16" s="1486"/>
      <c r="R16" s="713"/>
      <c r="S16" s="714"/>
      <c r="T16" s="713"/>
      <c r="U16" s="714"/>
      <c r="V16" s="713"/>
      <c r="W16" s="714"/>
      <c r="X16" s="1489"/>
      <c r="Y16" s="3495"/>
      <c r="Z16" s="1490"/>
      <c r="AA16" s="1487">
        <v>1</v>
      </c>
      <c r="AB16" s="1487">
        <v>1</v>
      </c>
      <c r="AC16" s="2098">
        <v>1</v>
      </c>
    </row>
    <row r="17" spans="1:29" ht="71.25">
      <c r="A17" s="386"/>
      <c r="B17" s="586" t="s">
        <v>1704</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502"/>
      <c r="Q17" s="1486" t="str">
        <f>B17</f>
        <v>交通便捷度</v>
      </c>
      <c r="R17" s="713" t="s">
        <v>17</v>
      </c>
      <c r="S17" s="714">
        <f>F17</f>
        <v>100</v>
      </c>
      <c r="T17" s="713" t="s">
        <v>17</v>
      </c>
      <c r="U17" s="714">
        <f>H17</f>
        <v>100</v>
      </c>
      <c r="V17" s="713" t="s">
        <v>17</v>
      </c>
      <c r="W17" s="714">
        <f>J17</f>
        <v>100</v>
      </c>
      <c r="X17" s="1489"/>
      <c r="Y17" s="3495"/>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502"/>
      <c r="Q18" s="1486"/>
      <c r="R18" s="713"/>
      <c r="S18" s="714"/>
      <c r="T18" s="713"/>
      <c r="U18" s="714"/>
      <c r="V18" s="713"/>
      <c r="W18" s="714"/>
      <c r="X18" s="1489"/>
      <c r="Y18" s="3495"/>
      <c r="Z18" s="1490"/>
      <c r="AA18" s="1487">
        <v>1</v>
      </c>
      <c r="AB18" s="1487">
        <v>1</v>
      </c>
      <c r="AC18" s="2098">
        <v>1</v>
      </c>
    </row>
    <row r="19" spans="1:29" ht="42.75">
      <c r="A19" s="386"/>
      <c r="B19" s="586" t="s">
        <v>2268</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502"/>
      <c r="Q19" s="1486" t="str">
        <f>B19</f>
        <v>公共配套设施</v>
      </c>
      <c r="R19" s="713" t="s">
        <v>17</v>
      </c>
      <c r="S19" s="714">
        <f>F19</f>
        <v>100</v>
      </c>
      <c r="T19" s="713" t="s">
        <v>17</v>
      </c>
      <c r="U19" s="714">
        <f>H19</f>
        <v>100</v>
      </c>
      <c r="V19" s="713" t="s">
        <v>17</v>
      </c>
      <c r="W19" s="714">
        <f>J19</f>
        <v>100</v>
      </c>
      <c r="X19" s="1489"/>
      <c r="Y19" s="3495"/>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502"/>
      <c r="Q20" s="1486"/>
      <c r="R20" s="713"/>
      <c r="S20" s="714"/>
      <c r="T20" s="713"/>
      <c r="U20" s="714"/>
      <c r="V20" s="713"/>
      <c r="W20" s="714"/>
      <c r="X20" s="1489"/>
      <c r="Y20" s="3495"/>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502"/>
      <c r="Q21" s="1486" t="str">
        <f>B21</f>
        <v>基础设施水平</v>
      </c>
      <c r="R21" s="713" t="s">
        <v>17</v>
      </c>
      <c r="S21" s="714">
        <f>F21</f>
        <v>100</v>
      </c>
      <c r="T21" s="713" t="s">
        <v>17</v>
      </c>
      <c r="U21" s="714">
        <f>H21</f>
        <v>100</v>
      </c>
      <c r="V21" s="713" t="s">
        <v>17</v>
      </c>
      <c r="W21" s="714">
        <f>J21</f>
        <v>100</v>
      </c>
      <c r="X21" s="1489"/>
      <c r="Y21" s="3495"/>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502"/>
      <c r="Q22" s="1486"/>
      <c r="R22" s="713"/>
      <c r="S22" s="714"/>
      <c r="T22" s="713"/>
      <c r="U22" s="714"/>
      <c r="V22" s="713"/>
      <c r="W22" s="714"/>
      <c r="X22" s="1489"/>
      <c r="Y22" s="3495"/>
      <c r="Z22" s="1490"/>
      <c r="AA22" s="1487">
        <v>1</v>
      </c>
      <c r="AB22" s="1487">
        <v>1</v>
      </c>
      <c r="AC22" s="2098">
        <v>1</v>
      </c>
    </row>
    <row r="23" spans="1:29" ht="42.75">
      <c r="A23" s="386"/>
      <c r="B23" s="586" t="s">
        <v>2270</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502"/>
      <c r="Q23" s="1486" t="str">
        <f>B23</f>
        <v>环境质量</v>
      </c>
      <c r="R23" s="713" t="s">
        <v>17</v>
      </c>
      <c r="S23" s="714">
        <f>F23</f>
        <v>100</v>
      </c>
      <c r="T23" s="713" t="s">
        <v>17</v>
      </c>
      <c r="U23" s="714">
        <f>H23</f>
        <v>100</v>
      </c>
      <c r="V23" s="713" t="s">
        <v>17</v>
      </c>
      <c r="W23" s="714">
        <f>J23</f>
        <v>100</v>
      </c>
      <c r="X23" s="1489"/>
      <c r="Y23" s="3495"/>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502"/>
      <c r="Q24" s="1486"/>
      <c r="R24" s="713"/>
      <c r="S24" s="714"/>
      <c r="T24" s="713"/>
      <c r="U24" s="714"/>
      <c r="V24" s="713"/>
      <c r="W24" s="714"/>
      <c r="X24" s="1489"/>
      <c r="Y24" s="3495"/>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502"/>
      <c r="Q25" s="1486" t="str">
        <f>B25</f>
        <v>毗邻道路的类型与等级</v>
      </c>
      <c r="R25" s="713" t="s">
        <v>17</v>
      </c>
      <c r="S25" s="714">
        <f>F25</f>
        <v>100</v>
      </c>
      <c r="T25" s="713" t="s">
        <v>17</v>
      </c>
      <c r="U25" s="714">
        <f>H25</f>
        <v>100</v>
      </c>
      <c r="V25" s="713" t="s">
        <v>17</v>
      </c>
      <c r="W25" s="714">
        <f>J25</f>
        <v>100</v>
      </c>
      <c r="X25" s="1489"/>
      <c r="Y25" s="3495"/>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502"/>
      <c r="Q26" s="1486"/>
      <c r="R26" s="713"/>
      <c r="S26" s="714"/>
      <c r="T26" s="713"/>
      <c r="U26" s="714"/>
      <c r="V26" s="713"/>
      <c r="W26" s="714"/>
      <c r="X26" s="1489"/>
      <c r="Y26" s="3495"/>
      <c r="Z26" s="1490"/>
      <c r="AA26" s="1487">
        <v>1</v>
      </c>
      <c r="AB26" s="1487">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502"/>
      <c r="Q27" s="1486" t="str">
        <f t="shared" ref="Q27:Q47" si="11">B27</f>
        <v>楼层</v>
      </c>
      <c r="R27" s="713" t="s">
        <v>17</v>
      </c>
      <c r="S27" s="714">
        <f>F27</f>
        <v>100</v>
      </c>
      <c r="T27" s="713" t="s">
        <v>17</v>
      </c>
      <c r="U27" s="714">
        <f>H27</f>
        <v>100</v>
      </c>
      <c r="V27" s="713" t="s">
        <v>17</v>
      </c>
      <c r="W27" s="714">
        <f>J27</f>
        <v>100</v>
      </c>
      <c r="X27" s="1489"/>
      <c r="Y27" s="3495"/>
      <c r="Z27" s="1490" t="str">
        <f>Q27</f>
        <v>楼层</v>
      </c>
      <c r="AA27" s="1487">
        <f t="shared" si="3"/>
        <v>1</v>
      </c>
      <c r="AB27" s="1487">
        <f t="shared" si="4"/>
        <v>1</v>
      </c>
      <c r="AC27" s="2098">
        <f t="shared" si="5"/>
        <v>1</v>
      </c>
    </row>
    <row r="28" spans="1:29" s="112" customFormat="1" ht="15">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502"/>
      <c r="Q28" s="1477" t="str">
        <f t="shared" si="11"/>
        <v>朝向</v>
      </c>
      <c r="R28" s="709" t="s">
        <v>17</v>
      </c>
      <c r="S28" s="710">
        <f>F28</f>
        <v>100</v>
      </c>
      <c r="T28" s="709" t="s">
        <v>17</v>
      </c>
      <c r="U28" s="710">
        <f>H28</f>
        <v>100</v>
      </c>
      <c r="V28" s="709" t="s">
        <v>17</v>
      </c>
      <c r="W28" s="710">
        <f>J28</f>
        <v>100</v>
      </c>
      <c r="X28" s="711"/>
      <c r="Y28" s="3495"/>
      <c r="Z28" s="54"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502"/>
      <c r="Q29" s="1486">
        <f t="shared" si="11"/>
        <v>111</v>
      </c>
      <c r="R29" s="713" t="s">
        <v>17</v>
      </c>
      <c r="S29" s="714">
        <f t="shared" ref="S29:S47" si="12">F29</f>
        <v>100</v>
      </c>
      <c r="T29" s="713" t="s">
        <v>17</v>
      </c>
      <c r="U29" s="714">
        <f t="shared" ref="U29:U47" si="13">H29</f>
        <v>100</v>
      </c>
      <c r="V29" s="713" t="s">
        <v>17</v>
      </c>
      <c r="W29" s="714">
        <f t="shared" ref="W29:W47" si="14">J29</f>
        <v>100</v>
      </c>
      <c r="X29" s="1489"/>
      <c r="Y29" s="3495"/>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502"/>
      <c r="Q30" s="1486">
        <f t="shared" si="11"/>
        <v>111</v>
      </c>
      <c r="R30" s="713" t="s">
        <v>17</v>
      </c>
      <c r="S30" s="714">
        <f t="shared" si="12"/>
        <v>100</v>
      </c>
      <c r="T30" s="713" t="s">
        <v>17</v>
      </c>
      <c r="U30" s="714">
        <f t="shared" si="13"/>
        <v>100</v>
      </c>
      <c r="V30" s="713" t="s">
        <v>17</v>
      </c>
      <c r="W30" s="714">
        <f t="shared" si="14"/>
        <v>100</v>
      </c>
      <c r="X30" s="1489"/>
      <c r="Y30" s="3495"/>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502"/>
      <c r="Q31" s="1486">
        <f t="shared" si="11"/>
        <v>111</v>
      </c>
      <c r="R31" s="713" t="s">
        <v>17</v>
      </c>
      <c r="S31" s="714">
        <f t="shared" si="12"/>
        <v>100</v>
      </c>
      <c r="T31" s="713" t="s">
        <v>17</v>
      </c>
      <c r="U31" s="714">
        <f t="shared" si="13"/>
        <v>100</v>
      </c>
      <c r="V31" s="713" t="s">
        <v>17</v>
      </c>
      <c r="W31" s="714">
        <f t="shared" si="14"/>
        <v>100</v>
      </c>
      <c r="X31" s="1489"/>
      <c r="Y31" s="3495"/>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502"/>
      <c r="Q32" s="1486">
        <f t="shared" si="11"/>
        <v>111</v>
      </c>
      <c r="R32" s="713" t="s">
        <v>17</v>
      </c>
      <c r="S32" s="714">
        <f t="shared" si="12"/>
        <v>100</v>
      </c>
      <c r="T32" s="713" t="s">
        <v>17</v>
      </c>
      <c r="U32" s="714">
        <f t="shared" si="13"/>
        <v>100</v>
      </c>
      <c r="V32" s="713" t="s">
        <v>17</v>
      </c>
      <c r="W32" s="714">
        <f t="shared" si="14"/>
        <v>100</v>
      </c>
      <c r="X32" s="1489"/>
      <c r="Y32" s="3495"/>
      <c r="Z32" s="1490">
        <f t="shared" si="15"/>
        <v>111</v>
      </c>
      <c r="AA32" s="1487">
        <f t="shared" si="3"/>
        <v>1</v>
      </c>
      <c r="AB32" s="1487">
        <f t="shared" si="4"/>
        <v>1</v>
      </c>
      <c r="AC32" s="2098">
        <f t="shared" si="5"/>
        <v>1</v>
      </c>
    </row>
    <row r="33" spans="1:29" ht="15">
      <c r="A33" s="398" t="s">
        <v>2143</v>
      </c>
      <c r="B33" s="66"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496" t="s">
        <v>2145</v>
      </c>
      <c r="Q33" s="1486" t="str">
        <f t="shared" si="11"/>
        <v>建筑类型</v>
      </c>
      <c r="R33" s="713" t="s">
        <v>17</v>
      </c>
      <c r="S33" s="714">
        <f t="shared" si="12"/>
        <v>100</v>
      </c>
      <c r="T33" s="713" t="s">
        <v>17</v>
      </c>
      <c r="U33" s="714">
        <f t="shared" si="13"/>
        <v>100</v>
      </c>
      <c r="V33" s="713" t="s">
        <v>17</v>
      </c>
      <c r="W33" s="714">
        <f t="shared" si="14"/>
        <v>100</v>
      </c>
      <c r="X33" s="1489"/>
      <c r="Y33" s="3499" t="s">
        <v>2145</v>
      </c>
      <c r="Z33" s="1490" t="str">
        <f t="shared" si="15"/>
        <v>建筑类型</v>
      </c>
      <c r="AA33" s="1487">
        <f t="shared" si="3"/>
        <v>1</v>
      </c>
      <c r="AB33" s="1487">
        <f t="shared" si="4"/>
        <v>1</v>
      </c>
      <c r="AC33" s="2098">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497"/>
      <c r="Q34" s="715" t="str">
        <f t="shared" si="11"/>
        <v>项目建筑规模</v>
      </c>
      <c r="R34" s="716" t="s">
        <v>17</v>
      </c>
      <c r="S34" s="717" t="e">
        <f t="shared" si="12"/>
        <v>#N/A</v>
      </c>
      <c r="T34" s="716" t="s">
        <v>17</v>
      </c>
      <c r="U34" s="717" t="e">
        <f t="shared" si="13"/>
        <v>#N/A</v>
      </c>
      <c r="V34" s="716" t="s">
        <v>17</v>
      </c>
      <c r="W34" s="717" t="e">
        <f t="shared" si="14"/>
        <v>#N/A</v>
      </c>
      <c r="X34" s="718"/>
      <c r="Y34" s="3499"/>
      <c r="Z34" s="719" t="str">
        <f t="shared" si="15"/>
        <v>项目建筑规模</v>
      </c>
      <c r="AA34" s="1487" t="e">
        <f t="shared" si="3"/>
        <v>#N/A</v>
      </c>
      <c r="AB34" s="1487" t="e">
        <f t="shared" si="4"/>
        <v>#N/A</v>
      </c>
      <c r="AC34" s="2098"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497"/>
      <c r="Q35" s="1486" t="str">
        <f t="shared" si="11"/>
        <v>建筑结构</v>
      </c>
      <c r="R35" s="713" t="s">
        <v>17</v>
      </c>
      <c r="S35" s="714">
        <f t="shared" si="12"/>
        <v>100</v>
      </c>
      <c r="T35" s="713" t="s">
        <v>17</v>
      </c>
      <c r="U35" s="714">
        <f t="shared" si="13"/>
        <v>100</v>
      </c>
      <c r="V35" s="713" t="s">
        <v>17</v>
      </c>
      <c r="W35" s="714">
        <f t="shared" si="14"/>
        <v>100</v>
      </c>
      <c r="X35" s="1489"/>
      <c r="Y35" s="3499"/>
      <c r="Z35" s="1490" t="str">
        <f t="shared" si="15"/>
        <v>建筑结构</v>
      </c>
      <c r="AA35" s="1487">
        <f t="shared" si="3"/>
        <v>1</v>
      </c>
      <c r="AB35" s="1487">
        <f t="shared" si="4"/>
        <v>1</v>
      </c>
      <c r="AC35" s="2098">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497"/>
      <c r="Q36" s="1486" t="str">
        <f t="shared" si="11"/>
        <v>公共部分装修</v>
      </c>
      <c r="R36" s="713" t="s">
        <v>17</v>
      </c>
      <c r="S36" s="714">
        <f t="shared" si="12"/>
        <v>100</v>
      </c>
      <c r="T36" s="713" t="s">
        <v>17</v>
      </c>
      <c r="U36" s="714">
        <f t="shared" si="13"/>
        <v>100</v>
      </c>
      <c r="V36" s="713" t="s">
        <v>17</v>
      </c>
      <c r="W36" s="714">
        <f t="shared" si="14"/>
        <v>100</v>
      </c>
      <c r="X36" s="1489"/>
      <c r="Y36" s="3499"/>
      <c r="Z36" s="1490" t="str">
        <f t="shared" si="15"/>
        <v>公共部分装修</v>
      </c>
      <c r="AA36" s="1487">
        <f t="shared" si="3"/>
        <v>1</v>
      </c>
      <c r="AB36" s="1487">
        <f t="shared" si="4"/>
        <v>1</v>
      </c>
      <c r="AC36" s="2098">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497"/>
      <c r="Q37" s="1486" t="str">
        <f t="shared" si="11"/>
        <v>成新度</v>
      </c>
      <c r="R37" s="713" t="s">
        <v>17</v>
      </c>
      <c r="S37" s="714" t="e">
        <f t="shared" si="12"/>
        <v>#N/A</v>
      </c>
      <c r="T37" s="713" t="s">
        <v>17</v>
      </c>
      <c r="U37" s="714" t="e">
        <f t="shared" si="13"/>
        <v>#N/A</v>
      </c>
      <c r="V37" s="713" t="s">
        <v>17</v>
      </c>
      <c r="W37" s="714" t="e">
        <f t="shared" si="14"/>
        <v>#N/A</v>
      </c>
      <c r="X37" s="1489"/>
      <c r="Y37" s="3499"/>
      <c r="Z37" s="1490" t="str">
        <f t="shared" si="15"/>
        <v>成新度</v>
      </c>
      <c r="AA37" s="1487" t="e">
        <f t="shared" si="3"/>
        <v>#N/A</v>
      </c>
      <c r="AB37" s="1487" t="e">
        <f t="shared" si="4"/>
        <v>#N/A</v>
      </c>
      <c r="AC37" s="2098"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497"/>
      <c r="Q38" s="1477" t="str">
        <f t="shared" si="11"/>
        <v>写字楼等级</v>
      </c>
      <c r="R38" s="709" t="s">
        <v>17</v>
      </c>
      <c r="S38" s="710">
        <f t="shared" si="12"/>
        <v>100</v>
      </c>
      <c r="T38" s="709" t="s">
        <v>17</v>
      </c>
      <c r="U38" s="710">
        <f t="shared" si="13"/>
        <v>100</v>
      </c>
      <c r="V38" s="709" t="s">
        <v>17</v>
      </c>
      <c r="W38" s="710">
        <f t="shared" si="14"/>
        <v>100</v>
      </c>
      <c r="X38" s="711"/>
      <c r="Y38" s="3499"/>
      <c r="Z38" s="54" t="str">
        <f t="shared" si="15"/>
        <v>写字楼等级</v>
      </c>
      <c r="AA38" s="712">
        <f t="shared" si="3"/>
        <v>1</v>
      </c>
      <c r="AB38" s="712">
        <f t="shared" si="4"/>
        <v>1</v>
      </c>
      <c r="AC38" s="2095">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497" t="s">
        <v>2145</v>
      </c>
      <c r="Q39" s="1486" t="str">
        <f t="shared" si="11"/>
        <v>物业管理</v>
      </c>
      <c r="R39" s="713" t="s">
        <v>17</v>
      </c>
      <c r="S39" s="714">
        <f t="shared" si="12"/>
        <v>100</v>
      </c>
      <c r="T39" s="713" t="s">
        <v>17</v>
      </c>
      <c r="U39" s="714">
        <f t="shared" si="13"/>
        <v>100</v>
      </c>
      <c r="V39" s="713" t="s">
        <v>17</v>
      </c>
      <c r="W39" s="714">
        <f t="shared" si="14"/>
        <v>100</v>
      </c>
      <c r="X39" s="1489"/>
      <c r="Y39" s="3499" t="s">
        <v>2145</v>
      </c>
      <c r="Z39" s="1490" t="str">
        <f t="shared" si="15"/>
        <v>物业管理</v>
      </c>
      <c r="AA39" s="1487">
        <f t="shared" si="3"/>
        <v>1</v>
      </c>
      <c r="AB39" s="1487">
        <f t="shared" si="4"/>
        <v>1</v>
      </c>
      <c r="AC39" s="2098">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497"/>
      <c r="Q40" s="1486" t="str">
        <f t="shared" si="11"/>
        <v>市政基础设施</v>
      </c>
      <c r="R40" s="713" t="s">
        <v>17</v>
      </c>
      <c r="S40" s="714">
        <f t="shared" si="12"/>
        <v>100</v>
      </c>
      <c r="T40" s="713" t="s">
        <v>17</v>
      </c>
      <c r="U40" s="714">
        <f t="shared" si="13"/>
        <v>100</v>
      </c>
      <c r="V40" s="713" t="s">
        <v>17</v>
      </c>
      <c r="W40" s="714">
        <f t="shared" si="14"/>
        <v>100</v>
      </c>
      <c r="X40" s="1489"/>
      <c r="Y40" s="3499"/>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497"/>
      <c r="Q41" s="1486" t="str">
        <f t="shared" si="11"/>
        <v>层高</v>
      </c>
      <c r="R41" s="713" t="s">
        <v>17</v>
      </c>
      <c r="S41" s="714">
        <f t="shared" si="12"/>
        <v>100</v>
      </c>
      <c r="T41" s="713" t="s">
        <v>17</v>
      </c>
      <c r="U41" s="714">
        <f t="shared" si="13"/>
        <v>100</v>
      </c>
      <c r="V41" s="713" t="s">
        <v>17</v>
      </c>
      <c r="W41" s="714">
        <f t="shared" si="14"/>
        <v>100</v>
      </c>
      <c r="X41" s="1489"/>
      <c r="Y41" s="3499"/>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497"/>
      <c r="Q42" s="715" t="str">
        <f t="shared" si="11"/>
        <v>单套建筑面积</v>
      </c>
      <c r="R42" s="716" t="s">
        <v>17</v>
      </c>
      <c r="S42" s="717">
        <f t="shared" si="12"/>
        <v>100</v>
      </c>
      <c r="T42" s="716" t="s">
        <v>17</v>
      </c>
      <c r="U42" s="717">
        <f t="shared" si="13"/>
        <v>100</v>
      </c>
      <c r="V42" s="716" t="s">
        <v>17</v>
      </c>
      <c r="W42" s="717">
        <f t="shared" si="14"/>
        <v>100</v>
      </c>
      <c r="X42" s="718"/>
      <c r="Y42" s="3499"/>
      <c r="Z42" s="719" t="str">
        <f t="shared" si="15"/>
        <v>单套建筑面积</v>
      </c>
      <c r="AA42" s="1487">
        <f t="shared" si="3"/>
        <v>1</v>
      </c>
      <c r="AB42" s="1487">
        <f t="shared" si="4"/>
        <v>1</v>
      </c>
      <c r="AC42" s="2098">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497"/>
      <c r="Q43" s="1486" t="str">
        <f t="shared" si="11"/>
        <v>内部装修</v>
      </c>
      <c r="R43" s="713" t="s">
        <v>17</v>
      </c>
      <c r="S43" s="714">
        <f t="shared" si="12"/>
        <v>100</v>
      </c>
      <c r="T43" s="713" t="s">
        <v>17</v>
      </c>
      <c r="U43" s="714">
        <f t="shared" si="13"/>
        <v>100</v>
      </c>
      <c r="V43" s="713" t="s">
        <v>17</v>
      </c>
      <c r="W43" s="714">
        <f t="shared" si="14"/>
        <v>100</v>
      </c>
      <c r="X43" s="1489"/>
      <c r="Y43" s="3499"/>
      <c r="Z43" s="1490" t="str">
        <f t="shared" si="15"/>
        <v>内部装修</v>
      </c>
      <c r="AA43" s="1487">
        <f t="shared" si="3"/>
        <v>1</v>
      </c>
      <c r="AB43" s="1487">
        <f t="shared" si="4"/>
        <v>1</v>
      </c>
      <c r="AC43" s="2098">
        <f t="shared" si="5"/>
        <v>1</v>
      </c>
    </row>
    <row r="44" spans="1:29" ht="15">
      <c r="A44" s="430"/>
      <c r="B44" s="380" t="s">
        <v>2156</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497"/>
      <c r="Q44" s="1486" t="str">
        <f t="shared" si="11"/>
        <v>内部装修维护情况</v>
      </c>
      <c r="R44" s="713" t="s">
        <v>17</v>
      </c>
      <c r="S44" s="714">
        <f t="shared" si="12"/>
        <v>100</v>
      </c>
      <c r="T44" s="713" t="s">
        <v>17</v>
      </c>
      <c r="U44" s="714">
        <f t="shared" si="13"/>
        <v>100</v>
      </c>
      <c r="V44" s="713" t="s">
        <v>17</v>
      </c>
      <c r="W44" s="714">
        <f t="shared" si="14"/>
        <v>100</v>
      </c>
      <c r="X44" s="1489"/>
      <c r="Y44" s="3499"/>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497"/>
      <c r="Q45" s="1477">
        <f t="shared" si="11"/>
        <v>111</v>
      </c>
      <c r="R45" s="709" t="s">
        <v>17</v>
      </c>
      <c r="S45" s="710">
        <f t="shared" si="12"/>
        <v>100</v>
      </c>
      <c r="T45" s="709" t="s">
        <v>17</v>
      </c>
      <c r="U45" s="710">
        <f t="shared" si="13"/>
        <v>100</v>
      </c>
      <c r="V45" s="709" t="s">
        <v>17</v>
      </c>
      <c r="W45" s="710">
        <f t="shared" si="14"/>
        <v>100</v>
      </c>
      <c r="X45" s="711"/>
      <c r="Y45" s="3499"/>
      <c r="Z45" s="54">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497"/>
      <c r="Q46" s="1486">
        <f t="shared" si="11"/>
        <v>111</v>
      </c>
      <c r="R46" s="713" t="s">
        <v>17</v>
      </c>
      <c r="S46" s="714">
        <f t="shared" si="12"/>
        <v>100</v>
      </c>
      <c r="T46" s="713" t="s">
        <v>17</v>
      </c>
      <c r="U46" s="714">
        <f t="shared" si="13"/>
        <v>100</v>
      </c>
      <c r="V46" s="713" t="s">
        <v>17</v>
      </c>
      <c r="W46" s="714">
        <f t="shared" si="14"/>
        <v>100</v>
      </c>
      <c r="X46" s="1489"/>
      <c r="Y46" s="3499"/>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498"/>
      <c r="Q47" s="1486">
        <f t="shared" si="11"/>
        <v>111</v>
      </c>
      <c r="R47" s="713" t="s">
        <v>17</v>
      </c>
      <c r="S47" s="714">
        <f t="shared" si="12"/>
        <v>100</v>
      </c>
      <c r="T47" s="713" t="s">
        <v>17</v>
      </c>
      <c r="U47" s="714">
        <f t="shared" si="13"/>
        <v>100</v>
      </c>
      <c r="V47" s="713" t="s">
        <v>17</v>
      </c>
      <c r="W47" s="714">
        <f t="shared" si="14"/>
        <v>100</v>
      </c>
      <c r="X47" s="1489"/>
      <c r="Y47" s="3500"/>
      <c r="Z47" s="1490">
        <f t="shared" si="15"/>
        <v>111</v>
      </c>
      <c r="AA47" s="1487">
        <f t="shared" si="3"/>
        <v>1</v>
      </c>
      <c r="AB47" s="1487">
        <f t="shared" si="4"/>
        <v>1</v>
      </c>
      <c r="AC47" s="2098">
        <f t="shared" si="5"/>
        <v>1</v>
      </c>
    </row>
    <row r="48" spans="1:29" ht="15">
      <c r="A48" s="437" t="s">
        <v>2157</v>
      </c>
      <c r="B48" s="438"/>
      <c r="C48" s="1268" t="s">
        <v>1</v>
      </c>
      <c r="D48" s="1269"/>
      <c r="E48" s="1270"/>
      <c r="F48" s="1271"/>
      <c r="G48" s="1272"/>
      <c r="H48" s="1273"/>
      <c r="I48" s="1270"/>
      <c r="J48" s="443"/>
      <c r="K48" s="722"/>
      <c r="L48" s="2902"/>
      <c r="M48" s="2894"/>
      <c r="N48" s="2894"/>
      <c r="O48" s="2894"/>
      <c r="P48" s="3474" t="str">
        <f>A48</f>
        <v>成交单价（元/平方米）</v>
      </c>
      <c r="Q48" s="3492"/>
      <c r="R48" s="3493">
        <f>E48</f>
        <v>0</v>
      </c>
      <c r="S48" s="3493"/>
      <c r="T48" s="3493">
        <f>G48</f>
        <v>0</v>
      </c>
      <c r="U48" s="3493"/>
      <c r="V48" s="3493">
        <f>I48</f>
        <v>0</v>
      </c>
      <c r="W48" s="3493"/>
      <c r="X48" s="404"/>
      <c r="Y48" s="720"/>
      <c r="Z48" s="404"/>
      <c r="AA48" s="404"/>
      <c r="AB48" s="404"/>
      <c r="AC48" s="585"/>
    </row>
    <row r="49" spans="1:29" ht="15.75" thickBot="1">
      <c r="A49" s="444" t="s">
        <v>2249</v>
      </c>
      <c r="B49" s="445"/>
      <c r="C49" s="1274" t="e">
        <f>R50</f>
        <v>#DIV/0!</v>
      </c>
      <c r="D49" s="2488" t="s">
        <v>2639</v>
      </c>
      <c r="E49" s="1275" t="e">
        <f>R49</f>
        <v>#DIV/0!</v>
      </c>
      <c r="F49" s="2489"/>
      <c r="G49" s="1274" t="e">
        <f>T49</f>
        <v>#DIV/0!</v>
      </c>
      <c r="H49" s="2489"/>
      <c r="I49" s="1275" t="e">
        <f>V49</f>
        <v>#DIV/0!</v>
      </c>
      <c r="J49" s="2489"/>
      <c r="K49" s="2491">
        <f>F49+H49+J49</f>
        <v>0</v>
      </c>
      <c r="L49" s="2902"/>
      <c r="M49" s="2894"/>
      <c r="N49" s="2894"/>
      <c r="O49" s="2894"/>
      <c r="P49" s="3474" t="str">
        <f>A49</f>
        <v>比较价值（元/平方米）</v>
      </c>
      <c r="Q49" s="349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902"/>
      <c r="M50" s="2894"/>
      <c r="N50" s="2894"/>
      <c r="O50" s="2894"/>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2022-4</v>
      </c>
      <c r="D59" s="1299">
        <f>EDATE(C59,-1)</f>
        <v>44621</v>
      </c>
      <c r="E59" s="1299">
        <f>EDATE(D59,-1)</f>
        <v>44593</v>
      </c>
      <c r="F59" s="1299">
        <f t="shared" ref="F59:O59" si="16">EDATE(E59,-1)</f>
        <v>44562</v>
      </c>
      <c r="G59" s="1299">
        <f t="shared" si="16"/>
        <v>44531</v>
      </c>
      <c r="H59" s="1299">
        <f t="shared" si="16"/>
        <v>44501</v>
      </c>
      <c r="I59" s="1299">
        <f t="shared" si="16"/>
        <v>44470</v>
      </c>
      <c r="J59" s="1299">
        <f t="shared" si="16"/>
        <v>44440</v>
      </c>
      <c r="K59" s="1299">
        <f t="shared" si="16"/>
        <v>44409</v>
      </c>
      <c r="L59" s="1299">
        <f t="shared" si="16"/>
        <v>44378</v>
      </c>
      <c r="M59" s="1299">
        <f t="shared" si="16"/>
        <v>44348</v>
      </c>
      <c r="N59" s="1299">
        <f t="shared" si="16"/>
        <v>44317</v>
      </c>
      <c r="O59" s="1299">
        <f t="shared" si="16"/>
        <v>44287</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8363.3700000000008</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75" t="s">
        <v>2226</v>
      </c>
      <c r="D4" s="3476"/>
      <c r="E4" s="3477" t="s">
        <v>2227</v>
      </c>
      <c r="F4" s="3478"/>
      <c r="G4" s="3475" t="s">
        <v>2228</v>
      </c>
      <c r="H4" s="3476"/>
      <c r="I4" s="3475" t="s">
        <v>2229</v>
      </c>
      <c r="J4" s="3476"/>
      <c r="K4" s="566" t="s">
        <v>2230</v>
      </c>
      <c r="L4" s="1024"/>
      <c r="M4" s="1025"/>
      <c r="N4" s="1025"/>
      <c r="O4" s="1025"/>
      <c r="P4" s="3479" t="s">
        <v>2231</v>
      </c>
      <c r="Q4" s="3480"/>
      <c r="R4" s="3462" t="s">
        <v>2227</v>
      </c>
      <c r="S4" s="3463"/>
      <c r="T4" s="3462" t="s">
        <v>2228</v>
      </c>
      <c r="U4" s="3463"/>
      <c r="V4" s="3487" t="s">
        <v>2229</v>
      </c>
      <c r="W4" s="3487"/>
      <c r="X4" s="1489"/>
      <c r="Y4" s="3462" t="s">
        <v>2231</v>
      </c>
      <c r="Z4" s="3463"/>
      <c r="AA4" s="3457" t="s">
        <v>2227</v>
      </c>
      <c r="AB4" s="3458" t="s">
        <v>2228</v>
      </c>
      <c r="AC4" s="3457" t="s">
        <v>2229</v>
      </c>
    </row>
    <row r="5" spans="1:29" ht="15">
      <c r="A5" s="363"/>
      <c r="B5" s="364"/>
      <c r="C5" s="3468" t="s">
        <v>2122</v>
      </c>
      <c r="D5" s="3469"/>
      <c r="E5" s="3466" t="s">
        <v>2123</v>
      </c>
      <c r="F5" s="3467"/>
      <c r="G5" s="3468" t="s">
        <v>2124</v>
      </c>
      <c r="H5" s="3469"/>
      <c r="I5" s="3468" t="s">
        <v>2125</v>
      </c>
      <c r="J5" s="3469"/>
      <c r="K5" s="566"/>
      <c r="L5" s="1024"/>
      <c r="M5" s="1025"/>
      <c r="N5" s="1025"/>
      <c r="O5" s="1025"/>
      <c r="P5" s="3481"/>
      <c r="Q5" s="3482"/>
      <c r="R5" s="3464"/>
      <c r="S5" s="3465"/>
      <c r="T5" s="3464"/>
      <c r="U5" s="3465"/>
      <c r="V5" s="3487"/>
      <c r="W5" s="3487"/>
      <c r="X5" s="1489"/>
      <c r="Y5" s="3464"/>
      <c r="Z5" s="3465"/>
      <c r="AA5" s="3458"/>
      <c r="AB5" s="3458"/>
      <c r="AC5" s="3458"/>
    </row>
    <row r="6" spans="1:29" ht="15.75" thickBot="1">
      <c r="A6" s="365"/>
      <c r="B6" s="366"/>
      <c r="C6" s="3470" t="s">
        <v>2126</v>
      </c>
      <c r="D6" s="3471"/>
      <c r="E6" s="3472" t="s">
        <v>2126</v>
      </c>
      <c r="F6" s="3473"/>
      <c r="G6" s="3470" t="s">
        <v>2126</v>
      </c>
      <c r="H6" s="3471"/>
      <c r="I6" s="3470" t="s">
        <v>2126</v>
      </c>
      <c r="J6" s="3471"/>
      <c r="K6" s="566" t="s">
        <v>2127</v>
      </c>
      <c r="L6" s="1024"/>
      <c r="M6" s="1025"/>
      <c r="N6" s="1025"/>
      <c r="O6" s="1025"/>
      <c r="P6" s="3483"/>
      <c r="Q6" s="3484"/>
      <c r="R6" s="3464"/>
      <c r="S6" s="3465"/>
      <c r="T6" s="3485"/>
      <c r="U6" s="3486"/>
      <c r="V6" s="3487"/>
      <c r="W6" s="3487"/>
      <c r="X6" s="1489"/>
      <c r="Y6" s="3485"/>
      <c r="Z6" s="3486"/>
      <c r="AA6" s="3459"/>
      <c r="AB6" s="3459"/>
      <c r="AC6" s="3459"/>
    </row>
    <row r="7" spans="1:29" s="112" customFormat="1" ht="15.75" thickBot="1">
      <c r="A7" s="367" t="s">
        <v>2128</v>
      </c>
      <c r="B7" s="368"/>
      <c r="C7" s="369">
        <f>'数据-取费表'!B2</f>
        <v>44677</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60" t="s">
        <v>2129</v>
      </c>
      <c r="Q7" s="3488"/>
      <c r="R7" s="709" t="s">
        <v>17</v>
      </c>
      <c r="S7" s="710">
        <f t="shared" ref="S7:S15" si="0">F7</f>
        <v>0</v>
      </c>
      <c r="T7" s="709" t="s">
        <v>17</v>
      </c>
      <c r="U7" s="710">
        <f t="shared" ref="U7:U15" si="1">H7</f>
        <v>0</v>
      </c>
      <c r="V7" s="709" t="s">
        <v>17</v>
      </c>
      <c r="W7" s="710">
        <f t="shared" ref="W7:W15" si="2">J7</f>
        <v>0</v>
      </c>
      <c r="X7" s="711"/>
      <c r="Y7" s="3460" t="s">
        <v>2129</v>
      </c>
      <c r="Z7" s="3461"/>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60" t="s">
        <v>2132</v>
      </c>
      <c r="Q8" s="3461"/>
      <c r="R8" s="709" t="s">
        <v>17</v>
      </c>
      <c r="S8" s="710">
        <f t="shared" si="0"/>
        <v>0</v>
      </c>
      <c r="T8" s="709" t="s">
        <v>17</v>
      </c>
      <c r="U8" s="710">
        <f t="shared" si="1"/>
        <v>0</v>
      </c>
      <c r="V8" s="709" t="s">
        <v>17</v>
      </c>
      <c r="W8" s="710">
        <f t="shared" si="2"/>
        <v>0</v>
      </c>
      <c r="X8" s="711"/>
      <c r="Y8" s="3460" t="s">
        <v>2132</v>
      </c>
      <c r="Z8" s="3461"/>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92" t="s">
        <v>2135</v>
      </c>
      <c r="Q9" s="1477" t="str">
        <f t="shared" ref="Q9:Q15" si="6">B9</f>
        <v>用途</v>
      </c>
      <c r="R9" s="709" t="s">
        <v>17</v>
      </c>
      <c r="S9" s="710">
        <f t="shared" si="0"/>
        <v>100</v>
      </c>
      <c r="T9" s="709" t="s">
        <v>17</v>
      </c>
      <c r="U9" s="710">
        <f t="shared" si="1"/>
        <v>100</v>
      </c>
      <c r="V9" s="709" t="s">
        <v>17</v>
      </c>
      <c r="W9" s="710">
        <f t="shared" si="2"/>
        <v>100</v>
      </c>
      <c r="X9" s="711"/>
      <c r="Y9" s="340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92"/>
      <c r="Q10" s="1477" t="str">
        <f t="shared" si="6"/>
        <v>土地使用年限（年）</v>
      </c>
      <c r="R10" s="709" t="s">
        <v>17</v>
      </c>
      <c r="S10" s="710">
        <f t="shared" si="0"/>
        <v>100</v>
      </c>
      <c r="T10" s="709" t="s">
        <v>17</v>
      </c>
      <c r="U10" s="710">
        <f t="shared" si="1"/>
        <v>100</v>
      </c>
      <c r="V10" s="709" t="s">
        <v>17</v>
      </c>
      <c r="W10" s="710">
        <f t="shared" si="2"/>
        <v>100</v>
      </c>
      <c r="X10" s="711"/>
      <c r="Y10" s="3404"/>
      <c r="Z10" s="54"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92"/>
      <c r="Q11" s="1477" t="str">
        <f t="shared" si="6"/>
        <v>容积率</v>
      </c>
      <c r="R11" s="709" t="s">
        <v>17</v>
      </c>
      <c r="S11" s="710" t="e">
        <f t="shared" si="0"/>
        <v>#N/A</v>
      </c>
      <c r="T11" s="709" t="s">
        <v>17</v>
      </c>
      <c r="U11" s="710" t="e">
        <f t="shared" si="1"/>
        <v>#N/A</v>
      </c>
      <c r="V11" s="709" t="s">
        <v>17</v>
      </c>
      <c r="W11" s="710" t="e">
        <f t="shared" si="2"/>
        <v>#N/A</v>
      </c>
      <c r="X11" s="711"/>
      <c r="Y11" s="3404"/>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492"/>
      <c r="Q12" s="1477">
        <f t="shared" si="6"/>
        <v>111</v>
      </c>
      <c r="R12" s="709" t="s">
        <v>17</v>
      </c>
      <c r="S12" s="710">
        <f t="shared" si="0"/>
        <v>100</v>
      </c>
      <c r="T12" s="709" t="s">
        <v>17</v>
      </c>
      <c r="U12" s="710">
        <f t="shared" si="1"/>
        <v>100</v>
      </c>
      <c r="V12" s="709" t="s">
        <v>17</v>
      </c>
      <c r="W12" s="710">
        <f t="shared" si="2"/>
        <v>100</v>
      </c>
      <c r="X12" s="711"/>
      <c r="Y12" s="3404"/>
      <c r="Z12" s="54">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492"/>
      <c r="Q13" s="1477">
        <f t="shared" si="6"/>
        <v>111</v>
      </c>
      <c r="R13" s="709" t="s">
        <v>17</v>
      </c>
      <c r="S13" s="710">
        <f t="shared" si="0"/>
        <v>100</v>
      </c>
      <c r="T13" s="709" t="s">
        <v>17</v>
      </c>
      <c r="U13" s="710">
        <f t="shared" si="1"/>
        <v>100</v>
      </c>
      <c r="V13" s="709" t="s">
        <v>17</v>
      </c>
      <c r="W13" s="710">
        <f t="shared" si="2"/>
        <v>100</v>
      </c>
      <c r="X13" s="711"/>
      <c r="Y13" s="3404"/>
      <c r="Z13" s="54">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492"/>
      <c r="Q14" s="1477">
        <f t="shared" si="6"/>
        <v>111</v>
      </c>
      <c r="R14" s="709" t="s">
        <v>17</v>
      </c>
      <c r="S14" s="710">
        <f t="shared" si="0"/>
        <v>100</v>
      </c>
      <c r="T14" s="709" t="s">
        <v>17</v>
      </c>
      <c r="U14" s="710">
        <f t="shared" si="1"/>
        <v>100</v>
      </c>
      <c r="V14" s="709" t="s">
        <v>17</v>
      </c>
      <c r="W14" s="710">
        <f t="shared" si="2"/>
        <v>100</v>
      </c>
      <c r="X14" s="711"/>
      <c r="Y14" s="3404"/>
      <c r="Z14" s="54">
        <f t="shared" si="7"/>
        <v>111</v>
      </c>
      <c r="AA14" s="712">
        <f t="shared" si="3"/>
        <v>1</v>
      </c>
      <c r="AB14" s="712">
        <f t="shared" si="4"/>
        <v>1</v>
      </c>
      <c r="AC14" s="712">
        <f t="shared" si="5"/>
        <v>1</v>
      </c>
    </row>
    <row r="15" spans="1:29" ht="57">
      <c r="A15" s="398" t="s">
        <v>2139</v>
      </c>
      <c r="B15" s="64"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94" t="s">
        <v>2140</v>
      </c>
      <c r="Q15" s="1486" t="str">
        <f t="shared" si="6"/>
        <v>产业集聚程度</v>
      </c>
      <c r="R15" s="713" t="s">
        <v>17</v>
      </c>
      <c r="S15" s="714">
        <f t="shared" si="0"/>
        <v>100</v>
      </c>
      <c r="T15" s="713" t="s">
        <v>17</v>
      </c>
      <c r="U15" s="714">
        <f t="shared" si="1"/>
        <v>100</v>
      </c>
      <c r="V15" s="713" t="s">
        <v>17</v>
      </c>
      <c r="W15" s="714">
        <f t="shared" si="2"/>
        <v>100</v>
      </c>
      <c r="X15" s="1489"/>
      <c r="Y15" s="3494"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95"/>
      <c r="Q16" s="1486"/>
      <c r="R16" s="713"/>
      <c r="S16" s="714"/>
      <c r="T16" s="713"/>
      <c r="U16" s="714"/>
      <c r="V16" s="713"/>
      <c r="W16" s="714"/>
      <c r="X16" s="1489"/>
      <c r="Y16" s="3495"/>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95"/>
      <c r="Q17" s="1486" t="str">
        <f>B17</f>
        <v>交通便捷度</v>
      </c>
      <c r="R17" s="713" t="s">
        <v>17</v>
      </c>
      <c r="S17" s="714">
        <f>F17</f>
        <v>100</v>
      </c>
      <c r="T17" s="713" t="s">
        <v>17</v>
      </c>
      <c r="U17" s="714">
        <f>H17</f>
        <v>100</v>
      </c>
      <c r="V17" s="713" t="s">
        <v>17</v>
      </c>
      <c r="W17" s="714">
        <f>J17</f>
        <v>100</v>
      </c>
      <c r="X17" s="1489"/>
      <c r="Y17" s="3495"/>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495"/>
      <c r="Q18" s="1486"/>
      <c r="R18" s="713"/>
      <c r="S18" s="714"/>
      <c r="T18" s="713"/>
      <c r="U18" s="714"/>
      <c r="V18" s="713"/>
      <c r="W18" s="714"/>
      <c r="X18" s="1489"/>
      <c r="Y18" s="3495"/>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95"/>
      <c r="Q19" s="1486" t="str">
        <f>B19</f>
        <v>公共配套设施</v>
      </c>
      <c r="R19" s="713" t="s">
        <v>17</v>
      </c>
      <c r="S19" s="714">
        <f>F19</f>
        <v>100</v>
      </c>
      <c r="T19" s="713" t="s">
        <v>17</v>
      </c>
      <c r="U19" s="714">
        <f>H19</f>
        <v>100</v>
      </c>
      <c r="V19" s="713" t="s">
        <v>17</v>
      </c>
      <c r="W19" s="714">
        <f>J19</f>
        <v>100</v>
      </c>
      <c r="X19" s="1489"/>
      <c r="Y19" s="3495"/>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495"/>
      <c r="Q20" s="1486"/>
      <c r="R20" s="713"/>
      <c r="S20" s="714"/>
      <c r="T20" s="713"/>
      <c r="U20" s="714"/>
      <c r="V20" s="713"/>
      <c r="W20" s="714"/>
      <c r="X20" s="1489"/>
      <c r="Y20" s="3495"/>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95"/>
      <c r="Q21" s="1486" t="str">
        <f>B21</f>
        <v>基础设施水平</v>
      </c>
      <c r="R21" s="713" t="s">
        <v>17</v>
      </c>
      <c r="S21" s="714">
        <f>F21</f>
        <v>100</v>
      </c>
      <c r="T21" s="713" t="s">
        <v>17</v>
      </c>
      <c r="U21" s="714">
        <f>H21</f>
        <v>100</v>
      </c>
      <c r="V21" s="713" t="s">
        <v>17</v>
      </c>
      <c r="W21" s="714">
        <f>J21</f>
        <v>100</v>
      </c>
      <c r="X21" s="1489"/>
      <c r="Y21" s="3495"/>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495"/>
      <c r="Q22" s="1486"/>
      <c r="R22" s="713"/>
      <c r="S22" s="714"/>
      <c r="T22" s="713"/>
      <c r="U22" s="714"/>
      <c r="V22" s="713"/>
      <c r="W22" s="714"/>
      <c r="X22" s="1489"/>
      <c r="Y22" s="3495"/>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95"/>
      <c r="Q23" s="1486" t="str">
        <f>B23</f>
        <v>环境质量</v>
      </c>
      <c r="R23" s="713" t="s">
        <v>17</v>
      </c>
      <c r="S23" s="714">
        <f>F23</f>
        <v>100</v>
      </c>
      <c r="T23" s="713" t="s">
        <v>17</v>
      </c>
      <c r="U23" s="714">
        <f>H23</f>
        <v>100</v>
      </c>
      <c r="V23" s="713" t="s">
        <v>17</v>
      </c>
      <c r="W23" s="714">
        <f>J23</f>
        <v>100</v>
      </c>
      <c r="X23" s="1489"/>
      <c r="Y23" s="3495"/>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495"/>
      <c r="Q24" s="1486"/>
      <c r="R24" s="713"/>
      <c r="S24" s="714"/>
      <c r="T24" s="713"/>
      <c r="U24" s="714"/>
      <c r="V24" s="713"/>
      <c r="W24" s="714"/>
      <c r="X24" s="1489"/>
      <c r="Y24" s="3495"/>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95"/>
      <c r="Q25" s="1486">
        <f>B25</f>
        <v>111</v>
      </c>
      <c r="R25" s="713" t="s">
        <v>17</v>
      </c>
      <c r="S25" s="714">
        <f>F25</f>
        <v>100</v>
      </c>
      <c r="T25" s="713" t="s">
        <v>17</v>
      </c>
      <c r="U25" s="714">
        <f>H25</f>
        <v>100</v>
      </c>
      <c r="V25" s="713" t="s">
        <v>17</v>
      </c>
      <c r="W25" s="714">
        <f>J25</f>
        <v>100</v>
      </c>
      <c r="X25" s="1489"/>
      <c r="Y25" s="3495"/>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95"/>
      <c r="Q26" s="1486">
        <f t="shared" ref="Q26:Q40" si="11">B26</f>
        <v>111</v>
      </c>
      <c r="R26" s="713" t="s">
        <v>17</v>
      </c>
      <c r="S26" s="714">
        <f>F26</f>
        <v>100</v>
      </c>
      <c r="T26" s="713" t="s">
        <v>17</v>
      </c>
      <c r="U26" s="714">
        <f>H26</f>
        <v>100</v>
      </c>
      <c r="V26" s="713" t="s">
        <v>17</v>
      </c>
      <c r="W26" s="714">
        <f>J26</f>
        <v>100</v>
      </c>
      <c r="X26" s="1489"/>
      <c r="Y26" s="3495"/>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95"/>
      <c r="Q27" s="1477">
        <f t="shared" si="11"/>
        <v>111</v>
      </c>
      <c r="R27" s="709" t="s">
        <v>17</v>
      </c>
      <c r="S27" s="710">
        <f>F27</f>
        <v>100</v>
      </c>
      <c r="T27" s="709" t="s">
        <v>17</v>
      </c>
      <c r="U27" s="710">
        <f>H27</f>
        <v>100</v>
      </c>
      <c r="V27" s="709" t="s">
        <v>17</v>
      </c>
      <c r="W27" s="710">
        <f>J27</f>
        <v>100</v>
      </c>
      <c r="X27" s="711"/>
      <c r="Y27" s="3495"/>
      <c r="Z27" s="54">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95"/>
      <c r="Q28" s="1486">
        <f t="shared" si="11"/>
        <v>111</v>
      </c>
      <c r="R28" s="713" t="s">
        <v>17</v>
      </c>
      <c r="S28" s="714">
        <f t="shared" ref="S28:S40" si="12">F28</f>
        <v>100</v>
      </c>
      <c r="T28" s="713" t="s">
        <v>17</v>
      </c>
      <c r="U28" s="714">
        <f t="shared" ref="U28:U40" si="13">H28</f>
        <v>100</v>
      </c>
      <c r="V28" s="713" t="s">
        <v>17</v>
      </c>
      <c r="W28" s="714">
        <f t="shared" ref="W28:W40" si="14">J28</f>
        <v>100</v>
      </c>
      <c r="X28" s="1489"/>
      <c r="Y28" s="3495"/>
      <c r="Z28" s="1490">
        <f t="shared" ref="Z28:Z40" si="15">Q28</f>
        <v>111</v>
      </c>
      <c r="AA28" s="1487">
        <f t="shared" si="3"/>
        <v>1</v>
      </c>
      <c r="AB28" s="1487">
        <f t="shared" si="4"/>
        <v>1</v>
      </c>
      <c r="AC28" s="1487">
        <f t="shared" si="5"/>
        <v>1</v>
      </c>
    </row>
    <row r="29" spans="1:29" ht="28.5">
      <c r="A29" s="424" t="s">
        <v>2143</v>
      </c>
      <c r="B29" s="66"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518" t="s">
        <v>2145</v>
      </c>
      <c r="Q29" s="1486" t="str">
        <f t="shared" si="11"/>
        <v>建筑类型</v>
      </c>
      <c r="R29" s="713" t="s">
        <v>17</v>
      </c>
      <c r="S29" s="714">
        <f t="shared" si="12"/>
        <v>100</v>
      </c>
      <c r="T29" s="713" t="s">
        <v>17</v>
      </c>
      <c r="U29" s="714">
        <f t="shared" si="13"/>
        <v>100</v>
      </c>
      <c r="V29" s="713" t="s">
        <v>17</v>
      </c>
      <c r="W29" s="714">
        <f t="shared" si="14"/>
        <v>100</v>
      </c>
      <c r="X29" s="1489"/>
      <c r="Y29" s="3499"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99"/>
      <c r="Q30" s="715" t="str">
        <f t="shared" si="11"/>
        <v>项目建筑规模</v>
      </c>
      <c r="R30" s="716" t="s">
        <v>17</v>
      </c>
      <c r="S30" s="717" t="e">
        <f t="shared" si="12"/>
        <v>#N/A</v>
      </c>
      <c r="T30" s="716" t="s">
        <v>17</v>
      </c>
      <c r="U30" s="717" t="e">
        <f t="shared" si="13"/>
        <v>#N/A</v>
      </c>
      <c r="V30" s="716" t="s">
        <v>17</v>
      </c>
      <c r="W30" s="717" t="e">
        <f t="shared" si="14"/>
        <v>#N/A</v>
      </c>
      <c r="X30" s="718"/>
      <c r="Y30" s="3499"/>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99"/>
      <c r="Q31" s="1486" t="str">
        <f t="shared" si="11"/>
        <v>建筑结构</v>
      </c>
      <c r="R31" s="713" t="s">
        <v>17</v>
      </c>
      <c r="S31" s="714">
        <f t="shared" si="12"/>
        <v>100</v>
      </c>
      <c r="T31" s="713" t="s">
        <v>17</v>
      </c>
      <c r="U31" s="714">
        <f t="shared" si="13"/>
        <v>100</v>
      </c>
      <c r="V31" s="713" t="s">
        <v>17</v>
      </c>
      <c r="W31" s="714">
        <f t="shared" si="14"/>
        <v>100</v>
      </c>
      <c r="X31" s="1489"/>
      <c r="Y31" s="3499"/>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99"/>
      <c r="Q32" s="1486" t="str">
        <f t="shared" si="11"/>
        <v>公共部分装修</v>
      </c>
      <c r="R32" s="713" t="s">
        <v>17</v>
      </c>
      <c r="S32" s="714">
        <f t="shared" si="12"/>
        <v>100</v>
      </c>
      <c r="T32" s="713" t="s">
        <v>17</v>
      </c>
      <c r="U32" s="714">
        <f t="shared" si="13"/>
        <v>100</v>
      </c>
      <c r="V32" s="713" t="s">
        <v>17</v>
      </c>
      <c r="W32" s="714">
        <f t="shared" si="14"/>
        <v>100</v>
      </c>
      <c r="X32" s="1489"/>
      <c r="Y32" s="3499"/>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99"/>
      <c r="Q33" s="1486" t="str">
        <f t="shared" si="11"/>
        <v>成新度</v>
      </c>
      <c r="R33" s="713" t="s">
        <v>17</v>
      </c>
      <c r="S33" s="714" t="e">
        <f t="shared" si="12"/>
        <v>#N/A</v>
      </c>
      <c r="T33" s="713" t="s">
        <v>17</v>
      </c>
      <c r="U33" s="714" t="e">
        <f t="shared" si="13"/>
        <v>#N/A</v>
      </c>
      <c r="V33" s="713" t="s">
        <v>17</v>
      </c>
      <c r="W33" s="714" t="e">
        <f t="shared" si="14"/>
        <v>#N/A</v>
      </c>
      <c r="X33" s="1489"/>
      <c r="Y33" s="3499"/>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99"/>
      <c r="Q34" s="1477" t="str">
        <f t="shared" si="11"/>
        <v>物业管理</v>
      </c>
      <c r="R34" s="709" t="s">
        <v>17</v>
      </c>
      <c r="S34" s="710">
        <f t="shared" si="12"/>
        <v>100</v>
      </c>
      <c r="T34" s="709" t="s">
        <v>17</v>
      </c>
      <c r="U34" s="710">
        <f t="shared" si="13"/>
        <v>100</v>
      </c>
      <c r="V34" s="709" t="s">
        <v>17</v>
      </c>
      <c r="W34" s="710">
        <f t="shared" si="14"/>
        <v>100</v>
      </c>
      <c r="X34" s="711"/>
      <c r="Y34" s="3499"/>
      <c r="Z34" s="54"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99" t="s">
        <v>2145</v>
      </c>
      <c r="Q35" s="1486" t="str">
        <f t="shared" si="11"/>
        <v>市政基础设施</v>
      </c>
      <c r="R35" s="713" t="s">
        <v>17</v>
      </c>
      <c r="S35" s="714">
        <f t="shared" si="12"/>
        <v>100</v>
      </c>
      <c r="T35" s="713" t="s">
        <v>17</v>
      </c>
      <c r="U35" s="714">
        <f t="shared" si="13"/>
        <v>100</v>
      </c>
      <c r="V35" s="713" t="s">
        <v>17</v>
      </c>
      <c r="W35" s="714">
        <f t="shared" si="14"/>
        <v>100</v>
      </c>
      <c r="X35" s="1489"/>
      <c r="Y35" s="3499"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99"/>
      <c r="Q36" s="1486" t="str">
        <f t="shared" si="11"/>
        <v>内部装修</v>
      </c>
      <c r="R36" s="713" t="s">
        <v>17</v>
      </c>
      <c r="S36" s="714">
        <f t="shared" si="12"/>
        <v>100</v>
      </c>
      <c r="T36" s="713" t="s">
        <v>17</v>
      </c>
      <c r="U36" s="714">
        <f t="shared" si="13"/>
        <v>100</v>
      </c>
      <c r="V36" s="713" t="s">
        <v>17</v>
      </c>
      <c r="W36" s="714">
        <f t="shared" si="14"/>
        <v>100</v>
      </c>
      <c r="X36" s="1489"/>
      <c r="Y36" s="3499"/>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99"/>
      <c r="Q37" s="1486" t="str">
        <f t="shared" si="11"/>
        <v>内部装修状况</v>
      </c>
      <c r="R37" s="713" t="s">
        <v>17</v>
      </c>
      <c r="S37" s="714">
        <f t="shared" si="12"/>
        <v>100</v>
      </c>
      <c r="T37" s="713" t="s">
        <v>17</v>
      </c>
      <c r="U37" s="714">
        <f t="shared" si="13"/>
        <v>100</v>
      </c>
      <c r="V37" s="713" t="s">
        <v>17</v>
      </c>
      <c r="W37" s="714">
        <f t="shared" si="14"/>
        <v>100</v>
      </c>
      <c r="X37" s="1489"/>
      <c r="Y37" s="3499"/>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99"/>
      <c r="Q38" s="715">
        <f t="shared" si="11"/>
        <v>111</v>
      </c>
      <c r="R38" s="716" t="s">
        <v>17</v>
      </c>
      <c r="S38" s="717">
        <f t="shared" si="12"/>
        <v>100</v>
      </c>
      <c r="T38" s="716" t="s">
        <v>17</v>
      </c>
      <c r="U38" s="717">
        <f t="shared" si="13"/>
        <v>100</v>
      </c>
      <c r="V38" s="716" t="s">
        <v>17</v>
      </c>
      <c r="W38" s="717">
        <f t="shared" si="14"/>
        <v>100</v>
      </c>
      <c r="X38" s="718"/>
      <c r="Y38" s="3499"/>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99"/>
      <c r="Q39" s="1486">
        <f t="shared" si="11"/>
        <v>111</v>
      </c>
      <c r="R39" s="713" t="s">
        <v>17</v>
      </c>
      <c r="S39" s="714">
        <f t="shared" si="12"/>
        <v>100</v>
      </c>
      <c r="T39" s="713" t="s">
        <v>17</v>
      </c>
      <c r="U39" s="714">
        <f t="shared" si="13"/>
        <v>100</v>
      </c>
      <c r="V39" s="713" t="s">
        <v>17</v>
      </c>
      <c r="W39" s="714">
        <f t="shared" si="14"/>
        <v>100</v>
      </c>
      <c r="X39" s="1489"/>
      <c r="Y39" s="3499"/>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00"/>
      <c r="Q40" s="1486">
        <f t="shared" si="11"/>
        <v>111</v>
      </c>
      <c r="R40" s="713" t="s">
        <v>17</v>
      </c>
      <c r="S40" s="714">
        <f t="shared" si="12"/>
        <v>100</v>
      </c>
      <c r="T40" s="713" t="s">
        <v>17</v>
      </c>
      <c r="U40" s="714">
        <f t="shared" si="13"/>
        <v>100</v>
      </c>
      <c r="V40" s="713" t="s">
        <v>17</v>
      </c>
      <c r="W40" s="714">
        <f t="shared" si="14"/>
        <v>100</v>
      </c>
      <c r="X40" s="1489"/>
      <c r="Y40" s="3500"/>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492" t="str">
        <f>A41</f>
        <v>成交单价（元/平方米）</v>
      </c>
      <c r="Q41" s="3492"/>
      <c r="R41" s="3493">
        <f>E41</f>
        <v>0</v>
      </c>
      <c r="S41" s="3493"/>
      <c r="T41" s="3493">
        <f>G41</f>
        <v>0</v>
      </c>
      <c r="U41" s="3493"/>
      <c r="V41" s="3493">
        <f>I41</f>
        <v>0</v>
      </c>
      <c r="W41" s="3493"/>
      <c r="X41" s="698"/>
      <c r="Y41" s="720"/>
      <c r="Z41" s="698"/>
      <c r="AA41" s="698"/>
      <c r="AB41" s="698"/>
      <c r="AC41" s="698"/>
    </row>
    <row r="42" spans="1:29" ht="15.7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2022-4</v>
      </c>
      <c r="D52" s="1299">
        <f>EDATE(C52,-1)</f>
        <v>44621</v>
      </c>
      <c r="E52" s="1299">
        <f t="shared" ref="E52:O52" si="16">EDATE(D52,-1)</f>
        <v>44593</v>
      </c>
      <c r="F52" s="1299">
        <f t="shared" si="16"/>
        <v>44562</v>
      </c>
      <c r="G52" s="1299">
        <f t="shared" si="16"/>
        <v>44531</v>
      </c>
      <c r="H52" s="1299">
        <f t="shared" si="16"/>
        <v>44501</v>
      </c>
      <c r="I52" s="1299">
        <f t="shared" si="16"/>
        <v>44470</v>
      </c>
      <c r="J52" s="1299">
        <f t="shared" si="16"/>
        <v>44440</v>
      </c>
      <c r="K52" s="1299">
        <f t="shared" si="16"/>
        <v>44409</v>
      </c>
      <c r="L52" s="1299">
        <f t="shared" si="16"/>
        <v>44378</v>
      </c>
      <c r="M52" s="1299">
        <f t="shared" si="16"/>
        <v>44348</v>
      </c>
      <c r="N52" s="1299">
        <f t="shared" si="16"/>
        <v>44317</v>
      </c>
      <c r="O52" s="1299">
        <f t="shared" si="16"/>
        <v>44287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8"/>
      <c r="O54" s="2949"/>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4"/>
      <c r="Q57" s="460"/>
    </row>
    <row r="58" spans="1:17" ht="15.75" thickBot="1">
      <c r="A58" s="490"/>
      <c r="B58" s="491"/>
      <c r="C58" s="492">
        <v>100</v>
      </c>
      <c r="D58" s="492"/>
      <c r="E58" s="492"/>
      <c r="F58" s="492"/>
      <c r="G58" s="492"/>
      <c r="H58" s="492"/>
      <c r="I58" s="492"/>
      <c r="J58" s="492"/>
      <c r="K58" s="492"/>
      <c r="L58" s="492"/>
      <c r="M58" s="493"/>
      <c r="N58" s="1045"/>
      <c r="O58" s="1045"/>
      <c r="P58" s="44"/>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4"/>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4"/>
      <c r="Q61" s="460"/>
    </row>
    <row r="62" spans="1:17" ht="15">
      <c r="A62" s="490"/>
      <c r="B62" s="504"/>
      <c r="C62" s="505"/>
      <c r="D62" s="505"/>
      <c r="E62" s="505"/>
      <c r="F62" s="505"/>
      <c r="G62" s="505"/>
      <c r="H62" s="505"/>
      <c r="I62" s="505"/>
      <c r="J62" s="505"/>
      <c r="K62" s="506"/>
      <c r="L62" s="507"/>
      <c r="M62" s="508"/>
      <c r="N62" s="1044"/>
      <c r="O62" s="1044"/>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4"/>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4"/>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4"/>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4"/>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4"/>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4"/>
      <c r="Q79" s="460"/>
    </row>
    <row r="80" spans="1:17" s="112" customFormat="1" ht="15.75" thickTop="1">
      <c r="A80" s="535"/>
      <c r="B80" s="494">
        <f>B25</f>
        <v>111</v>
      </c>
      <c r="C80" s="510"/>
      <c r="D80" s="510"/>
      <c r="E80" s="510"/>
      <c r="F80" s="510"/>
      <c r="G80" s="510"/>
      <c r="H80" s="510"/>
      <c r="I80" s="510"/>
      <c r="J80" s="510"/>
      <c r="K80" s="510"/>
      <c r="L80" s="536"/>
      <c r="M80" s="537"/>
      <c r="N80" s="1043"/>
      <c r="O80" s="1043"/>
      <c r="P80" s="44"/>
      <c r="Q80" s="460"/>
    </row>
    <row r="81" spans="1:17" s="112" customFormat="1" ht="15.75" thickBot="1">
      <c r="A81" s="535"/>
      <c r="B81" s="499"/>
      <c r="C81" s="516"/>
      <c r="D81" s="492"/>
      <c r="E81" s="492"/>
      <c r="F81" s="492"/>
      <c r="G81" s="492"/>
      <c r="H81" s="492"/>
      <c r="I81" s="492"/>
      <c r="J81" s="492"/>
      <c r="K81" s="492"/>
      <c r="L81" s="492"/>
      <c r="M81" s="493"/>
      <c r="N81" s="1045"/>
      <c r="O81" s="1045"/>
      <c r="P81" s="44"/>
      <c r="Q81" s="460"/>
    </row>
    <row r="82" spans="1:17" s="112" customFormat="1" ht="15.75" thickTop="1">
      <c r="A82" s="535"/>
      <c r="B82" s="494">
        <f>B26</f>
        <v>111</v>
      </c>
      <c r="C82" s="510"/>
      <c r="D82" s="510"/>
      <c r="E82" s="510"/>
      <c r="F82" s="510"/>
      <c r="G82" s="510"/>
      <c r="H82" s="510"/>
      <c r="I82" s="510"/>
      <c r="J82" s="510"/>
      <c r="K82" s="510"/>
      <c r="L82" s="536"/>
      <c r="M82" s="537"/>
      <c r="N82" s="1043"/>
      <c r="O82" s="1043"/>
      <c r="P82" s="44"/>
      <c r="Q82" s="460"/>
    </row>
    <row r="83" spans="1:17" s="112" customFormat="1" ht="15.75" thickBot="1">
      <c r="A83" s="535"/>
      <c r="B83" s="499"/>
      <c r="C83" s="516"/>
      <c r="D83" s="492"/>
      <c r="E83" s="492"/>
      <c r="F83" s="492"/>
      <c r="G83" s="492"/>
      <c r="H83" s="492"/>
      <c r="I83" s="492"/>
      <c r="J83" s="492"/>
      <c r="K83" s="492"/>
      <c r="L83" s="492"/>
      <c r="M83" s="493"/>
      <c r="N83" s="1045"/>
      <c r="O83" s="1045"/>
      <c r="P83" s="44"/>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4"/>
      <c r="Q86" s="460"/>
    </row>
    <row r="87" spans="1:17" ht="15.75" thickBot="1">
      <c r="A87" s="2064"/>
      <c r="B87" s="525"/>
      <c r="C87" s="526"/>
      <c r="D87" s="526"/>
      <c r="E87" s="526"/>
      <c r="F87" s="526"/>
      <c r="G87" s="547"/>
      <c r="H87" s="547"/>
      <c r="I87" s="547"/>
      <c r="J87" s="547"/>
      <c r="K87" s="547"/>
      <c r="L87" s="547"/>
      <c r="M87" s="548"/>
      <c r="N87" s="1045"/>
      <c r="O87" s="1045"/>
      <c r="P87" s="44"/>
      <c r="Q87" s="460"/>
    </row>
    <row r="88" spans="1:17">
      <c r="A88" s="483" t="s">
        <v>2143</v>
      </c>
      <c r="B88" s="484" t="s">
        <v>2192</v>
      </c>
      <c r="C88" s="486"/>
      <c r="D88" s="486"/>
      <c r="E88" s="486"/>
      <c r="F88" s="486"/>
      <c r="G88" s="486"/>
      <c r="H88" s="486"/>
      <c r="I88" s="486"/>
      <c r="J88" s="486"/>
      <c r="K88" s="487"/>
      <c r="L88" s="488"/>
      <c r="M88" s="489"/>
      <c r="N88" s="1044"/>
      <c r="O88" s="1044"/>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4"/>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4"/>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4"/>
      <c r="Q94" s="460"/>
    </row>
    <row r="95" spans="1:17" ht="15" thickTop="1">
      <c r="A95" s="555"/>
      <c r="B95" s="494" t="s">
        <v>2196</v>
      </c>
      <c r="C95" s="510"/>
      <c r="D95" s="510"/>
      <c r="E95" s="510"/>
      <c r="F95" s="539"/>
      <c r="G95" s="539"/>
      <c r="H95" s="539"/>
      <c r="I95" s="539"/>
      <c r="J95" s="539"/>
      <c r="K95" s="540"/>
      <c r="L95" s="541"/>
      <c r="M95" s="542"/>
      <c r="N95" s="1044"/>
      <c r="O95" s="1044"/>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4"/>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4"/>
      <c r="Q97" s="460"/>
    </row>
    <row r="98" spans="1:17">
      <c r="A98" s="555"/>
      <c r="B98" s="502"/>
      <c r="C98" s="559">
        <v>0.5</v>
      </c>
      <c r="D98" s="559">
        <v>0.6</v>
      </c>
      <c r="E98" s="559">
        <v>0.7</v>
      </c>
      <c r="F98" s="559">
        <v>0.8</v>
      </c>
      <c r="G98" s="559">
        <v>0.9</v>
      </c>
      <c r="H98" s="559">
        <v>1.0001</v>
      </c>
      <c r="I98" s="578"/>
      <c r="J98" s="578"/>
      <c r="K98" s="579"/>
      <c r="L98" s="580"/>
      <c r="M98" s="581"/>
      <c r="N98" s="1044"/>
      <c r="O98" s="1044"/>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4"/>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4"/>
      <c r="Q103" s="460"/>
    </row>
    <row r="104" spans="1:17" ht="15" thickTop="1">
      <c r="A104" s="555"/>
      <c r="B104" s="494" t="s">
        <v>2200</v>
      </c>
      <c r="C104" s="510"/>
      <c r="D104" s="510"/>
      <c r="E104" s="510"/>
      <c r="F104" s="510"/>
      <c r="G104" s="510"/>
      <c r="H104" s="539"/>
      <c r="I104" s="539"/>
      <c r="J104" s="539"/>
      <c r="K104" s="540"/>
      <c r="L104" s="541"/>
      <c r="M104" s="542"/>
      <c r="N104" s="1044"/>
      <c r="O104" s="1044"/>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4"/>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4"/>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4"/>
      <c r="Q110" s="460"/>
    </row>
    <row r="111" spans="1:17" ht="15.75" thickBot="1">
      <c r="A111" s="490"/>
      <c r="B111" s="499"/>
      <c r="C111" s="516"/>
      <c r="D111" s="492"/>
      <c r="E111" s="492"/>
      <c r="F111" s="492"/>
      <c r="G111" s="516"/>
      <c r="H111" s="518"/>
      <c r="I111" s="518"/>
      <c r="J111" s="518"/>
      <c r="K111" s="518"/>
      <c r="L111" s="518"/>
      <c r="M111" s="519"/>
      <c r="N111" s="1045"/>
      <c r="O111" s="1045"/>
      <c r="P111" s="44"/>
      <c r="Q111" s="460"/>
    </row>
    <row r="112" spans="1:17" ht="15" thickTop="1">
      <c r="A112" s="555"/>
      <c r="B112" s="502">
        <f>B40</f>
        <v>111</v>
      </c>
      <c r="C112" s="479"/>
      <c r="D112" s="479"/>
      <c r="E112" s="479"/>
      <c r="F112" s="479"/>
      <c r="G112" s="543"/>
      <c r="H112" s="543"/>
      <c r="I112" s="543"/>
      <c r="J112" s="543"/>
      <c r="K112" s="479"/>
      <c r="L112" s="480"/>
      <c r="M112" s="546"/>
      <c r="N112" s="1044"/>
      <c r="O112" s="1044"/>
      <c r="P112" s="44"/>
      <c r="Q112" s="460"/>
    </row>
    <row r="113" spans="1:17" ht="15.75" thickBot="1">
      <c r="A113" s="2064"/>
      <c r="B113" s="525"/>
      <c r="C113" s="526"/>
      <c r="D113" s="526"/>
      <c r="E113" s="526"/>
      <c r="F113" s="526"/>
      <c r="G113" s="547"/>
      <c r="H113" s="547"/>
      <c r="I113" s="547"/>
      <c r="J113" s="547"/>
      <c r="K113" s="547"/>
      <c r="L113" s="547"/>
      <c r="M113" s="548"/>
      <c r="N113" s="1045"/>
      <c r="O113" s="1045"/>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估价对象为北京市房地产，为所有。根据《国有土地使用证》[]，估价对象（分摊）出让国有建设用地使用权面积为18753.7平方米，建筑面积为8363.37平方米。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估价对象为北京市房地产,属开发建设的工业项目，该项目尚在开发建设中。根据《国有土地使用证》[]，估价对象（分摊）出让国有建设用地使用权面积为18753.7平方米，规划建筑面积为8363.37平方米。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2022年4月26日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475" t="s">
        <v>2226</v>
      </c>
      <c r="D4" s="3476"/>
      <c r="E4" s="3477" t="s">
        <v>2227</v>
      </c>
      <c r="F4" s="3478"/>
      <c r="G4" s="3475" t="s">
        <v>2228</v>
      </c>
      <c r="H4" s="3476"/>
      <c r="I4" s="3475" t="s">
        <v>2229</v>
      </c>
      <c r="J4" s="3476"/>
      <c r="K4" s="566" t="s">
        <v>2230</v>
      </c>
      <c r="L4" s="2893"/>
      <c r="M4" s="2894"/>
      <c r="N4" s="2894"/>
      <c r="O4" s="2894"/>
      <c r="P4" s="3479" t="s">
        <v>2231</v>
      </c>
      <c r="Q4" s="3480"/>
      <c r="R4" s="3462" t="s">
        <v>2227</v>
      </c>
      <c r="S4" s="3463"/>
      <c r="T4" s="3462" t="s">
        <v>2228</v>
      </c>
      <c r="U4" s="3463"/>
      <c r="V4" s="3487" t="s">
        <v>2229</v>
      </c>
      <c r="W4" s="3487"/>
      <c r="X4" s="1489"/>
      <c r="Y4" s="3462" t="s">
        <v>2231</v>
      </c>
      <c r="Z4" s="3463"/>
      <c r="AA4" s="3457" t="s">
        <v>2227</v>
      </c>
      <c r="AB4" s="3458" t="s">
        <v>2228</v>
      </c>
      <c r="AC4" s="3457" t="s">
        <v>2229</v>
      </c>
    </row>
    <row r="5" spans="1:29" ht="15">
      <c r="A5" s="363"/>
      <c r="B5" s="364"/>
      <c r="C5" s="3468" t="s">
        <v>2122</v>
      </c>
      <c r="D5" s="3469"/>
      <c r="E5" s="3466" t="s">
        <v>2123</v>
      </c>
      <c r="F5" s="3467"/>
      <c r="G5" s="3468" t="s">
        <v>2124</v>
      </c>
      <c r="H5" s="3469"/>
      <c r="I5" s="3468" t="s">
        <v>2125</v>
      </c>
      <c r="J5" s="3469"/>
      <c r="K5" s="566"/>
      <c r="L5" s="2893"/>
      <c r="M5" s="2894"/>
      <c r="N5" s="2894"/>
      <c r="O5" s="2894"/>
      <c r="P5" s="3481"/>
      <c r="Q5" s="3482"/>
      <c r="R5" s="3464"/>
      <c r="S5" s="3465"/>
      <c r="T5" s="3464"/>
      <c r="U5" s="3465"/>
      <c r="V5" s="3487"/>
      <c r="W5" s="3487"/>
      <c r="X5" s="1489"/>
      <c r="Y5" s="3464"/>
      <c r="Z5" s="3465"/>
      <c r="AA5" s="3458"/>
      <c r="AB5" s="3458"/>
      <c r="AC5" s="3458"/>
    </row>
    <row r="6" spans="1:29" ht="15.75" thickBot="1">
      <c r="A6" s="365"/>
      <c r="B6" s="366"/>
      <c r="C6" s="3470" t="s">
        <v>2126</v>
      </c>
      <c r="D6" s="3471"/>
      <c r="E6" s="3472" t="s">
        <v>2126</v>
      </c>
      <c r="F6" s="3473"/>
      <c r="G6" s="3470" t="s">
        <v>2126</v>
      </c>
      <c r="H6" s="3471"/>
      <c r="I6" s="3470" t="s">
        <v>2126</v>
      </c>
      <c r="J6" s="3471"/>
      <c r="K6" s="566" t="s">
        <v>2127</v>
      </c>
      <c r="L6" s="2893"/>
      <c r="M6" s="2894"/>
      <c r="N6" s="2894"/>
      <c r="O6" s="2894"/>
      <c r="P6" s="3483"/>
      <c r="Q6" s="3484"/>
      <c r="R6" s="3464"/>
      <c r="S6" s="3465"/>
      <c r="T6" s="3485"/>
      <c r="U6" s="3486"/>
      <c r="V6" s="3487"/>
      <c r="W6" s="3487"/>
      <c r="X6" s="1489"/>
      <c r="Y6" s="3485"/>
      <c r="Z6" s="3486"/>
      <c r="AA6" s="3459"/>
      <c r="AB6" s="3459"/>
      <c r="AC6" s="3459"/>
    </row>
    <row r="7" spans="1:29" s="112" customFormat="1" ht="15.75" thickBot="1">
      <c r="A7" s="367" t="s">
        <v>2128</v>
      </c>
      <c r="B7" s="368"/>
      <c r="C7" s="369">
        <f>'数据-取费表'!B2</f>
        <v>44677</v>
      </c>
      <c r="D7" s="370">
        <v>100</v>
      </c>
      <c r="E7" s="371"/>
      <c r="F7" s="372">
        <f>SUMIF(48:48,YEAR(E7)&amp;"-"&amp;MONTH(E7),49:49)</f>
        <v>0</v>
      </c>
      <c r="G7" s="371"/>
      <c r="H7" s="370">
        <f>SUMIF(48:48,YEAR(G7)&amp;"-"&amp;MONTH(G7),49:49)</f>
        <v>0</v>
      </c>
      <c r="I7" s="371"/>
      <c r="J7" s="370">
        <f>SUMIF(48:48,YEAR(I7)&amp;"-"&amp;MONTH(I7),49:49)</f>
        <v>0</v>
      </c>
      <c r="K7" s="567"/>
      <c r="L7" s="2895"/>
      <c r="M7" s="2896"/>
      <c r="N7" s="2896"/>
      <c r="O7" s="2896"/>
      <c r="P7" s="3460" t="s">
        <v>2129</v>
      </c>
      <c r="Q7" s="3488"/>
      <c r="R7" s="709" t="s">
        <v>17</v>
      </c>
      <c r="S7" s="710">
        <f t="shared" ref="S7:S14" si="0">F7</f>
        <v>0</v>
      </c>
      <c r="T7" s="709" t="s">
        <v>17</v>
      </c>
      <c r="U7" s="710">
        <f t="shared" ref="U7:U14" si="1">H7</f>
        <v>0</v>
      </c>
      <c r="V7" s="709" t="s">
        <v>17</v>
      </c>
      <c r="W7" s="710">
        <f t="shared" ref="W7:W14" si="2">J7</f>
        <v>0</v>
      </c>
      <c r="X7" s="711"/>
      <c r="Y7" s="3460" t="s">
        <v>2129</v>
      </c>
      <c r="Z7" s="3461"/>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460" t="s">
        <v>2132</v>
      </c>
      <c r="Q8" s="3461"/>
      <c r="R8" s="709" t="s">
        <v>17</v>
      </c>
      <c r="S8" s="710">
        <f t="shared" si="0"/>
        <v>0</v>
      </c>
      <c r="T8" s="709" t="s">
        <v>17</v>
      </c>
      <c r="U8" s="710">
        <f t="shared" si="1"/>
        <v>0</v>
      </c>
      <c r="V8" s="709" t="s">
        <v>17</v>
      </c>
      <c r="W8" s="710">
        <f t="shared" si="2"/>
        <v>0</v>
      </c>
      <c r="X8" s="711"/>
      <c r="Y8" s="3460" t="s">
        <v>2132</v>
      </c>
      <c r="Z8" s="3461"/>
      <c r="AA8" s="712" t="e">
        <f t="shared" ref="AA8:AA36" si="3">D8/F8</f>
        <v>#DIV/0!</v>
      </c>
      <c r="AB8" s="712" t="e">
        <f t="shared" ref="AB8:AB36" si="4">D8/H8</f>
        <v>#DIV/0!</v>
      </c>
      <c r="AC8" s="712" t="e">
        <f t="shared" ref="AC8:AC36" si="5">D8/J8</f>
        <v>#DIV/0!</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492" t="s">
        <v>2135</v>
      </c>
      <c r="Q9" s="1477" t="str">
        <f t="shared" ref="Q9:Q14" si="6">B9</f>
        <v>用途</v>
      </c>
      <c r="R9" s="709" t="s">
        <v>17</v>
      </c>
      <c r="S9" s="710">
        <f t="shared" si="0"/>
        <v>100</v>
      </c>
      <c r="T9" s="709" t="s">
        <v>17</v>
      </c>
      <c r="U9" s="710">
        <f t="shared" si="1"/>
        <v>100</v>
      </c>
      <c r="V9" s="709" t="s">
        <v>17</v>
      </c>
      <c r="W9" s="710">
        <f t="shared" si="2"/>
        <v>100</v>
      </c>
      <c r="X9" s="711"/>
      <c r="Y9" s="3404" t="s">
        <v>2136</v>
      </c>
      <c r="Z9" s="54"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492"/>
      <c r="Q10" s="1477" t="str">
        <f t="shared" si="6"/>
        <v>土地使用年限（年）</v>
      </c>
      <c r="R10" s="709" t="s">
        <v>17</v>
      </c>
      <c r="S10" s="710">
        <f t="shared" si="0"/>
        <v>100</v>
      </c>
      <c r="T10" s="709" t="s">
        <v>17</v>
      </c>
      <c r="U10" s="710">
        <f t="shared" si="1"/>
        <v>100</v>
      </c>
      <c r="V10" s="709" t="s">
        <v>17</v>
      </c>
      <c r="W10" s="710">
        <f t="shared" si="2"/>
        <v>100</v>
      </c>
      <c r="X10" s="711"/>
      <c r="Y10" s="3404"/>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492"/>
      <c r="Q11" s="1477">
        <f t="shared" si="6"/>
        <v>111</v>
      </c>
      <c r="R11" s="709" t="s">
        <v>17</v>
      </c>
      <c r="S11" s="710">
        <f t="shared" si="0"/>
        <v>100</v>
      </c>
      <c r="T11" s="709" t="s">
        <v>17</v>
      </c>
      <c r="U11" s="710">
        <f t="shared" si="1"/>
        <v>100</v>
      </c>
      <c r="V11" s="709" t="s">
        <v>17</v>
      </c>
      <c r="W11" s="710">
        <f t="shared" si="2"/>
        <v>100</v>
      </c>
      <c r="X11" s="711"/>
      <c r="Y11" s="3404"/>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492"/>
      <c r="Q12" s="1477">
        <f t="shared" si="6"/>
        <v>111</v>
      </c>
      <c r="R12" s="709" t="s">
        <v>17</v>
      </c>
      <c r="S12" s="710">
        <f t="shared" si="0"/>
        <v>100</v>
      </c>
      <c r="T12" s="709" t="s">
        <v>17</v>
      </c>
      <c r="U12" s="710">
        <f t="shared" si="1"/>
        <v>100</v>
      </c>
      <c r="V12" s="709" t="s">
        <v>17</v>
      </c>
      <c r="W12" s="710">
        <f t="shared" si="2"/>
        <v>100</v>
      </c>
      <c r="X12" s="711"/>
      <c r="Y12" s="3404"/>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492"/>
      <c r="Q13" s="1477">
        <f t="shared" si="6"/>
        <v>111</v>
      </c>
      <c r="R13" s="709" t="s">
        <v>17</v>
      </c>
      <c r="S13" s="710">
        <f t="shared" si="0"/>
        <v>100</v>
      </c>
      <c r="T13" s="709" t="s">
        <v>17</v>
      </c>
      <c r="U13" s="710">
        <f t="shared" si="1"/>
        <v>100</v>
      </c>
      <c r="V13" s="709" t="s">
        <v>17</v>
      </c>
      <c r="W13" s="710">
        <f t="shared" si="2"/>
        <v>100</v>
      </c>
      <c r="X13" s="711"/>
      <c r="Y13" s="3404"/>
      <c r="Z13" s="54">
        <f t="shared" si="7"/>
        <v>111</v>
      </c>
      <c r="AA13" s="712">
        <f t="shared" si="3"/>
        <v>1</v>
      </c>
      <c r="AB13" s="712">
        <f t="shared" si="4"/>
        <v>1</v>
      </c>
      <c r="AC13" s="712">
        <f t="shared" si="5"/>
        <v>1</v>
      </c>
    </row>
    <row r="14" spans="1:29" ht="85.5">
      <c r="A14" s="360" t="s">
        <v>2139</v>
      </c>
      <c r="B14" s="584" t="s">
        <v>2289</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494" t="s">
        <v>2140</v>
      </c>
      <c r="Q14" s="1486" t="str">
        <f t="shared" si="6"/>
        <v>交通便捷度</v>
      </c>
      <c r="R14" s="713" t="s">
        <v>17</v>
      </c>
      <c r="S14" s="714">
        <f t="shared" si="0"/>
        <v>100</v>
      </c>
      <c r="T14" s="713" t="s">
        <v>17</v>
      </c>
      <c r="U14" s="714">
        <f t="shared" si="1"/>
        <v>100</v>
      </c>
      <c r="V14" s="713" t="s">
        <v>17</v>
      </c>
      <c r="W14" s="714">
        <f t="shared" si="2"/>
        <v>100</v>
      </c>
      <c r="X14" s="1489"/>
      <c r="Y14" s="3494"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495"/>
      <c r="Q15" s="1486"/>
      <c r="R15" s="713"/>
      <c r="S15" s="714"/>
      <c r="T15" s="713"/>
      <c r="U15" s="714"/>
      <c r="V15" s="713"/>
      <c r="W15" s="714"/>
      <c r="X15" s="1489"/>
      <c r="Y15" s="3495"/>
      <c r="Z15" s="1490"/>
      <c r="AA15" s="1487">
        <v>1</v>
      </c>
      <c r="AB15" s="1487">
        <v>1</v>
      </c>
      <c r="AC15" s="1487">
        <v>1</v>
      </c>
    </row>
    <row r="16" spans="1:29" ht="42.75">
      <c r="A16" s="363"/>
      <c r="B16" s="586" t="s">
        <v>2268</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495"/>
      <c r="Q16" s="1486" t="str">
        <f>B16</f>
        <v>公共配套设施</v>
      </c>
      <c r="R16" s="713" t="s">
        <v>17</v>
      </c>
      <c r="S16" s="714">
        <f>F16</f>
        <v>100</v>
      </c>
      <c r="T16" s="713" t="s">
        <v>17</v>
      </c>
      <c r="U16" s="714">
        <f>H16</f>
        <v>100</v>
      </c>
      <c r="V16" s="713" t="s">
        <v>17</v>
      </c>
      <c r="W16" s="714">
        <f>J16</f>
        <v>100</v>
      </c>
      <c r="X16" s="1489"/>
      <c r="Y16" s="3495"/>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495"/>
      <c r="Q17" s="1486"/>
      <c r="R17" s="713"/>
      <c r="S17" s="714"/>
      <c r="T17" s="713"/>
      <c r="U17" s="714"/>
      <c r="V17" s="713"/>
      <c r="W17" s="714"/>
      <c r="X17" s="1489"/>
      <c r="Y17" s="3495"/>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495"/>
      <c r="Q18" s="1486" t="str">
        <f>B18</f>
        <v>基础设施水平</v>
      </c>
      <c r="R18" s="713" t="s">
        <v>17</v>
      </c>
      <c r="S18" s="714">
        <f>F18</f>
        <v>100</v>
      </c>
      <c r="T18" s="713" t="s">
        <v>17</v>
      </c>
      <c r="U18" s="714">
        <f>H18</f>
        <v>100</v>
      </c>
      <c r="V18" s="713" t="s">
        <v>17</v>
      </c>
      <c r="W18" s="714">
        <f>J18</f>
        <v>100</v>
      </c>
      <c r="X18" s="1489"/>
      <c r="Y18" s="3495"/>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495"/>
      <c r="Q19" s="1486"/>
      <c r="R19" s="713"/>
      <c r="S19" s="714"/>
      <c r="T19" s="713"/>
      <c r="U19" s="714"/>
      <c r="V19" s="713"/>
      <c r="W19" s="714"/>
      <c r="X19" s="1489"/>
      <c r="Y19" s="3495"/>
      <c r="Z19" s="1490"/>
      <c r="AA19" s="1487">
        <v>1</v>
      </c>
      <c r="AB19" s="1487">
        <v>1</v>
      </c>
      <c r="AC19" s="1487">
        <v>1</v>
      </c>
    </row>
    <row r="20" spans="1:29" ht="57">
      <c r="A20" s="363"/>
      <c r="B20" s="586" t="s">
        <v>2290</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495"/>
      <c r="Q20" s="1486" t="str">
        <f>B20</f>
        <v>自然及人文环境</v>
      </c>
      <c r="R20" s="713" t="s">
        <v>17</v>
      </c>
      <c r="S20" s="714">
        <f>F20</f>
        <v>100</v>
      </c>
      <c r="T20" s="713" t="s">
        <v>17</v>
      </c>
      <c r="U20" s="714">
        <f>H20</f>
        <v>100</v>
      </c>
      <c r="V20" s="713" t="s">
        <v>17</v>
      </c>
      <c r="W20" s="714">
        <f>J20</f>
        <v>100</v>
      </c>
      <c r="X20" s="1489"/>
      <c r="Y20" s="3495"/>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495"/>
      <c r="Q21" s="1486"/>
      <c r="R21" s="713"/>
      <c r="S21" s="714"/>
      <c r="T21" s="713"/>
      <c r="U21" s="714"/>
      <c r="V21" s="713"/>
      <c r="W21" s="714"/>
      <c r="X21" s="1489"/>
      <c r="Y21" s="3495"/>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495"/>
      <c r="Q22" s="1486" t="str">
        <f>B22</f>
        <v>楼层</v>
      </c>
      <c r="R22" s="713" t="s">
        <v>17</v>
      </c>
      <c r="S22" s="714">
        <f>F22</f>
        <v>100</v>
      </c>
      <c r="T22" s="713" t="s">
        <v>17</v>
      </c>
      <c r="U22" s="714">
        <f>H22</f>
        <v>100</v>
      </c>
      <c r="V22" s="713" t="s">
        <v>17</v>
      </c>
      <c r="W22" s="714">
        <f>J22</f>
        <v>100</v>
      </c>
      <c r="X22" s="1489"/>
      <c r="Y22" s="3495"/>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495"/>
      <c r="Q23" s="1486">
        <f>B23</f>
        <v>111</v>
      </c>
      <c r="R23" s="713" t="s">
        <v>17</v>
      </c>
      <c r="S23" s="714">
        <f>F23</f>
        <v>100</v>
      </c>
      <c r="T23" s="713" t="s">
        <v>17</v>
      </c>
      <c r="U23" s="714">
        <f>H23</f>
        <v>100</v>
      </c>
      <c r="V23" s="713" t="s">
        <v>17</v>
      </c>
      <c r="W23" s="714">
        <f>J23</f>
        <v>100</v>
      </c>
      <c r="X23" s="1489"/>
      <c r="Y23" s="3495"/>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495"/>
      <c r="Q24" s="1486">
        <f t="shared" ref="Q24:Q36" si="11">B24</f>
        <v>111</v>
      </c>
      <c r="R24" s="713" t="s">
        <v>17</v>
      </c>
      <c r="S24" s="714">
        <f>F24</f>
        <v>100</v>
      </c>
      <c r="T24" s="713" t="s">
        <v>17</v>
      </c>
      <c r="U24" s="714">
        <f>H24</f>
        <v>100</v>
      </c>
      <c r="V24" s="713" t="s">
        <v>17</v>
      </c>
      <c r="W24" s="714">
        <f>J24</f>
        <v>100</v>
      </c>
      <c r="X24" s="1489"/>
      <c r="Y24" s="3495"/>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495"/>
      <c r="Q25" s="1477">
        <f t="shared" si="11"/>
        <v>111</v>
      </c>
      <c r="R25" s="709" t="s">
        <v>17</v>
      </c>
      <c r="S25" s="710">
        <f>F25</f>
        <v>100</v>
      </c>
      <c r="T25" s="709" t="s">
        <v>17</v>
      </c>
      <c r="U25" s="710">
        <f>H25</f>
        <v>100</v>
      </c>
      <c r="V25" s="709" t="s">
        <v>17</v>
      </c>
      <c r="W25" s="710">
        <f>J25</f>
        <v>100</v>
      </c>
      <c r="X25" s="711"/>
      <c r="Y25" s="3495"/>
      <c r="Z25" s="54">
        <f>Q25</f>
        <v>111</v>
      </c>
      <c r="AA25" s="1487">
        <f>D25/F25</f>
        <v>1</v>
      </c>
      <c r="AB25" s="1487">
        <f>D25/H25</f>
        <v>1</v>
      </c>
      <c r="AC25" s="1487">
        <f>D25/J25</f>
        <v>1</v>
      </c>
    </row>
    <row r="26" spans="1:29" ht="28.5">
      <c r="A26" s="607" t="s">
        <v>2143</v>
      </c>
      <c r="B26" s="65"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518"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99"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499"/>
      <c r="Q27" s="715" t="str">
        <f t="shared" si="11"/>
        <v>项目停车位配比</v>
      </c>
      <c r="R27" s="716" t="s">
        <v>17</v>
      </c>
      <c r="S27" s="717">
        <f t="shared" si="12"/>
        <v>100</v>
      </c>
      <c r="T27" s="716" t="s">
        <v>17</v>
      </c>
      <c r="U27" s="717">
        <f t="shared" si="13"/>
        <v>100</v>
      </c>
      <c r="V27" s="716" t="s">
        <v>17</v>
      </c>
      <c r="W27" s="717">
        <f t="shared" si="14"/>
        <v>100</v>
      </c>
      <c r="X27" s="718"/>
      <c r="Y27" s="3499"/>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499"/>
      <c r="Q28" s="1486" t="str">
        <f t="shared" si="11"/>
        <v>公共部分装修</v>
      </c>
      <c r="R28" s="713" t="s">
        <v>17</v>
      </c>
      <c r="S28" s="714">
        <f t="shared" si="12"/>
        <v>100</v>
      </c>
      <c r="T28" s="713" t="s">
        <v>17</v>
      </c>
      <c r="U28" s="714">
        <f t="shared" si="13"/>
        <v>100</v>
      </c>
      <c r="V28" s="713" t="s">
        <v>17</v>
      </c>
      <c r="W28" s="714">
        <f t="shared" si="14"/>
        <v>100</v>
      </c>
      <c r="X28" s="1489"/>
      <c r="Y28" s="3499"/>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499"/>
      <c r="Q29" s="1486" t="str">
        <f t="shared" si="11"/>
        <v>成新率</v>
      </c>
      <c r="R29" s="713" t="s">
        <v>17</v>
      </c>
      <c r="S29" s="714" t="e">
        <f t="shared" si="12"/>
        <v>#N/A</v>
      </c>
      <c r="T29" s="713" t="s">
        <v>17</v>
      </c>
      <c r="U29" s="714" t="e">
        <f t="shared" si="13"/>
        <v>#N/A</v>
      </c>
      <c r="V29" s="713" t="s">
        <v>17</v>
      </c>
      <c r="W29" s="714" t="e">
        <f t="shared" si="14"/>
        <v>#N/A</v>
      </c>
      <c r="X29" s="1489"/>
      <c r="Y29" s="3499"/>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499"/>
      <c r="Q30" s="1486" t="str">
        <f t="shared" si="11"/>
        <v>物业等级</v>
      </c>
      <c r="R30" s="713" t="s">
        <v>17</v>
      </c>
      <c r="S30" s="714">
        <f t="shared" si="12"/>
        <v>100</v>
      </c>
      <c r="T30" s="713" t="s">
        <v>17</v>
      </c>
      <c r="U30" s="714">
        <f t="shared" si="13"/>
        <v>100</v>
      </c>
      <c r="V30" s="713" t="s">
        <v>17</v>
      </c>
      <c r="W30" s="714">
        <f t="shared" si="14"/>
        <v>100</v>
      </c>
      <c r="X30" s="1489"/>
      <c r="Y30" s="3499"/>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499"/>
      <c r="Q31" s="1477" t="str">
        <f t="shared" si="11"/>
        <v>停车位面积</v>
      </c>
      <c r="R31" s="709" t="s">
        <v>17</v>
      </c>
      <c r="S31" s="710" t="e">
        <f t="shared" si="12"/>
        <v>#N/A</v>
      </c>
      <c r="T31" s="709" t="s">
        <v>17</v>
      </c>
      <c r="U31" s="710" t="e">
        <f t="shared" si="13"/>
        <v>#N/A</v>
      </c>
      <c r="V31" s="709" t="s">
        <v>17</v>
      </c>
      <c r="W31" s="710" t="e">
        <f t="shared" si="14"/>
        <v>#N/A</v>
      </c>
      <c r="X31" s="711"/>
      <c r="Y31" s="3499"/>
      <c r="Z31" s="54"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499" t="s">
        <v>2145</v>
      </c>
      <c r="Q32" s="1486" t="str">
        <f t="shared" si="11"/>
        <v>车位类型</v>
      </c>
      <c r="R32" s="713" t="s">
        <v>17</v>
      </c>
      <c r="S32" s="714">
        <f t="shared" si="12"/>
        <v>100</v>
      </c>
      <c r="T32" s="713" t="s">
        <v>17</v>
      </c>
      <c r="U32" s="714">
        <f t="shared" si="13"/>
        <v>100</v>
      </c>
      <c r="V32" s="713" t="s">
        <v>17</v>
      </c>
      <c r="W32" s="714">
        <f t="shared" si="14"/>
        <v>100</v>
      </c>
      <c r="X32" s="1489"/>
      <c r="Y32" s="3499"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499"/>
      <c r="Q33" s="1486" t="str">
        <f t="shared" si="11"/>
        <v>是否直接入户</v>
      </c>
      <c r="R33" s="713" t="s">
        <v>17</v>
      </c>
      <c r="S33" s="714">
        <f t="shared" si="12"/>
        <v>100</v>
      </c>
      <c r="T33" s="713" t="s">
        <v>17</v>
      </c>
      <c r="U33" s="714">
        <f t="shared" si="13"/>
        <v>100</v>
      </c>
      <c r="V33" s="713" t="s">
        <v>17</v>
      </c>
      <c r="W33" s="714">
        <f t="shared" si="14"/>
        <v>100</v>
      </c>
      <c r="X33" s="1489"/>
      <c r="Y33" s="3499"/>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499"/>
      <c r="Q34" s="1486">
        <f t="shared" si="11"/>
        <v>111</v>
      </c>
      <c r="R34" s="713" t="s">
        <v>17</v>
      </c>
      <c r="S34" s="714">
        <f t="shared" si="12"/>
        <v>100</v>
      </c>
      <c r="T34" s="713" t="s">
        <v>17</v>
      </c>
      <c r="U34" s="714">
        <f t="shared" si="13"/>
        <v>100</v>
      </c>
      <c r="V34" s="713" t="s">
        <v>17</v>
      </c>
      <c r="W34" s="714">
        <f t="shared" si="14"/>
        <v>100</v>
      </c>
      <c r="X34" s="1489"/>
      <c r="Y34" s="3499"/>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499"/>
      <c r="Q35" s="715">
        <f t="shared" si="11"/>
        <v>111</v>
      </c>
      <c r="R35" s="716" t="s">
        <v>17</v>
      </c>
      <c r="S35" s="717">
        <f t="shared" si="12"/>
        <v>100</v>
      </c>
      <c r="T35" s="716" t="s">
        <v>17</v>
      </c>
      <c r="U35" s="717">
        <f t="shared" si="13"/>
        <v>100</v>
      </c>
      <c r="V35" s="716" t="s">
        <v>17</v>
      </c>
      <c r="W35" s="717">
        <f t="shared" si="14"/>
        <v>100</v>
      </c>
      <c r="X35" s="718"/>
      <c r="Y35" s="3499"/>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499"/>
      <c r="Q36" s="1486">
        <f t="shared" si="11"/>
        <v>111</v>
      </c>
      <c r="R36" s="713" t="s">
        <v>17</v>
      </c>
      <c r="S36" s="714">
        <f t="shared" si="12"/>
        <v>100</v>
      </c>
      <c r="T36" s="713" t="s">
        <v>17</v>
      </c>
      <c r="U36" s="714">
        <f t="shared" si="13"/>
        <v>100</v>
      </c>
      <c r="V36" s="713" t="s">
        <v>17</v>
      </c>
      <c r="W36" s="714">
        <f t="shared" si="14"/>
        <v>100</v>
      </c>
      <c r="X36" s="1489"/>
      <c r="Y36" s="3499"/>
      <c r="Z36" s="1490">
        <f t="shared" si="15"/>
        <v>111</v>
      </c>
      <c r="AA36" s="1487">
        <f t="shared" si="3"/>
        <v>1</v>
      </c>
      <c r="AB36" s="1487">
        <f t="shared" si="4"/>
        <v>1</v>
      </c>
      <c r="AC36" s="1487">
        <f t="shared" si="5"/>
        <v>1</v>
      </c>
    </row>
    <row r="37" spans="1:29" ht="15">
      <c r="A37" s="437" t="s">
        <v>2300</v>
      </c>
      <c r="B37" s="2109" t="s">
        <v>2301</v>
      </c>
      <c r="C37" s="1268" t="s">
        <v>1</v>
      </c>
      <c r="D37" s="1269"/>
      <c r="E37" s="1270"/>
      <c r="F37" s="1271"/>
      <c r="G37" s="1272"/>
      <c r="H37" s="1273"/>
      <c r="I37" s="1270"/>
      <c r="J37" s="1273"/>
      <c r="K37" s="575"/>
      <c r="L37" s="2902"/>
      <c r="M37" s="2903"/>
      <c r="N37" s="2894"/>
      <c r="O37" s="2903"/>
      <c r="P37" s="3492" t="str">
        <f>A37</f>
        <v>成交单价</v>
      </c>
      <c r="Q37" s="3492"/>
      <c r="R37" s="3493">
        <f>E37</f>
        <v>0</v>
      </c>
      <c r="S37" s="3493"/>
      <c r="T37" s="3493">
        <f>G37</f>
        <v>0</v>
      </c>
      <c r="U37" s="3493"/>
      <c r="V37" s="3493">
        <f>I37</f>
        <v>0</v>
      </c>
      <c r="W37" s="3493"/>
      <c r="X37" s="698"/>
      <c r="Y37" s="720"/>
      <c r="Z37" s="698"/>
      <c r="AA37" s="698"/>
      <c r="AB37" s="698"/>
      <c r="AC37" s="698"/>
    </row>
    <row r="38" spans="1:29" ht="15.7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2"/>
      <c r="M39" s="2903"/>
      <c r="N39" s="2903"/>
      <c r="O39" s="2903"/>
      <c r="P39" s="3489" t="str">
        <f>A39</f>
        <v>估价对象XX用房的比较价值（楼面单价，元/平方米）</v>
      </c>
      <c r="Q39" s="3490"/>
      <c r="R39" s="3519" t="e">
        <f>IF(F1="售价",ROUND(IF(D38="简单平均",AVERAGE(R38:W38),R38*F38+T38*H38+V38*J38),0),ROUND(IF(D38="简单平均",AVERAGE(R38:V38),R38*F38+T38*H38+V38*J38),1))</f>
        <v>#DIV/0!</v>
      </c>
      <c r="S39" s="3519"/>
      <c r="T39" s="3519"/>
      <c r="U39" s="3519"/>
      <c r="V39" s="3519"/>
      <c r="W39" s="3519"/>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2022-4</v>
      </c>
      <c r="D48" s="1299">
        <f>EDATE(C48,-1)</f>
        <v>44621</v>
      </c>
      <c r="E48" s="1299">
        <f t="shared" ref="E48:O48" si="16">EDATE(D48,-1)</f>
        <v>44593</v>
      </c>
      <c r="F48" s="1299">
        <f t="shared" si="16"/>
        <v>44562</v>
      </c>
      <c r="G48" s="1299">
        <f t="shared" si="16"/>
        <v>44531</v>
      </c>
      <c r="H48" s="1299">
        <f t="shared" si="16"/>
        <v>44501</v>
      </c>
      <c r="I48" s="1299">
        <f t="shared" si="16"/>
        <v>44470</v>
      </c>
      <c r="J48" s="1299">
        <f t="shared" si="16"/>
        <v>44440</v>
      </c>
      <c r="K48" s="1299">
        <f t="shared" si="16"/>
        <v>44409</v>
      </c>
      <c r="L48" s="1299">
        <f t="shared" si="16"/>
        <v>44378</v>
      </c>
      <c r="M48" s="1299">
        <f t="shared" si="16"/>
        <v>44348</v>
      </c>
      <c r="N48" s="1299">
        <f t="shared" si="16"/>
        <v>44317</v>
      </c>
      <c r="O48" s="1299">
        <f t="shared" si="16"/>
        <v>44287</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475" t="s">
        <v>2226</v>
      </c>
      <c r="D4" s="3476"/>
      <c r="E4" s="3477" t="s">
        <v>2227</v>
      </c>
      <c r="F4" s="3478"/>
      <c r="G4" s="3475" t="s">
        <v>2228</v>
      </c>
      <c r="H4" s="3476"/>
      <c r="I4" s="3475" t="s">
        <v>2229</v>
      </c>
      <c r="J4" s="3476"/>
      <c r="K4" s="566" t="s">
        <v>2230</v>
      </c>
      <c r="L4" s="2893"/>
      <c r="M4" s="2894"/>
      <c r="N4" s="2894"/>
      <c r="O4" s="2894"/>
      <c r="P4" s="3479" t="s">
        <v>2231</v>
      </c>
      <c r="Q4" s="3480"/>
      <c r="R4" s="3462" t="s">
        <v>2227</v>
      </c>
      <c r="S4" s="3463"/>
      <c r="T4" s="3462" t="s">
        <v>2228</v>
      </c>
      <c r="U4" s="3463"/>
      <c r="V4" s="3487" t="s">
        <v>2229</v>
      </c>
      <c r="W4" s="3487"/>
      <c r="X4" s="1489"/>
      <c r="Y4" s="3462" t="s">
        <v>2231</v>
      </c>
      <c r="Z4" s="3463"/>
      <c r="AA4" s="3457" t="s">
        <v>2227</v>
      </c>
      <c r="AB4" s="3458" t="s">
        <v>2228</v>
      </c>
      <c r="AC4" s="3457" t="s">
        <v>2229</v>
      </c>
    </row>
    <row r="5" spans="1:29" ht="15">
      <c r="A5" s="363"/>
      <c r="B5" s="364"/>
      <c r="C5" s="3468" t="s">
        <v>2122</v>
      </c>
      <c r="D5" s="3469"/>
      <c r="E5" s="3466" t="s">
        <v>2123</v>
      </c>
      <c r="F5" s="3467"/>
      <c r="G5" s="3468" t="s">
        <v>2124</v>
      </c>
      <c r="H5" s="3469"/>
      <c r="I5" s="3468" t="s">
        <v>2125</v>
      </c>
      <c r="J5" s="3469"/>
      <c r="K5" s="566"/>
      <c r="L5" s="2893"/>
      <c r="M5" s="2894"/>
      <c r="N5" s="2894"/>
      <c r="O5" s="2894"/>
      <c r="P5" s="3481"/>
      <c r="Q5" s="3482"/>
      <c r="R5" s="3464"/>
      <c r="S5" s="3465"/>
      <c r="T5" s="3464"/>
      <c r="U5" s="3465"/>
      <c r="V5" s="3487"/>
      <c r="W5" s="3487"/>
      <c r="X5" s="1489"/>
      <c r="Y5" s="3464"/>
      <c r="Z5" s="3465"/>
      <c r="AA5" s="3458"/>
      <c r="AB5" s="3458"/>
      <c r="AC5" s="3458"/>
    </row>
    <row r="6" spans="1:29" ht="15.75" thickBot="1">
      <c r="A6" s="365"/>
      <c r="B6" s="366"/>
      <c r="C6" s="3470" t="s">
        <v>2126</v>
      </c>
      <c r="D6" s="3471"/>
      <c r="E6" s="3472" t="s">
        <v>2126</v>
      </c>
      <c r="F6" s="3473"/>
      <c r="G6" s="3470" t="s">
        <v>2126</v>
      </c>
      <c r="H6" s="3471"/>
      <c r="I6" s="3470" t="s">
        <v>2126</v>
      </c>
      <c r="J6" s="3471"/>
      <c r="K6" s="566" t="s">
        <v>2127</v>
      </c>
      <c r="L6" s="2893"/>
      <c r="M6" s="2894"/>
      <c r="N6" s="2894"/>
      <c r="O6" s="2894"/>
      <c r="P6" s="3483"/>
      <c r="Q6" s="3484"/>
      <c r="R6" s="3464"/>
      <c r="S6" s="3465"/>
      <c r="T6" s="3485"/>
      <c r="U6" s="3486"/>
      <c r="V6" s="3487"/>
      <c r="W6" s="3487"/>
      <c r="X6" s="1489"/>
      <c r="Y6" s="3485"/>
      <c r="Z6" s="3486"/>
      <c r="AA6" s="3459"/>
      <c r="AB6" s="3459"/>
      <c r="AC6" s="3459"/>
    </row>
    <row r="7" spans="1:29" s="112" customFormat="1" ht="15.75" thickBot="1">
      <c r="A7" s="367" t="s">
        <v>2128</v>
      </c>
      <c r="B7" s="368"/>
      <c r="C7" s="369">
        <f>'数据-取费表'!B2</f>
        <v>44677</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460" t="s">
        <v>2129</v>
      </c>
      <c r="Q7" s="3488"/>
      <c r="R7" s="709" t="s">
        <v>17</v>
      </c>
      <c r="S7" s="710">
        <f t="shared" ref="S7:S14" si="0">F7</f>
        <v>0</v>
      </c>
      <c r="T7" s="709" t="s">
        <v>17</v>
      </c>
      <c r="U7" s="710">
        <f t="shared" ref="U7:U14" si="1">H7</f>
        <v>0</v>
      </c>
      <c r="V7" s="709" t="s">
        <v>17</v>
      </c>
      <c r="W7" s="710">
        <f t="shared" ref="W7:W14" si="2">J7</f>
        <v>0</v>
      </c>
      <c r="X7" s="711"/>
      <c r="Y7" s="3460" t="s">
        <v>2129</v>
      </c>
      <c r="Z7" s="3461"/>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460" t="s">
        <v>2132</v>
      </c>
      <c r="Q8" s="3461"/>
      <c r="R8" s="709" t="s">
        <v>17</v>
      </c>
      <c r="S8" s="710">
        <f t="shared" si="0"/>
        <v>0</v>
      </c>
      <c r="T8" s="709" t="s">
        <v>17</v>
      </c>
      <c r="U8" s="710">
        <f t="shared" si="1"/>
        <v>0</v>
      </c>
      <c r="V8" s="709" t="s">
        <v>17</v>
      </c>
      <c r="W8" s="710">
        <f t="shared" si="2"/>
        <v>0</v>
      </c>
      <c r="X8" s="711"/>
      <c r="Y8" s="3460" t="s">
        <v>2132</v>
      </c>
      <c r="Z8" s="3461"/>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492" t="s">
        <v>2135</v>
      </c>
      <c r="Q9" s="1477" t="str">
        <f t="shared" ref="Q9:Q14" si="6">B9</f>
        <v>用途</v>
      </c>
      <c r="R9" s="709" t="s">
        <v>17</v>
      </c>
      <c r="S9" s="710">
        <f t="shared" si="0"/>
        <v>100</v>
      </c>
      <c r="T9" s="709" t="s">
        <v>17</v>
      </c>
      <c r="U9" s="710">
        <f t="shared" si="1"/>
        <v>100</v>
      </c>
      <c r="V9" s="709" t="s">
        <v>17</v>
      </c>
      <c r="W9" s="710">
        <f t="shared" si="2"/>
        <v>100</v>
      </c>
      <c r="X9" s="711"/>
      <c r="Y9" s="3404" t="s">
        <v>2136</v>
      </c>
      <c r="Z9" s="54"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492"/>
      <c r="Q10" s="1477" t="str">
        <f t="shared" si="6"/>
        <v>土地使用年限（年）</v>
      </c>
      <c r="R10" s="709" t="s">
        <v>17</v>
      </c>
      <c r="S10" s="710">
        <f t="shared" si="0"/>
        <v>100</v>
      </c>
      <c r="T10" s="709" t="s">
        <v>17</v>
      </c>
      <c r="U10" s="710">
        <f t="shared" si="1"/>
        <v>100</v>
      </c>
      <c r="V10" s="709" t="s">
        <v>17</v>
      </c>
      <c r="W10" s="710">
        <f t="shared" si="2"/>
        <v>100</v>
      </c>
      <c r="X10" s="711"/>
      <c r="Y10" s="3404"/>
      <c r="Z10" s="54"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492"/>
      <c r="Q11" s="1477">
        <f t="shared" si="6"/>
        <v>111</v>
      </c>
      <c r="R11" s="709" t="s">
        <v>17</v>
      </c>
      <c r="S11" s="710">
        <f t="shared" si="0"/>
        <v>100</v>
      </c>
      <c r="T11" s="709" t="s">
        <v>17</v>
      </c>
      <c r="U11" s="710">
        <f t="shared" si="1"/>
        <v>100</v>
      </c>
      <c r="V11" s="709" t="s">
        <v>17</v>
      </c>
      <c r="W11" s="710">
        <f t="shared" si="2"/>
        <v>100</v>
      </c>
      <c r="X11" s="711"/>
      <c r="Y11" s="3404"/>
      <c r="Z11" s="54">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492"/>
      <c r="Q12" s="1477">
        <f t="shared" si="6"/>
        <v>111</v>
      </c>
      <c r="R12" s="709" t="s">
        <v>17</v>
      </c>
      <c r="S12" s="710">
        <f t="shared" si="0"/>
        <v>100</v>
      </c>
      <c r="T12" s="709" t="s">
        <v>17</v>
      </c>
      <c r="U12" s="710">
        <f t="shared" si="1"/>
        <v>100</v>
      </c>
      <c r="V12" s="709" t="s">
        <v>17</v>
      </c>
      <c r="W12" s="710">
        <f t="shared" si="2"/>
        <v>100</v>
      </c>
      <c r="X12" s="711"/>
      <c r="Y12" s="3404"/>
      <c r="Z12" s="54">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492"/>
      <c r="Q13" s="1477">
        <f t="shared" si="6"/>
        <v>111</v>
      </c>
      <c r="R13" s="709" t="s">
        <v>17</v>
      </c>
      <c r="S13" s="710">
        <f t="shared" si="0"/>
        <v>100</v>
      </c>
      <c r="T13" s="709" t="s">
        <v>17</v>
      </c>
      <c r="U13" s="710">
        <f t="shared" si="1"/>
        <v>100</v>
      </c>
      <c r="V13" s="709" t="s">
        <v>17</v>
      </c>
      <c r="W13" s="710">
        <f t="shared" si="2"/>
        <v>100</v>
      </c>
      <c r="X13" s="711"/>
      <c r="Y13" s="3404"/>
      <c r="Z13" s="54">
        <f t="shared" si="7"/>
        <v>111</v>
      </c>
      <c r="AA13" s="712">
        <f t="shared" si="3"/>
        <v>1</v>
      </c>
      <c r="AB13" s="712">
        <f t="shared" si="4"/>
        <v>1</v>
      </c>
      <c r="AC13" s="712">
        <f t="shared" si="5"/>
        <v>1</v>
      </c>
    </row>
    <row r="14" spans="1:29" ht="85.5">
      <c r="A14" s="398" t="s">
        <v>2139</v>
      </c>
      <c r="B14" s="64" t="s">
        <v>2289</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494" t="s">
        <v>2140</v>
      </c>
      <c r="Q14" s="1486" t="str">
        <f t="shared" si="6"/>
        <v>交通便捷度</v>
      </c>
      <c r="R14" s="713" t="s">
        <v>17</v>
      </c>
      <c r="S14" s="714">
        <f t="shared" si="0"/>
        <v>100</v>
      </c>
      <c r="T14" s="713" t="s">
        <v>17</v>
      </c>
      <c r="U14" s="714">
        <f t="shared" si="1"/>
        <v>100</v>
      </c>
      <c r="V14" s="713" t="s">
        <v>17</v>
      </c>
      <c r="W14" s="714">
        <f t="shared" si="2"/>
        <v>100</v>
      </c>
      <c r="X14" s="1489"/>
      <c r="Y14" s="3494"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495"/>
      <c r="Q15" s="1486"/>
      <c r="R15" s="713"/>
      <c r="S15" s="714"/>
      <c r="T15" s="713"/>
      <c r="U15" s="714"/>
      <c r="V15" s="713"/>
      <c r="W15" s="714"/>
      <c r="X15" s="1489"/>
      <c r="Y15" s="3495"/>
      <c r="Z15" s="1490"/>
      <c r="AA15" s="1487">
        <v>1</v>
      </c>
      <c r="AB15" s="1487">
        <v>1</v>
      </c>
      <c r="AC15" s="1487">
        <v>1</v>
      </c>
    </row>
    <row r="16" spans="1:29" ht="42.75">
      <c r="A16" s="386"/>
      <c r="B16" s="409" t="s">
        <v>2268</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495"/>
      <c r="Q16" s="1486" t="str">
        <f>B16</f>
        <v>公共配套设施</v>
      </c>
      <c r="R16" s="713" t="s">
        <v>17</v>
      </c>
      <c r="S16" s="714">
        <f>F16</f>
        <v>100</v>
      </c>
      <c r="T16" s="713" t="s">
        <v>17</v>
      </c>
      <c r="U16" s="714">
        <f>H16</f>
        <v>100</v>
      </c>
      <c r="V16" s="713" t="s">
        <v>17</v>
      </c>
      <c r="W16" s="714">
        <f>J16</f>
        <v>100</v>
      </c>
      <c r="X16" s="1489"/>
      <c r="Y16" s="3495"/>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495"/>
      <c r="Q17" s="1486"/>
      <c r="R17" s="713"/>
      <c r="S17" s="714"/>
      <c r="T17" s="713"/>
      <c r="U17" s="714"/>
      <c r="V17" s="713"/>
      <c r="W17" s="714"/>
      <c r="X17" s="1489"/>
      <c r="Y17" s="3495"/>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495"/>
      <c r="Q18" s="1486" t="str">
        <f>B18</f>
        <v>基础设施水平</v>
      </c>
      <c r="R18" s="713" t="s">
        <v>17</v>
      </c>
      <c r="S18" s="714">
        <f>F18</f>
        <v>100</v>
      </c>
      <c r="T18" s="713" t="s">
        <v>17</v>
      </c>
      <c r="U18" s="714">
        <f>H18</f>
        <v>100</v>
      </c>
      <c r="V18" s="713" t="s">
        <v>17</v>
      </c>
      <c r="W18" s="714">
        <f>J18</f>
        <v>100</v>
      </c>
      <c r="X18" s="1489"/>
      <c r="Y18" s="3495"/>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495"/>
      <c r="Q19" s="1486"/>
      <c r="R19" s="713"/>
      <c r="S19" s="714"/>
      <c r="T19" s="713"/>
      <c r="U19" s="714"/>
      <c r="V19" s="713"/>
      <c r="W19" s="714"/>
      <c r="X19" s="1489"/>
      <c r="Y19" s="3495"/>
      <c r="Z19" s="1490"/>
      <c r="AA19" s="1487">
        <v>1</v>
      </c>
      <c r="AB19" s="1487">
        <v>1</v>
      </c>
      <c r="AC19" s="1487">
        <v>1</v>
      </c>
    </row>
    <row r="20" spans="1:29" ht="57">
      <c r="A20" s="386"/>
      <c r="B20" s="409" t="s">
        <v>2290</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495"/>
      <c r="Q20" s="1486" t="str">
        <f>B20</f>
        <v>自然及人文环境</v>
      </c>
      <c r="R20" s="713" t="s">
        <v>17</v>
      </c>
      <c r="S20" s="714">
        <f>F20</f>
        <v>100</v>
      </c>
      <c r="T20" s="713" t="s">
        <v>17</v>
      </c>
      <c r="U20" s="714">
        <f>H20</f>
        <v>100</v>
      </c>
      <c r="V20" s="713" t="s">
        <v>17</v>
      </c>
      <c r="W20" s="714">
        <f>J20</f>
        <v>100</v>
      </c>
      <c r="X20" s="1489"/>
      <c r="Y20" s="3495"/>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495"/>
      <c r="Q21" s="1486"/>
      <c r="R21" s="713"/>
      <c r="S21" s="714"/>
      <c r="T21" s="713"/>
      <c r="U21" s="714"/>
      <c r="V21" s="713"/>
      <c r="W21" s="714"/>
      <c r="X21" s="1489"/>
      <c r="Y21" s="3495"/>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495"/>
      <c r="Q22" s="1486" t="str">
        <f>B22</f>
        <v>楼层</v>
      </c>
      <c r="R22" s="713" t="s">
        <v>17</v>
      </c>
      <c r="S22" s="714">
        <f>F22</f>
        <v>100</v>
      </c>
      <c r="T22" s="713" t="s">
        <v>17</v>
      </c>
      <c r="U22" s="714">
        <f>H22</f>
        <v>100</v>
      </c>
      <c r="V22" s="713" t="s">
        <v>17</v>
      </c>
      <c r="W22" s="714">
        <f>J22</f>
        <v>100</v>
      </c>
      <c r="X22" s="1489"/>
      <c r="Y22" s="3495"/>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495"/>
      <c r="Q23" s="1486">
        <f>B23</f>
        <v>111</v>
      </c>
      <c r="R23" s="713" t="s">
        <v>17</v>
      </c>
      <c r="S23" s="714">
        <f>F23</f>
        <v>100</v>
      </c>
      <c r="T23" s="713" t="s">
        <v>17</v>
      </c>
      <c r="U23" s="714">
        <f>H23</f>
        <v>100</v>
      </c>
      <c r="V23" s="713" t="s">
        <v>17</v>
      </c>
      <c r="W23" s="714">
        <f>J23</f>
        <v>100</v>
      </c>
      <c r="X23" s="1489"/>
      <c r="Y23" s="3495"/>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495"/>
      <c r="Q24" s="1486">
        <f t="shared" ref="Q24:Q34" si="11">B24</f>
        <v>111</v>
      </c>
      <c r="R24" s="713" t="s">
        <v>17</v>
      </c>
      <c r="S24" s="714">
        <f>F24</f>
        <v>100</v>
      </c>
      <c r="T24" s="713" t="s">
        <v>17</v>
      </c>
      <c r="U24" s="714">
        <f>H24</f>
        <v>100</v>
      </c>
      <c r="V24" s="713" t="s">
        <v>17</v>
      </c>
      <c r="W24" s="714">
        <f>J24</f>
        <v>100</v>
      </c>
      <c r="X24" s="1489"/>
      <c r="Y24" s="3495"/>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495"/>
      <c r="Q25" s="1477">
        <f t="shared" si="11"/>
        <v>111</v>
      </c>
      <c r="R25" s="709" t="s">
        <v>17</v>
      </c>
      <c r="S25" s="710">
        <f>F25</f>
        <v>100</v>
      </c>
      <c r="T25" s="709" t="s">
        <v>17</v>
      </c>
      <c r="U25" s="710">
        <f>H25</f>
        <v>100</v>
      </c>
      <c r="V25" s="709" t="s">
        <v>17</v>
      </c>
      <c r="W25" s="710">
        <f>J25</f>
        <v>100</v>
      </c>
      <c r="X25" s="711"/>
      <c r="Y25" s="3495"/>
      <c r="Z25" s="54">
        <f>Q25</f>
        <v>111</v>
      </c>
      <c r="AA25" s="1487">
        <f>D25/F25</f>
        <v>1</v>
      </c>
      <c r="AB25" s="1487">
        <f>D25/H25</f>
        <v>1</v>
      </c>
      <c r="AC25" s="1487">
        <f>D25/J25</f>
        <v>1</v>
      </c>
    </row>
    <row r="26" spans="1:29" ht="28.5">
      <c r="A26" s="424" t="s">
        <v>2143</v>
      </c>
      <c r="B26" s="66"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518"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99"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499"/>
      <c r="Q27" s="715" t="str">
        <f t="shared" si="11"/>
        <v>成新率</v>
      </c>
      <c r="R27" s="716" t="s">
        <v>17</v>
      </c>
      <c r="S27" s="717" t="e">
        <f t="shared" si="12"/>
        <v>#N/A</v>
      </c>
      <c r="T27" s="716" t="s">
        <v>17</v>
      </c>
      <c r="U27" s="717" t="e">
        <f t="shared" si="13"/>
        <v>#N/A</v>
      </c>
      <c r="V27" s="716" t="s">
        <v>17</v>
      </c>
      <c r="W27" s="717" t="e">
        <f t="shared" si="14"/>
        <v>#N/A</v>
      </c>
      <c r="X27" s="718"/>
      <c r="Y27" s="3499"/>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499"/>
      <c r="Q28" s="1486" t="str">
        <f t="shared" si="11"/>
        <v>物业等级</v>
      </c>
      <c r="R28" s="713" t="s">
        <v>17</v>
      </c>
      <c r="S28" s="714">
        <f t="shared" si="12"/>
        <v>100</v>
      </c>
      <c r="T28" s="713" t="s">
        <v>17</v>
      </c>
      <c r="U28" s="714">
        <f t="shared" si="13"/>
        <v>100</v>
      </c>
      <c r="V28" s="713" t="s">
        <v>17</v>
      </c>
      <c r="W28" s="714">
        <f t="shared" si="14"/>
        <v>100</v>
      </c>
      <c r="X28" s="1489"/>
      <c r="Y28" s="3499"/>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499"/>
      <c r="Q29" s="1486" t="str">
        <f t="shared" si="11"/>
        <v>有无电梯</v>
      </c>
      <c r="R29" s="713" t="s">
        <v>17</v>
      </c>
      <c r="S29" s="714">
        <f t="shared" si="12"/>
        <v>100</v>
      </c>
      <c r="T29" s="713" t="s">
        <v>17</v>
      </c>
      <c r="U29" s="714">
        <f t="shared" si="13"/>
        <v>100</v>
      </c>
      <c r="V29" s="713" t="s">
        <v>17</v>
      </c>
      <c r="W29" s="714">
        <f t="shared" si="14"/>
        <v>100</v>
      </c>
      <c r="X29" s="1489"/>
      <c r="Y29" s="3499"/>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499"/>
      <c r="Q30" s="1486" t="str">
        <f t="shared" si="11"/>
        <v>建筑面积</v>
      </c>
      <c r="R30" s="713" t="s">
        <v>17</v>
      </c>
      <c r="S30" s="714" t="e">
        <f t="shared" si="12"/>
        <v>#N/A</v>
      </c>
      <c r="T30" s="713" t="s">
        <v>17</v>
      </c>
      <c r="U30" s="714" t="e">
        <f t="shared" si="13"/>
        <v>#N/A</v>
      </c>
      <c r="V30" s="713" t="s">
        <v>17</v>
      </c>
      <c r="W30" s="714" t="e">
        <f t="shared" si="14"/>
        <v>#N/A</v>
      </c>
      <c r="X30" s="1489"/>
      <c r="Y30" s="3499"/>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499"/>
      <c r="Q31" s="1477" t="str">
        <f t="shared" si="11"/>
        <v>是否封闭</v>
      </c>
      <c r="R31" s="709" t="s">
        <v>17</v>
      </c>
      <c r="S31" s="710">
        <f t="shared" si="12"/>
        <v>100</v>
      </c>
      <c r="T31" s="709" t="s">
        <v>17</v>
      </c>
      <c r="U31" s="710">
        <f t="shared" si="13"/>
        <v>100</v>
      </c>
      <c r="V31" s="709" t="s">
        <v>17</v>
      </c>
      <c r="W31" s="710">
        <f t="shared" si="14"/>
        <v>100</v>
      </c>
      <c r="X31" s="711"/>
      <c r="Y31" s="3499"/>
      <c r="Z31" s="54"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499" t="s">
        <v>2145</v>
      </c>
      <c r="Q32" s="1486">
        <f t="shared" si="11"/>
        <v>111</v>
      </c>
      <c r="R32" s="713" t="s">
        <v>17</v>
      </c>
      <c r="S32" s="714">
        <f t="shared" si="12"/>
        <v>100</v>
      </c>
      <c r="T32" s="713" t="s">
        <v>17</v>
      </c>
      <c r="U32" s="714">
        <f t="shared" si="13"/>
        <v>100</v>
      </c>
      <c r="V32" s="713" t="s">
        <v>17</v>
      </c>
      <c r="W32" s="714">
        <f t="shared" si="14"/>
        <v>100</v>
      </c>
      <c r="X32" s="1489"/>
      <c r="Y32" s="3499"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499"/>
      <c r="Q33" s="1486">
        <f t="shared" si="11"/>
        <v>111</v>
      </c>
      <c r="R33" s="713" t="s">
        <v>17</v>
      </c>
      <c r="S33" s="714">
        <f t="shared" si="12"/>
        <v>100</v>
      </c>
      <c r="T33" s="713" t="s">
        <v>17</v>
      </c>
      <c r="U33" s="714">
        <f t="shared" si="13"/>
        <v>100</v>
      </c>
      <c r="V33" s="713" t="s">
        <v>17</v>
      </c>
      <c r="W33" s="714">
        <f t="shared" si="14"/>
        <v>100</v>
      </c>
      <c r="X33" s="1489"/>
      <c r="Y33" s="3499"/>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499"/>
      <c r="Q34" s="1486">
        <f t="shared" si="11"/>
        <v>111</v>
      </c>
      <c r="R34" s="713" t="s">
        <v>17</v>
      </c>
      <c r="S34" s="714">
        <f t="shared" si="12"/>
        <v>100</v>
      </c>
      <c r="T34" s="713" t="s">
        <v>17</v>
      </c>
      <c r="U34" s="714">
        <f t="shared" si="13"/>
        <v>100</v>
      </c>
      <c r="V34" s="713" t="s">
        <v>17</v>
      </c>
      <c r="W34" s="714">
        <f t="shared" si="14"/>
        <v>100</v>
      </c>
      <c r="X34" s="1489"/>
      <c r="Y34" s="3499"/>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492" t="str">
        <f>A35</f>
        <v>成交单价（元/平方米）</v>
      </c>
      <c r="Q35" s="3492"/>
      <c r="R35" s="3493">
        <f>E35</f>
        <v>0</v>
      </c>
      <c r="S35" s="3493"/>
      <c r="T35" s="3493">
        <f>G35</f>
        <v>0</v>
      </c>
      <c r="U35" s="3493"/>
      <c r="V35" s="3493">
        <f>I35</f>
        <v>0</v>
      </c>
      <c r="W35" s="3493"/>
      <c r="X35" s="698"/>
      <c r="Y35" s="720"/>
      <c r="Z35" s="698"/>
      <c r="AA35" s="698"/>
      <c r="AB35" s="698"/>
      <c r="AC35" s="698"/>
    </row>
    <row r="36" spans="1:30" ht="15.7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489" t="str">
        <f>A37</f>
        <v>估价对象XX用房的比较价值（楼面单价，元/平方米）</v>
      </c>
      <c r="Q37" s="3490"/>
      <c r="R37" s="3519" t="e">
        <f>IF(F1="售价",ROUND(IF(D36="简单平均",AVERAGE(R36:W36),R36*F36+T36*H36+V36*J36),0),ROUND(IF(D36="简单平均",AVERAGE(R36:V36),R36*F36+T36*H36+V36*J36),1))</f>
        <v>#DIV/0!</v>
      </c>
      <c r="S37" s="3519"/>
      <c r="T37" s="3519"/>
      <c r="U37" s="3519"/>
      <c r="V37" s="3519"/>
      <c r="W37" s="3519"/>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2022-4</v>
      </c>
      <c r="D46" s="1299">
        <f>EDATE(C46,-1)</f>
        <v>44621</v>
      </c>
      <c r="E46" s="1299">
        <f t="shared" ref="E46:O46" si="16">EDATE(D46,-1)</f>
        <v>44593</v>
      </c>
      <c r="F46" s="1299">
        <f t="shared" si="16"/>
        <v>44562</v>
      </c>
      <c r="G46" s="1299">
        <f t="shared" si="16"/>
        <v>44531</v>
      </c>
      <c r="H46" s="1299">
        <f t="shared" si="16"/>
        <v>44501</v>
      </c>
      <c r="I46" s="1299">
        <f t="shared" si="16"/>
        <v>44470</v>
      </c>
      <c r="J46" s="1299">
        <f t="shared" si="16"/>
        <v>44440</v>
      </c>
      <c r="K46" s="1299">
        <f t="shared" si="16"/>
        <v>44409</v>
      </c>
      <c r="L46" s="1299">
        <f t="shared" si="16"/>
        <v>44378</v>
      </c>
      <c r="M46" s="1299">
        <f t="shared" si="16"/>
        <v>44348</v>
      </c>
      <c r="N46" s="1299">
        <f t="shared" si="16"/>
        <v>44317</v>
      </c>
      <c r="O46" s="1299">
        <f t="shared" si="16"/>
        <v>44287</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475" t="s">
        <v>2226</v>
      </c>
      <c r="D4" s="3476"/>
      <c r="E4" s="3477" t="s">
        <v>2227</v>
      </c>
      <c r="F4" s="3478"/>
      <c r="G4" s="3475" t="s">
        <v>2228</v>
      </c>
      <c r="H4" s="3476"/>
      <c r="I4" s="3475" t="s">
        <v>2229</v>
      </c>
      <c r="J4" s="3476"/>
      <c r="K4" s="566" t="s">
        <v>2230</v>
      </c>
      <c r="L4" s="2893"/>
      <c r="M4" s="2894"/>
      <c r="N4" s="2894"/>
      <c r="O4" s="2894"/>
      <c r="P4" s="3479" t="s">
        <v>2231</v>
      </c>
      <c r="Q4" s="3480"/>
      <c r="R4" s="3462" t="s">
        <v>2227</v>
      </c>
      <c r="S4" s="3463"/>
      <c r="T4" s="3462" t="s">
        <v>2228</v>
      </c>
      <c r="U4" s="3463"/>
      <c r="V4" s="3487" t="s">
        <v>2229</v>
      </c>
      <c r="W4" s="3487"/>
      <c r="X4" s="1489"/>
      <c r="Y4" s="3462" t="s">
        <v>2231</v>
      </c>
      <c r="Z4" s="3463"/>
      <c r="AA4" s="3457" t="s">
        <v>2227</v>
      </c>
      <c r="AB4" s="3458" t="s">
        <v>2228</v>
      </c>
      <c r="AC4" s="3457" t="s">
        <v>2229</v>
      </c>
    </row>
    <row r="5" spans="1:30" ht="15">
      <c r="A5" s="363"/>
      <c r="B5" s="364"/>
      <c r="C5" s="3468" t="s">
        <v>2122</v>
      </c>
      <c r="D5" s="3469"/>
      <c r="E5" s="3466" t="s">
        <v>2123</v>
      </c>
      <c r="F5" s="3467"/>
      <c r="G5" s="3468" t="s">
        <v>2124</v>
      </c>
      <c r="H5" s="3469"/>
      <c r="I5" s="3468" t="s">
        <v>2125</v>
      </c>
      <c r="J5" s="3469"/>
      <c r="K5" s="566"/>
      <c r="L5" s="2893"/>
      <c r="M5" s="2894"/>
      <c r="N5" s="2894"/>
      <c r="O5" s="2894"/>
      <c r="P5" s="3481"/>
      <c r="Q5" s="3482"/>
      <c r="R5" s="3464"/>
      <c r="S5" s="3465"/>
      <c r="T5" s="3464"/>
      <c r="U5" s="3465"/>
      <c r="V5" s="3487"/>
      <c r="W5" s="3487"/>
      <c r="X5" s="1489"/>
      <c r="Y5" s="3464"/>
      <c r="Z5" s="3465"/>
      <c r="AA5" s="3458"/>
      <c r="AB5" s="3458"/>
      <c r="AC5" s="3458"/>
    </row>
    <row r="6" spans="1:30" ht="15.75" thickBot="1">
      <c r="A6" s="365"/>
      <c r="B6" s="366"/>
      <c r="C6" s="3470" t="s">
        <v>2126</v>
      </c>
      <c r="D6" s="3471"/>
      <c r="E6" s="3472" t="s">
        <v>2126</v>
      </c>
      <c r="F6" s="3473"/>
      <c r="G6" s="3470" t="s">
        <v>2126</v>
      </c>
      <c r="H6" s="3471"/>
      <c r="I6" s="3470" t="s">
        <v>2126</v>
      </c>
      <c r="J6" s="3471"/>
      <c r="K6" s="566" t="s">
        <v>2127</v>
      </c>
      <c r="L6" s="2893"/>
      <c r="M6" s="2894"/>
      <c r="N6" s="2894"/>
      <c r="O6" s="2894"/>
      <c r="P6" s="3483"/>
      <c r="Q6" s="3484"/>
      <c r="R6" s="3464"/>
      <c r="S6" s="3465"/>
      <c r="T6" s="3485"/>
      <c r="U6" s="3486"/>
      <c r="V6" s="3487"/>
      <c r="W6" s="3487"/>
      <c r="X6" s="1489"/>
      <c r="Y6" s="3485"/>
      <c r="Z6" s="3486"/>
      <c r="AA6" s="3459"/>
      <c r="AB6" s="3459"/>
      <c r="AC6" s="3459"/>
    </row>
    <row r="7" spans="1:30" s="112" customFormat="1" ht="15.75" thickBot="1">
      <c r="A7" s="367" t="s">
        <v>2128</v>
      </c>
      <c r="B7" s="368"/>
      <c r="C7" s="369">
        <f>'数据-取费表'!B2</f>
        <v>44677</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460" t="s">
        <v>2129</v>
      </c>
      <c r="Q7" s="3488"/>
      <c r="R7" s="709" t="s">
        <v>17</v>
      </c>
      <c r="S7" s="710">
        <f t="shared" ref="S7:S15" si="0">F7</f>
        <v>0</v>
      </c>
      <c r="T7" s="709" t="s">
        <v>17</v>
      </c>
      <c r="U7" s="710">
        <f t="shared" ref="U7:U15" si="1">H7</f>
        <v>0</v>
      </c>
      <c r="V7" s="709" t="s">
        <v>17</v>
      </c>
      <c r="W7" s="710">
        <f t="shared" ref="W7:W15" si="2">J7</f>
        <v>0</v>
      </c>
      <c r="X7" s="711"/>
      <c r="Y7" s="3460" t="s">
        <v>2129</v>
      </c>
      <c r="Z7" s="3461"/>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460" t="s">
        <v>2132</v>
      </c>
      <c r="Q8" s="3461"/>
      <c r="R8" s="709" t="s">
        <v>17</v>
      </c>
      <c r="S8" s="710">
        <f t="shared" si="0"/>
        <v>0</v>
      </c>
      <c r="T8" s="709" t="s">
        <v>17</v>
      </c>
      <c r="U8" s="710">
        <f t="shared" si="1"/>
        <v>0</v>
      </c>
      <c r="V8" s="709" t="s">
        <v>17</v>
      </c>
      <c r="W8" s="710">
        <f t="shared" si="2"/>
        <v>0</v>
      </c>
      <c r="X8" s="711"/>
      <c r="Y8" s="3460" t="s">
        <v>2132</v>
      </c>
      <c r="Z8" s="3461"/>
      <c r="AA8" s="712" t="e">
        <f t="shared" ref="AA8:AA45" si="3">D8/F8</f>
        <v>#DIV/0!</v>
      </c>
      <c r="AB8" s="712" t="e">
        <f t="shared" ref="AB8:AB45" si="4">D8/H8</f>
        <v>#DIV/0!</v>
      </c>
      <c r="AC8" s="712" t="e">
        <f t="shared" ref="AC8:AC45" si="5">D8/J8</f>
        <v>#DIV/0!</v>
      </c>
    </row>
    <row r="9" spans="1:30" s="112" customFormat="1">
      <c r="A9" s="374" t="s">
        <v>2133</v>
      </c>
      <c r="B9" s="66"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492" t="s">
        <v>2135</v>
      </c>
      <c r="Q9" s="1477" t="str">
        <f t="shared" ref="Q9:Q15" si="6">B9</f>
        <v>用途</v>
      </c>
      <c r="R9" s="709" t="s">
        <v>17</v>
      </c>
      <c r="S9" s="710">
        <f t="shared" si="0"/>
        <v>100</v>
      </c>
      <c r="T9" s="709" t="s">
        <v>17</v>
      </c>
      <c r="U9" s="710">
        <f t="shared" si="1"/>
        <v>100</v>
      </c>
      <c r="V9" s="709" t="s">
        <v>17</v>
      </c>
      <c r="W9" s="710">
        <f t="shared" si="2"/>
        <v>100</v>
      </c>
      <c r="X9" s="711"/>
      <c r="Y9" s="3404" t="s">
        <v>2136</v>
      </c>
      <c r="Z9" s="54"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118</v>
      </c>
      <c r="G10" s="421"/>
      <c r="H10" s="131">
        <f>ROUND(100/'数据-取费表'!G16,0)</f>
        <v>118</v>
      </c>
      <c r="I10" s="421"/>
      <c r="J10" s="131">
        <f>ROUND(100/'数据-取费表'!G16,0)</f>
        <v>118</v>
      </c>
      <c r="K10" s="627"/>
      <c r="L10" s="2897"/>
      <c r="M10" s="2898"/>
      <c r="N10" s="2898"/>
      <c r="O10" s="2951"/>
      <c r="P10" s="3492"/>
      <c r="Q10" s="1477" t="str">
        <f t="shared" si="6"/>
        <v>土地使用年限（年）</v>
      </c>
      <c r="R10" s="709" t="s">
        <v>17</v>
      </c>
      <c r="S10" s="710">
        <f t="shared" si="0"/>
        <v>118</v>
      </c>
      <c r="T10" s="709" t="s">
        <v>17</v>
      </c>
      <c r="U10" s="710">
        <f t="shared" si="1"/>
        <v>118</v>
      </c>
      <c r="V10" s="709" t="s">
        <v>17</v>
      </c>
      <c r="W10" s="710">
        <f t="shared" si="2"/>
        <v>118</v>
      </c>
      <c r="X10" s="711"/>
      <c r="Y10" s="3404"/>
      <c r="Z10" s="54" t="str">
        <f t="shared" si="7"/>
        <v>土地使用年限（年）</v>
      </c>
      <c r="AA10" s="712">
        <f t="shared" si="3"/>
        <v>0.84745762711864403</v>
      </c>
      <c r="AB10" s="712">
        <f t="shared" si="4"/>
        <v>0.84745762711864403</v>
      </c>
      <c r="AC10" s="712">
        <f t="shared" si="5"/>
        <v>0.84745762711864403</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492"/>
      <c r="Q11" s="1477" t="str">
        <f t="shared" si="6"/>
        <v>容积率</v>
      </c>
      <c r="R11" s="709" t="s">
        <v>17</v>
      </c>
      <c r="S11" s="710" t="e">
        <f t="shared" si="0"/>
        <v>#N/A</v>
      </c>
      <c r="T11" s="709" t="s">
        <v>17</v>
      </c>
      <c r="U11" s="710" t="e">
        <f t="shared" si="1"/>
        <v>#N/A</v>
      </c>
      <c r="V11" s="709" t="s">
        <v>17</v>
      </c>
      <c r="W11" s="710" t="e">
        <f t="shared" si="2"/>
        <v>#N/A</v>
      </c>
      <c r="X11" s="711"/>
      <c r="Y11" s="3404"/>
      <c r="Z11" s="54" t="str">
        <f t="shared" si="7"/>
        <v>容积率</v>
      </c>
      <c r="AA11" s="712" t="e">
        <f t="shared" si="3"/>
        <v>#N/A</v>
      </c>
      <c r="AB11" s="712" t="e">
        <f t="shared" si="4"/>
        <v>#N/A</v>
      </c>
      <c r="AC11" s="712" t="e">
        <f t="shared" si="5"/>
        <v>#N/A</v>
      </c>
    </row>
    <row r="12" spans="1:30" s="112"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492"/>
      <c r="Q12" s="1477" t="str">
        <f t="shared" si="6"/>
        <v>配建</v>
      </c>
      <c r="R12" s="709" t="s">
        <v>17</v>
      </c>
      <c r="S12" s="710">
        <f t="shared" si="0"/>
        <v>100</v>
      </c>
      <c r="T12" s="709" t="s">
        <v>17</v>
      </c>
      <c r="U12" s="710">
        <f t="shared" si="1"/>
        <v>100</v>
      </c>
      <c r="V12" s="709" t="s">
        <v>17</v>
      </c>
      <c r="W12" s="710">
        <f t="shared" si="2"/>
        <v>100</v>
      </c>
      <c r="X12" s="711"/>
      <c r="Y12" s="3404"/>
      <c r="Z12" s="54"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492"/>
      <c r="Q13" s="1477">
        <f t="shared" si="6"/>
        <v>111</v>
      </c>
      <c r="R13" s="709" t="s">
        <v>17</v>
      </c>
      <c r="S13" s="710">
        <f t="shared" si="0"/>
        <v>100</v>
      </c>
      <c r="T13" s="709" t="s">
        <v>17</v>
      </c>
      <c r="U13" s="710">
        <f t="shared" si="1"/>
        <v>100</v>
      </c>
      <c r="V13" s="709" t="s">
        <v>17</v>
      </c>
      <c r="W13" s="710">
        <f t="shared" si="2"/>
        <v>100</v>
      </c>
      <c r="X13" s="711"/>
      <c r="Y13" s="3404"/>
      <c r="Z13" s="54">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492"/>
      <c r="Q14" s="1477">
        <f t="shared" si="6"/>
        <v>111</v>
      </c>
      <c r="R14" s="709" t="s">
        <v>17</v>
      </c>
      <c r="S14" s="710">
        <f t="shared" si="0"/>
        <v>100</v>
      </c>
      <c r="T14" s="709" t="s">
        <v>17</v>
      </c>
      <c r="U14" s="710">
        <f t="shared" si="1"/>
        <v>100</v>
      </c>
      <c r="V14" s="709" t="s">
        <v>17</v>
      </c>
      <c r="W14" s="710">
        <f t="shared" si="2"/>
        <v>100</v>
      </c>
      <c r="X14" s="711"/>
      <c r="Y14" s="3404"/>
      <c r="Z14" s="54">
        <f t="shared" si="7"/>
        <v>111</v>
      </c>
      <c r="AA14" s="712">
        <f>D14/F14</f>
        <v>1</v>
      </c>
      <c r="AB14" s="712">
        <f>D14/H14</f>
        <v>1</v>
      </c>
      <c r="AC14" s="712">
        <f>D14/J14</f>
        <v>1</v>
      </c>
    </row>
    <row r="15" spans="1:30" ht="99.75">
      <c r="A15" s="398" t="s">
        <v>2139</v>
      </c>
      <c r="B15" s="64"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494" t="s">
        <v>2140</v>
      </c>
      <c r="Q15" s="1486" t="str">
        <f t="shared" si="6"/>
        <v>居住社区成熟度</v>
      </c>
      <c r="R15" s="713" t="s">
        <v>17</v>
      </c>
      <c r="S15" s="714">
        <f t="shared" si="0"/>
        <v>100</v>
      </c>
      <c r="T15" s="713" t="s">
        <v>17</v>
      </c>
      <c r="U15" s="714">
        <f t="shared" si="1"/>
        <v>100</v>
      </c>
      <c r="V15" s="713" t="s">
        <v>17</v>
      </c>
      <c r="W15" s="714">
        <f t="shared" si="2"/>
        <v>100</v>
      </c>
      <c r="X15" s="1489"/>
      <c r="Y15" s="3494"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495"/>
      <c r="Q16" s="1486"/>
      <c r="R16" s="713"/>
      <c r="S16" s="714"/>
      <c r="T16" s="713"/>
      <c r="U16" s="714"/>
      <c r="V16" s="713"/>
      <c r="W16" s="714"/>
      <c r="X16" s="1489"/>
      <c r="Y16" s="3495"/>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495"/>
      <c r="Q17" s="1486" t="str">
        <f>B17</f>
        <v>商业繁华度</v>
      </c>
      <c r="R17" s="713" t="s">
        <v>17</v>
      </c>
      <c r="S17" s="714">
        <f>F17</f>
        <v>100</v>
      </c>
      <c r="T17" s="713" t="s">
        <v>17</v>
      </c>
      <c r="U17" s="714">
        <f>H17</f>
        <v>100</v>
      </c>
      <c r="V17" s="713" t="s">
        <v>17</v>
      </c>
      <c r="W17" s="714">
        <f>J17</f>
        <v>100</v>
      </c>
      <c r="X17" s="1489"/>
      <c r="Y17" s="3495"/>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495"/>
      <c r="Q18" s="1486"/>
      <c r="R18" s="713"/>
      <c r="S18" s="714"/>
      <c r="T18" s="713"/>
      <c r="U18" s="714"/>
      <c r="V18" s="713"/>
      <c r="W18" s="714"/>
      <c r="X18" s="1489"/>
      <c r="Y18" s="3495"/>
      <c r="Z18" s="1490"/>
      <c r="AA18" s="1487">
        <v>1</v>
      </c>
      <c r="AB18" s="1487">
        <v>1</v>
      </c>
      <c r="AC18" s="1487">
        <v>1</v>
      </c>
    </row>
    <row r="19" spans="1:29" ht="71.25">
      <c r="A19" s="386"/>
      <c r="B19" s="409" t="s">
        <v>2267</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495"/>
      <c r="Q19" s="1486" t="str">
        <f>B19</f>
        <v>办公集聚程度</v>
      </c>
      <c r="R19" s="713" t="s">
        <v>17</v>
      </c>
      <c r="S19" s="714">
        <f>F19</f>
        <v>100</v>
      </c>
      <c r="T19" s="713" t="s">
        <v>17</v>
      </c>
      <c r="U19" s="714">
        <f>H19</f>
        <v>100</v>
      </c>
      <c r="V19" s="713" t="s">
        <v>17</v>
      </c>
      <c r="W19" s="714">
        <f>J19</f>
        <v>100</v>
      </c>
      <c r="X19" s="1489"/>
      <c r="Y19" s="3495"/>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495"/>
      <c r="Q20" s="1486"/>
      <c r="R20" s="713"/>
      <c r="S20" s="714"/>
      <c r="T20" s="713"/>
      <c r="U20" s="714"/>
      <c r="V20" s="713"/>
      <c r="W20" s="714"/>
      <c r="X20" s="1489"/>
      <c r="Y20" s="3495"/>
      <c r="Z20" s="1490"/>
      <c r="AA20" s="1487">
        <v>1</v>
      </c>
      <c r="AB20" s="1487">
        <v>1</v>
      </c>
      <c r="AC20" s="1487">
        <v>1</v>
      </c>
    </row>
    <row r="21" spans="1:29" ht="85.5">
      <c r="A21" s="386"/>
      <c r="B21" s="409" t="s">
        <v>2289</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495"/>
      <c r="Q21" s="1486" t="str">
        <f>B21</f>
        <v>交通便捷度</v>
      </c>
      <c r="R21" s="713" t="s">
        <v>17</v>
      </c>
      <c r="S21" s="714">
        <f>F21</f>
        <v>100</v>
      </c>
      <c r="T21" s="713" t="s">
        <v>17</v>
      </c>
      <c r="U21" s="714">
        <f>H21</f>
        <v>100</v>
      </c>
      <c r="V21" s="713" t="s">
        <v>17</v>
      </c>
      <c r="W21" s="714">
        <f>J21</f>
        <v>100</v>
      </c>
      <c r="X21" s="1489"/>
      <c r="Y21" s="3495"/>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495"/>
      <c r="Q22" s="1486"/>
      <c r="R22" s="713"/>
      <c r="S22" s="714"/>
      <c r="T22" s="713"/>
      <c r="U22" s="714"/>
      <c r="V22" s="713"/>
      <c r="W22" s="714"/>
      <c r="X22" s="1489"/>
      <c r="Y22" s="3495"/>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495"/>
      <c r="Q23" s="1486" t="str">
        <f t="shared" ref="Q23:Q37" si="8">B23</f>
        <v>区域土地利用方向</v>
      </c>
      <c r="R23" s="713" t="s">
        <v>17</v>
      </c>
      <c r="S23" s="714">
        <f>F23</f>
        <v>100</v>
      </c>
      <c r="T23" s="713" t="s">
        <v>17</v>
      </c>
      <c r="U23" s="714">
        <f>H23</f>
        <v>100</v>
      </c>
      <c r="V23" s="713" t="s">
        <v>17</v>
      </c>
      <c r="W23" s="714">
        <f>J23</f>
        <v>100</v>
      </c>
      <c r="X23" s="1489"/>
      <c r="Y23" s="3495"/>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495"/>
      <c r="Q24" s="1486"/>
      <c r="R24" s="713"/>
      <c r="S24" s="714"/>
      <c r="T24" s="713"/>
      <c r="U24" s="714"/>
      <c r="V24" s="713"/>
      <c r="W24" s="714"/>
      <c r="X24" s="1489"/>
      <c r="Y24" s="3495"/>
      <c r="Z24" s="1490"/>
      <c r="AA24" s="1487"/>
      <c r="AB24" s="1487"/>
      <c r="AC24" s="1487"/>
    </row>
    <row r="25" spans="1:29" ht="57">
      <c r="A25" s="363"/>
      <c r="B25" s="1245" t="s">
        <v>2329</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495"/>
      <c r="Q25" s="1486" t="str">
        <f t="shared" si="8"/>
        <v>自然及人文环境状况</v>
      </c>
      <c r="R25" s="713" t="s">
        <v>17</v>
      </c>
      <c r="S25" s="714">
        <f>F25</f>
        <v>100</v>
      </c>
      <c r="T25" s="713" t="s">
        <v>17</v>
      </c>
      <c r="U25" s="714">
        <f>H25</f>
        <v>100</v>
      </c>
      <c r="V25" s="713" t="s">
        <v>17</v>
      </c>
      <c r="W25" s="714">
        <f>J25</f>
        <v>100</v>
      </c>
      <c r="X25" s="1489"/>
      <c r="Y25" s="3495"/>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495"/>
      <c r="Q26" s="1486"/>
      <c r="R26" s="713"/>
      <c r="S26" s="714"/>
      <c r="T26" s="713"/>
      <c r="U26" s="714"/>
      <c r="V26" s="713"/>
      <c r="W26" s="714"/>
      <c r="X26" s="1489"/>
      <c r="Y26" s="3495"/>
      <c r="Z26" s="1490"/>
      <c r="AA26" s="1487">
        <v>1</v>
      </c>
      <c r="AB26" s="1487">
        <v>1</v>
      </c>
      <c r="AC26" s="1487">
        <v>1</v>
      </c>
    </row>
    <row r="27" spans="1:29" s="112" customFormat="1" ht="42.75">
      <c r="A27" s="604"/>
      <c r="B27" s="1245" t="s">
        <v>2234</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495"/>
      <c r="Q27" s="1477" t="str">
        <f t="shared" si="8"/>
        <v>公共配套设施</v>
      </c>
      <c r="R27" s="709" t="s">
        <v>17</v>
      </c>
      <c r="S27" s="710">
        <f>F27</f>
        <v>100</v>
      </c>
      <c r="T27" s="709" t="s">
        <v>17</v>
      </c>
      <c r="U27" s="710">
        <f>H27</f>
        <v>100</v>
      </c>
      <c r="V27" s="709" t="s">
        <v>17</v>
      </c>
      <c r="W27" s="710">
        <f>J27</f>
        <v>100</v>
      </c>
      <c r="X27" s="711"/>
      <c r="Y27" s="3495"/>
      <c r="Z27" s="54"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495"/>
      <c r="Q28" s="1477"/>
      <c r="R28" s="709"/>
      <c r="S28" s="710"/>
      <c r="T28" s="709"/>
      <c r="U28" s="710"/>
      <c r="V28" s="709"/>
      <c r="W28" s="710"/>
      <c r="X28" s="711"/>
      <c r="Y28" s="3495"/>
      <c r="Z28" s="54"/>
      <c r="AA28" s="1487">
        <v>1</v>
      </c>
      <c r="AB28" s="1487">
        <v>1</v>
      </c>
      <c r="AC28" s="1487">
        <v>1</v>
      </c>
    </row>
    <row r="29" spans="1:29" s="112"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495"/>
      <c r="Q29" s="1477" t="str">
        <f t="shared" ref="Q29" si="9">B29</f>
        <v>基础设施水平</v>
      </c>
      <c r="R29" s="709" t="s">
        <v>17</v>
      </c>
      <c r="S29" s="710">
        <f>F29</f>
        <v>100</v>
      </c>
      <c r="T29" s="709" t="s">
        <v>17</v>
      </c>
      <c r="U29" s="710">
        <f>H29</f>
        <v>100</v>
      </c>
      <c r="V29" s="709" t="s">
        <v>17</v>
      </c>
      <c r="W29" s="710">
        <f>J29</f>
        <v>100</v>
      </c>
      <c r="X29" s="711"/>
      <c r="Y29" s="3495"/>
      <c r="Z29" s="54"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495"/>
      <c r="Q30" s="1477"/>
      <c r="R30" s="709"/>
      <c r="S30" s="710"/>
      <c r="T30" s="709"/>
      <c r="U30" s="710"/>
      <c r="V30" s="709"/>
      <c r="W30" s="710"/>
      <c r="X30" s="711"/>
      <c r="Y30" s="3495"/>
      <c r="Z30" s="54"/>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495"/>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95"/>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495"/>
      <c r="Q32" s="1486" t="str">
        <f t="shared" si="8"/>
        <v>毗邻道路的类型与等级</v>
      </c>
      <c r="R32" s="713" t="s">
        <v>17</v>
      </c>
      <c r="S32" s="714">
        <f t="shared" si="10"/>
        <v>100</v>
      </c>
      <c r="T32" s="713" t="s">
        <v>17</v>
      </c>
      <c r="U32" s="714">
        <f t="shared" si="11"/>
        <v>100</v>
      </c>
      <c r="V32" s="713" t="s">
        <v>17</v>
      </c>
      <c r="W32" s="714">
        <f t="shared" si="12"/>
        <v>100</v>
      </c>
      <c r="X32" s="1489"/>
      <c r="Y32" s="3495"/>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495"/>
      <c r="Q33" s="1486"/>
      <c r="R33" s="713"/>
      <c r="S33" s="714"/>
      <c r="T33" s="713"/>
      <c r="U33" s="714"/>
      <c r="V33" s="713"/>
      <c r="W33" s="714"/>
      <c r="X33" s="1489"/>
      <c r="Y33" s="3495"/>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495"/>
      <c r="Q34" s="1486" t="str">
        <f t="shared" si="8"/>
        <v>土地级别</v>
      </c>
      <c r="R34" s="713" t="s">
        <v>17</v>
      </c>
      <c r="S34" s="714">
        <f t="shared" si="10"/>
        <v>100</v>
      </c>
      <c r="T34" s="713" t="s">
        <v>17</v>
      </c>
      <c r="U34" s="714">
        <f t="shared" si="11"/>
        <v>100</v>
      </c>
      <c r="V34" s="713" t="s">
        <v>17</v>
      </c>
      <c r="W34" s="714">
        <f t="shared" si="12"/>
        <v>100</v>
      </c>
      <c r="X34" s="1489"/>
      <c r="Y34" s="3495"/>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495"/>
      <c r="Q35" s="1486">
        <f t="shared" si="8"/>
        <v>111</v>
      </c>
      <c r="R35" s="713" t="s">
        <v>17</v>
      </c>
      <c r="S35" s="714">
        <f t="shared" si="10"/>
        <v>100</v>
      </c>
      <c r="T35" s="713" t="s">
        <v>17</v>
      </c>
      <c r="U35" s="714">
        <f t="shared" si="11"/>
        <v>100</v>
      </c>
      <c r="V35" s="713" t="s">
        <v>17</v>
      </c>
      <c r="W35" s="714">
        <f t="shared" si="12"/>
        <v>100</v>
      </c>
      <c r="X35" s="1489"/>
      <c r="Y35" s="3495"/>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518" t="s">
        <v>2145</v>
      </c>
      <c r="Q36" s="1486">
        <f t="shared" si="8"/>
        <v>111</v>
      </c>
      <c r="R36" s="713" t="s">
        <v>17</v>
      </c>
      <c r="S36" s="714">
        <f t="shared" si="10"/>
        <v>100</v>
      </c>
      <c r="T36" s="713" t="s">
        <v>17</v>
      </c>
      <c r="U36" s="714">
        <f t="shared" si="11"/>
        <v>100</v>
      </c>
      <c r="V36" s="713" t="s">
        <v>17</v>
      </c>
      <c r="W36" s="714">
        <f t="shared" si="12"/>
        <v>100</v>
      </c>
      <c r="X36" s="1489"/>
      <c r="Y36" s="3499"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499"/>
      <c r="Q37" s="1486">
        <f t="shared" si="8"/>
        <v>111</v>
      </c>
      <c r="R37" s="716" t="s">
        <v>17</v>
      </c>
      <c r="S37" s="717">
        <f t="shared" si="10"/>
        <v>100</v>
      </c>
      <c r="T37" s="716" t="s">
        <v>17</v>
      </c>
      <c r="U37" s="717">
        <f t="shared" si="11"/>
        <v>100</v>
      </c>
      <c r="V37" s="716" t="s">
        <v>17</v>
      </c>
      <c r="W37" s="717">
        <f t="shared" si="12"/>
        <v>100</v>
      </c>
      <c r="X37" s="718"/>
      <c r="Y37" s="3499"/>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499"/>
      <c r="Q38" s="1486" t="str">
        <f>B38</f>
        <v>宗地面积</v>
      </c>
      <c r="R38" s="713" t="s">
        <v>17</v>
      </c>
      <c r="S38" s="714" t="e">
        <f t="shared" si="10"/>
        <v>#N/A</v>
      </c>
      <c r="T38" s="713" t="s">
        <v>17</v>
      </c>
      <c r="U38" s="714" t="e">
        <f t="shared" si="11"/>
        <v>#N/A</v>
      </c>
      <c r="V38" s="713" t="s">
        <v>17</v>
      </c>
      <c r="W38" s="714" t="e">
        <f t="shared" si="12"/>
        <v>#N/A</v>
      </c>
      <c r="X38" s="1489"/>
      <c r="Y38" s="3499"/>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499"/>
      <c r="Q39" s="1486" t="str">
        <f t="shared" ref="Q39:Q45" si="14">B39</f>
        <v>宗地形状</v>
      </c>
      <c r="R39" s="713" t="s">
        <v>17</v>
      </c>
      <c r="S39" s="714">
        <f t="shared" si="10"/>
        <v>100</v>
      </c>
      <c r="T39" s="713" t="s">
        <v>17</v>
      </c>
      <c r="U39" s="714">
        <f t="shared" si="11"/>
        <v>100</v>
      </c>
      <c r="V39" s="713" t="s">
        <v>17</v>
      </c>
      <c r="W39" s="714">
        <f t="shared" si="12"/>
        <v>100</v>
      </c>
      <c r="X39" s="1489"/>
      <c r="Y39" s="3499"/>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499"/>
      <c r="Q40" s="1486" t="str">
        <f t="shared" si="14"/>
        <v>临街宽度及深度</v>
      </c>
      <c r="R40" s="713" t="s">
        <v>17</v>
      </c>
      <c r="S40" s="714">
        <f t="shared" si="10"/>
        <v>100</v>
      </c>
      <c r="T40" s="713" t="s">
        <v>17</v>
      </c>
      <c r="U40" s="714">
        <f t="shared" si="11"/>
        <v>100</v>
      </c>
      <c r="V40" s="713" t="s">
        <v>17</v>
      </c>
      <c r="W40" s="714">
        <f t="shared" si="12"/>
        <v>100</v>
      </c>
      <c r="X40" s="1489"/>
      <c r="Y40" s="3499"/>
      <c r="Z40" s="1490" t="str">
        <f t="shared" si="13"/>
        <v>临街宽度及深度</v>
      </c>
      <c r="AA40" s="1487">
        <f t="shared" si="3"/>
        <v>1</v>
      </c>
      <c r="AB40" s="1487">
        <f t="shared" si="4"/>
        <v>1</v>
      </c>
      <c r="AC40" s="1487">
        <f t="shared" si="5"/>
        <v>1</v>
      </c>
    </row>
    <row r="41" spans="1:29" s="112"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499"/>
      <c r="Q41" s="1486" t="str">
        <f t="shared" si="14"/>
        <v>宗地开发程度</v>
      </c>
      <c r="R41" s="709" t="s">
        <v>17</v>
      </c>
      <c r="S41" s="710">
        <f t="shared" si="10"/>
        <v>100</v>
      </c>
      <c r="T41" s="709" t="s">
        <v>17</v>
      </c>
      <c r="U41" s="710">
        <f t="shared" si="11"/>
        <v>100</v>
      </c>
      <c r="V41" s="709" t="s">
        <v>17</v>
      </c>
      <c r="W41" s="710">
        <f t="shared" si="12"/>
        <v>100</v>
      </c>
      <c r="X41" s="711"/>
      <c r="Y41" s="3499"/>
      <c r="Z41" s="54"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499" t="s">
        <v>2145</v>
      </c>
      <c r="Q42" s="1486" t="str">
        <f t="shared" si="14"/>
        <v>工程地质条件</v>
      </c>
      <c r="R42" s="713" t="s">
        <v>17</v>
      </c>
      <c r="S42" s="714">
        <f t="shared" si="10"/>
        <v>100</v>
      </c>
      <c r="T42" s="713" t="s">
        <v>17</v>
      </c>
      <c r="U42" s="714">
        <f t="shared" si="11"/>
        <v>100</v>
      </c>
      <c r="V42" s="713" t="s">
        <v>17</v>
      </c>
      <c r="W42" s="714">
        <f t="shared" si="12"/>
        <v>100</v>
      </c>
      <c r="X42" s="1489"/>
      <c r="Y42" s="3499"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499"/>
      <c r="Q43" s="1486">
        <f t="shared" si="14"/>
        <v>111</v>
      </c>
      <c r="R43" s="713" t="s">
        <v>17</v>
      </c>
      <c r="S43" s="714">
        <f t="shared" si="10"/>
        <v>100</v>
      </c>
      <c r="T43" s="713" t="s">
        <v>17</v>
      </c>
      <c r="U43" s="714">
        <f t="shared" si="11"/>
        <v>100</v>
      </c>
      <c r="V43" s="713" t="s">
        <v>17</v>
      </c>
      <c r="W43" s="714">
        <f t="shared" si="12"/>
        <v>100</v>
      </c>
      <c r="X43" s="1489"/>
      <c r="Y43" s="3499"/>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499"/>
      <c r="Q44" s="1486">
        <f t="shared" si="14"/>
        <v>111</v>
      </c>
      <c r="R44" s="713" t="s">
        <v>17</v>
      </c>
      <c r="S44" s="714">
        <f t="shared" si="10"/>
        <v>100</v>
      </c>
      <c r="T44" s="713" t="s">
        <v>17</v>
      </c>
      <c r="U44" s="714">
        <f t="shared" si="11"/>
        <v>100</v>
      </c>
      <c r="V44" s="713" t="s">
        <v>17</v>
      </c>
      <c r="W44" s="714">
        <f t="shared" si="12"/>
        <v>100</v>
      </c>
      <c r="X44" s="1489"/>
      <c r="Y44" s="3499"/>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499"/>
      <c r="Q45" s="1486">
        <f t="shared" si="14"/>
        <v>111</v>
      </c>
      <c r="R45" s="716" t="s">
        <v>17</v>
      </c>
      <c r="S45" s="717">
        <f t="shared" si="10"/>
        <v>100</v>
      </c>
      <c r="T45" s="716" t="s">
        <v>17</v>
      </c>
      <c r="U45" s="717">
        <f t="shared" si="11"/>
        <v>100</v>
      </c>
      <c r="V45" s="716" t="s">
        <v>17</v>
      </c>
      <c r="W45" s="717">
        <f t="shared" si="12"/>
        <v>100</v>
      </c>
      <c r="X45" s="718"/>
      <c r="Y45" s="3499"/>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492" t="str">
        <f>A46</f>
        <v>成交单价</v>
      </c>
      <c r="Q46" s="3492"/>
      <c r="R46" s="3487">
        <f>E46</f>
        <v>0</v>
      </c>
      <c r="S46" s="3487"/>
      <c r="T46" s="3487">
        <f>G46</f>
        <v>0</v>
      </c>
      <c r="U46" s="3487"/>
      <c r="V46" s="3487">
        <f>I46</f>
        <v>0</v>
      </c>
      <c r="W46" s="3487"/>
      <c r="X46" s="698"/>
      <c r="Y46" s="720"/>
      <c r="Z46" s="698"/>
      <c r="AA46" s="698"/>
      <c r="AB46" s="698"/>
      <c r="AC46" s="698"/>
    </row>
    <row r="47" spans="1:29" ht="15.7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492" t="str">
        <f>A47</f>
        <v>比较价值（元/平方米）</v>
      </c>
      <c r="Q47" s="3492"/>
      <c r="R47" s="3520" t="e">
        <f>ROUND(PRODUCT(R46,AA7:AA45),0)</f>
        <v>#DIV/0!</v>
      </c>
      <c r="S47" s="3520"/>
      <c r="T47" s="3520" t="e">
        <f>ROUND(PRODUCT(T46,AB7:AB45),0)</f>
        <v>#DIV/0!</v>
      </c>
      <c r="U47" s="3520"/>
      <c r="V47" s="3520" t="e">
        <f>ROUND(PRODUCT(V46,AC7:AC45),0)</f>
        <v>#DIV/0!</v>
      </c>
      <c r="W47" s="3520"/>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489" t="str">
        <f>A48</f>
        <v>估价对象XX用房的比较价值（楼面单价，元/平方米）</v>
      </c>
      <c r="Q48" s="3490"/>
      <c r="R48" s="3521" t="e">
        <f>ROUND(IF(D47="简单平均",AVERAGE(R47:W47),R47*F47+T47*H47+V47*J47),0)</f>
        <v>#DIV/0!</v>
      </c>
      <c r="S48" s="3521"/>
      <c r="T48" s="3521"/>
      <c r="U48" s="3521"/>
      <c r="V48" s="3521"/>
      <c r="W48" s="3521"/>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475" t="s">
        <v>2344</v>
      </c>
      <c r="H55" s="3522"/>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8363.3700000000008</v>
      </c>
      <c r="F56" s="997" t="e">
        <f t="shared" ref="F56:F64" si="15">ROUND(B56*E56/10000,0)</f>
        <v>#DIV/0!</v>
      </c>
      <c r="G56" s="3474"/>
      <c r="H56" s="3492"/>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8363.3700000000008</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2022-4-1</v>
      </c>
      <c r="D67" s="700">
        <f>EDATE(C67,-3)</f>
        <v>44562</v>
      </c>
      <c r="E67" s="700">
        <f>EDATE(D67,-3)</f>
        <v>44470</v>
      </c>
      <c r="F67" s="700">
        <f t="shared" ref="F67:O67" si="18">EDATE(E67,-3)</f>
        <v>44378</v>
      </c>
      <c r="G67" s="700">
        <f t="shared" si="18"/>
        <v>44287</v>
      </c>
      <c r="H67" s="700">
        <f t="shared" si="18"/>
        <v>44197</v>
      </c>
      <c r="I67" s="700">
        <f t="shared" si="18"/>
        <v>44105</v>
      </c>
      <c r="J67" s="700">
        <f t="shared" si="18"/>
        <v>44013</v>
      </c>
      <c r="K67" s="700">
        <f t="shared" si="18"/>
        <v>43922</v>
      </c>
      <c r="L67" s="700">
        <f t="shared" si="18"/>
        <v>43831</v>
      </c>
      <c r="M67" s="700">
        <f t="shared" si="18"/>
        <v>43739</v>
      </c>
      <c r="N67" s="700">
        <f t="shared" si="18"/>
        <v>43647</v>
      </c>
      <c r="O67" s="700">
        <f t="shared" si="18"/>
        <v>43556</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4"/>
      <c r="Q69" s="2919"/>
      <c r="R69" s="2919"/>
      <c r="S69" s="2919"/>
      <c r="T69" s="2919"/>
      <c r="U69" s="2919"/>
      <c r="V69" s="2919"/>
      <c r="W69" s="2919"/>
      <c r="X69" s="2919"/>
      <c r="Y69" s="2919"/>
      <c r="Z69" s="2919"/>
      <c r="AA69" s="2919"/>
      <c r="AB69" s="2919"/>
      <c r="AC69" s="2919"/>
    </row>
    <row r="70" spans="1:29" s="112"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1" sqref="Q81"/>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475" t="s">
        <v>2226</v>
      </c>
      <c r="D4" s="3476"/>
      <c r="E4" s="3477" t="s">
        <v>2227</v>
      </c>
      <c r="F4" s="3478"/>
      <c r="G4" s="3475" t="s">
        <v>2228</v>
      </c>
      <c r="H4" s="3476"/>
      <c r="I4" s="3475" t="s">
        <v>2229</v>
      </c>
      <c r="J4" s="3476"/>
      <c r="K4" s="566" t="s">
        <v>2230</v>
      </c>
      <c r="L4" s="2893"/>
      <c r="M4" s="2894"/>
      <c r="N4" s="2894"/>
      <c r="O4" s="2894"/>
      <c r="P4" s="3479" t="s">
        <v>2231</v>
      </c>
      <c r="Q4" s="3480"/>
      <c r="R4" s="3462" t="s">
        <v>2227</v>
      </c>
      <c r="S4" s="3463"/>
      <c r="T4" s="3462" t="s">
        <v>2228</v>
      </c>
      <c r="U4" s="3463"/>
      <c r="V4" s="3487" t="s">
        <v>2229</v>
      </c>
      <c r="W4" s="3487"/>
      <c r="X4" s="1489"/>
      <c r="Y4" s="3462" t="s">
        <v>2231</v>
      </c>
      <c r="Z4" s="3463"/>
      <c r="AA4" s="3457" t="s">
        <v>2227</v>
      </c>
      <c r="AB4" s="3458" t="s">
        <v>2228</v>
      </c>
      <c r="AC4" s="3457" t="s">
        <v>2229</v>
      </c>
    </row>
    <row r="5" spans="1:29" ht="15">
      <c r="A5" s="363"/>
      <c r="B5" s="364"/>
      <c r="C5" s="3468" t="s">
        <v>2122</v>
      </c>
      <c r="D5" s="3469"/>
      <c r="E5" s="3466" t="s">
        <v>2123</v>
      </c>
      <c r="F5" s="3467"/>
      <c r="G5" s="3468" t="s">
        <v>2124</v>
      </c>
      <c r="H5" s="3469"/>
      <c r="I5" s="3468" t="s">
        <v>2125</v>
      </c>
      <c r="J5" s="3469"/>
      <c r="K5" s="566"/>
      <c r="L5" s="2893"/>
      <c r="M5" s="2894"/>
      <c r="N5" s="2894"/>
      <c r="O5" s="2894"/>
      <c r="P5" s="3481"/>
      <c r="Q5" s="3482"/>
      <c r="R5" s="3464"/>
      <c r="S5" s="3465"/>
      <c r="T5" s="3464"/>
      <c r="U5" s="3465"/>
      <c r="V5" s="3487"/>
      <c r="W5" s="3487"/>
      <c r="X5" s="1489"/>
      <c r="Y5" s="3464"/>
      <c r="Z5" s="3465"/>
      <c r="AA5" s="3458"/>
      <c r="AB5" s="3458"/>
      <c r="AC5" s="3458"/>
    </row>
    <row r="6" spans="1:29" ht="15.75" thickBot="1">
      <c r="A6" s="365"/>
      <c r="B6" s="366"/>
      <c r="C6" s="3523" t="s">
        <v>2376</v>
      </c>
      <c r="D6" s="3524"/>
      <c r="E6" s="3525" t="s">
        <v>2376</v>
      </c>
      <c r="F6" s="3526"/>
      <c r="G6" s="3523" t="s">
        <v>2376</v>
      </c>
      <c r="H6" s="3524"/>
      <c r="I6" s="3523" t="s">
        <v>2376</v>
      </c>
      <c r="J6" s="3524"/>
      <c r="K6" s="566" t="s">
        <v>2127</v>
      </c>
      <c r="L6" s="2893"/>
      <c r="M6" s="2894"/>
      <c r="N6" s="2894"/>
      <c r="O6" s="2894"/>
      <c r="P6" s="3483"/>
      <c r="Q6" s="3484"/>
      <c r="R6" s="3464"/>
      <c r="S6" s="3465"/>
      <c r="T6" s="3485"/>
      <c r="U6" s="3486"/>
      <c r="V6" s="3487"/>
      <c r="W6" s="3487"/>
      <c r="X6" s="1489"/>
      <c r="Y6" s="3485"/>
      <c r="Z6" s="3486"/>
      <c r="AA6" s="3459"/>
      <c r="AB6" s="3459"/>
      <c r="AC6" s="3459"/>
    </row>
    <row r="7" spans="1:29" s="112" customFormat="1" ht="15.75" thickBot="1">
      <c r="A7" s="367" t="s">
        <v>2128</v>
      </c>
      <c r="B7" s="368"/>
      <c r="C7" s="369">
        <f>'数据-取费表'!B2</f>
        <v>44677</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460" t="s">
        <v>2129</v>
      </c>
      <c r="Q7" s="3488"/>
      <c r="R7" s="709" t="s">
        <v>17</v>
      </c>
      <c r="S7" s="710">
        <f t="shared" ref="S7:S15" si="0">F7</f>
        <v>0</v>
      </c>
      <c r="T7" s="709" t="s">
        <v>17</v>
      </c>
      <c r="U7" s="710">
        <f t="shared" ref="U7:U15" si="1">H7</f>
        <v>0</v>
      </c>
      <c r="V7" s="709" t="s">
        <v>17</v>
      </c>
      <c r="W7" s="710">
        <f t="shared" ref="W7:W15" si="2">J7</f>
        <v>0</v>
      </c>
      <c r="X7" s="711"/>
      <c r="Y7" s="3460" t="s">
        <v>2129</v>
      </c>
      <c r="Z7" s="3461"/>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460" t="s">
        <v>2132</v>
      </c>
      <c r="Q8" s="3461"/>
      <c r="R8" s="709" t="s">
        <v>17</v>
      </c>
      <c r="S8" s="710">
        <f t="shared" si="0"/>
        <v>0</v>
      </c>
      <c r="T8" s="709" t="s">
        <v>17</v>
      </c>
      <c r="U8" s="710">
        <f t="shared" si="1"/>
        <v>0</v>
      </c>
      <c r="V8" s="709" t="s">
        <v>17</v>
      </c>
      <c r="W8" s="710">
        <f t="shared" si="2"/>
        <v>0</v>
      </c>
      <c r="X8" s="711"/>
      <c r="Y8" s="3460" t="s">
        <v>2132</v>
      </c>
      <c r="Z8" s="3461"/>
      <c r="AA8" s="712" t="e">
        <f t="shared" ref="AA8:AA40" si="3">D8/F8</f>
        <v>#DIV/0!</v>
      </c>
      <c r="AB8" s="712" t="e">
        <f t="shared" ref="AB8:AB40" si="4">D8/H8</f>
        <v>#DIV/0!</v>
      </c>
      <c r="AC8" s="712" t="e">
        <f t="shared" ref="AC8:AC40" si="5">D8/J8</f>
        <v>#DIV/0!</v>
      </c>
    </row>
    <row r="9" spans="1:29" s="112" customFormat="1">
      <c r="A9" s="374" t="s">
        <v>2133</v>
      </c>
      <c r="B9" s="66"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492" t="s">
        <v>2135</v>
      </c>
      <c r="Q9" s="1477" t="str">
        <f t="shared" ref="Q9:Q15" si="6">B9</f>
        <v>用途</v>
      </c>
      <c r="R9" s="709" t="s">
        <v>17</v>
      </c>
      <c r="S9" s="710">
        <f t="shared" si="0"/>
        <v>100</v>
      </c>
      <c r="T9" s="709" t="s">
        <v>17</v>
      </c>
      <c r="U9" s="710">
        <f t="shared" si="1"/>
        <v>100</v>
      </c>
      <c r="V9" s="709" t="s">
        <v>17</v>
      </c>
      <c r="W9" s="710">
        <f t="shared" si="2"/>
        <v>100</v>
      </c>
      <c r="X9" s="711"/>
      <c r="Y9" s="3404" t="s">
        <v>2136</v>
      </c>
      <c r="Z9" s="54"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118</v>
      </c>
      <c r="G10" s="390"/>
      <c r="H10" s="131">
        <f>ROUND(100/'数据-取费表'!G16,0)</f>
        <v>118</v>
      </c>
      <c r="I10" s="390"/>
      <c r="J10" s="131">
        <f>ROUND(100/'数据-取费表'!G16,0)</f>
        <v>118</v>
      </c>
      <c r="K10" s="627"/>
      <c r="L10" s="2897"/>
      <c r="M10" s="2898"/>
      <c r="N10" s="2898"/>
      <c r="O10" s="2951"/>
      <c r="P10" s="3492"/>
      <c r="Q10" s="1477" t="str">
        <f t="shared" si="6"/>
        <v>土地使用年限（年）</v>
      </c>
      <c r="R10" s="709" t="s">
        <v>17</v>
      </c>
      <c r="S10" s="710">
        <f t="shared" si="0"/>
        <v>118</v>
      </c>
      <c r="T10" s="709" t="s">
        <v>17</v>
      </c>
      <c r="U10" s="710">
        <f t="shared" si="1"/>
        <v>118</v>
      </c>
      <c r="V10" s="709" t="s">
        <v>17</v>
      </c>
      <c r="W10" s="710">
        <f t="shared" si="2"/>
        <v>118</v>
      </c>
      <c r="X10" s="711"/>
      <c r="Y10" s="3404"/>
      <c r="Z10" s="54" t="str">
        <f t="shared" si="7"/>
        <v>土地使用年限（年）</v>
      </c>
      <c r="AA10" s="712">
        <f t="shared" si="3"/>
        <v>0.84745762711864403</v>
      </c>
      <c r="AB10" s="712">
        <f t="shared" si="4"/>
        <v>0.84745762711864403</v>
      </c>
      <c r="AC10" s="712">
        <f t="shared" si="5"/>
        <v>0.84745762711864403</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492"/>
      <c r="Q11" s="1477" t="str">
        <f t="shared" si="6"/>
        <v>容积率</v>
      </c>
      <c r="R11" s="709" t="s">
        <v>17</v>
      </c>
      <c r="S11" s="710" t="e">
        <f t="shared" si="0"/>
        <v>#N/A</v>
      </c>
      <c r="T11" s="709" t="s">
        <v>17</v>
      </c>
      <c r="U11" s="710" t="e">
        <f t="shared" si="1"/>
        <v>#N/A</v>
      </c>
      <c r="V11" s="709" t="s">
        <v>17</v>
      </c>
      <c r="W11" s="710" t="e">
        <f t="shared" si="2"/>
        <v>#N/A</v>
      </c>
      <c r="X11" s="711"/>
      <c r="Y11" s="3404"/>
      <c r="Z11" s="54"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492"/>
      <c r="Q12" s="1477">
        <f t="shared" si="6"/>
        <v>111</v>
      </c>
      <c r="R12" s="709" t="s">
        <v>17</v>
      </c>
      <c r="S12" s="710">
        <f t="shared" si="0"/>
        <v>100</v>
      </c>
      <c r="T12" s="709" t="s">
        <v>17</v>
      </c>
      <c r="U12" s="710">
        <f t="shared" si="1"/>
        <v>100</v>
      </c>
      <c r="V12" s="709" t="s">
        <v>17</v>
      </c>
      <c r="W12" s="710">
        <f t="shared" si="2"/>
        <v>100</v>
      </c>
      <c r="X12" s="711"/>
      <c r="Y12" s="3404"/>
      <c r="Z12" s="54">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492"/>
      <c r="Q13" s="1477">
        <f t="shared" si="6"/>
        <v>111</v>
      </c>
      <c r="R13" s="709" t="s">
        <v>17</v>
      </c>
      <c r="S13" s="710">
        <f t="shared" si="0"/>
        <v>100</v>
      </c>
      <c r="T13" s="709" t="s">
        <v>17</v>
      </c>
      <c r="U13" s="710">
        <f t="shared" si="1"/>
        <v>100</v>
      </c>
      <c r="V13" s="709" t="s">
        <v>17</v>
      </c>
      <c r="W13" s="710">
        <f t="shared" si="2"/>
        <v>100</v>
      </c>
      <c r="X13" s="711"/>
      <c r="Y13" s="3404"/>
      <c r="Z13" s="54">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492"/>
      <c r="Q14" s="1477">
        <f t="shared" si="6"/>
        <v>111</v>
      </c>
      <c r="R14" s="709" t="s">
        <v>17</v>
      </c>
      <c r="S14" s="710">
        <f t="shared" si="0"/>
        <v>100</v>
      </c>
      <c r="T14" s="709" t="s">
        <v>17</v>
      </c>
      <c r="U14" s="710">
        <f t="shared" si="1"/>
        <v>100</v>
      </c>
      <c r="V14" s="709" t="s">
        <v>17</v>
      </c>
      <c r="W14" s="710">
        <f t="shared" si="2"/>
        <v>100</v>
      </c>
      <c r="X14" s="711"/>
      <c r="Y14" s="3404"/>
      <c r="Z14" s="54">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494" t="s">
        <v>2140</v>
      </c>
      <c r="Q15" s="1486" t="str">
        <f t="shared" si="6"/>
        <v>产业集聚程度</v>
      </c>
      <c r="R15" s="713" t="s">
        <v>17</v>
      </c>
      <c r="S15" s="714">
        <f t="shared" si="0"/>
        <v>100</v>
      </c>
      <c r="T15" s="713" t="s">
        <v>17</v>
      </c>
      <c r="U15" s="714">
        <f t="shared" si="1"/>
        <v>100</v>
      </c>
      <c r="V15" s="713" t="s">
        <v>17</v>
      </c>
      <c r="W15" s="714">
        <f t="shared" si="2"/>
        <v>100</v>
      </c>
      <c r="X15" s="1489"/>
      <c r="Y15" s="3494"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495"/>
      <c r="Q16" s="1486"/>
      <c r="R16" s="713"/>
      <c r="S16" s="714"/>
      <c r="T16" s="713"/>
      <c r="U16" s="714"/>
      <c r="V16" s="713"/>
      <c r="W16" s="714"/>
      <c r="X16" s="1489"/>
      <c r="Y16" s="3495"/>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495"/>
      <c r="Q17" s="1486" t="str">
        <f>B17</f>
        <v>交通便捷度</v>
      </c>
      <c r="R17" s="713" t="s">
        <v>17</v>
      </c>
      <c r="S17" s="714">
        <f>F17</f>
        <v>100</v>
      </c>
      <c r="T17" s="713" t="s">
        <v>17</v>
      </c>
      <c r="U17" s="714">
        <f>H17</f>
        <v>100</v>
      </c>
      <c r="V17" s="713" t="s">
        <v>17</v>
      </c>
      <c r="W17" s="714">
        <f>J17</f>
        <v>100</v>
      </c>
      <c r="X17" s="1489"/>
      <c r="Y17" s="3495"/>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495"/>
      <c r="Q18" s="1486"/>
      <c r="R18" s="713"/>
      <c r="S18" s="714"/>
      <c r="T18" s="713"/>
      <c r="U18" s="714"/>
      <c r="V18" s="713"/>
      <c r="W18" s="714"/>
      <c r="X18" s="1489"/>
      <c r="Y18" s="3495"/>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495"/>
      <c r="Q19" s="1486" t="str">
        <f t="shared" ref="Q19:Q33" si="8">B19</f>
        <v>区域土地利用方向</v>
      </c>
      <c r="R19" s="713" t="s">
        <v>17</v>
      </c>
      <c r="S19" s="714">
        <f>F19</f>
        <v>100</v>
      </c>
      <c r="T19" s="713" t="s">
        <v>17</v>
      </c>
      <c r="U19" s="714">
        <f>H19</f>
        <v>100</v>
      </c>
      <c r="V19" s="713" t="s">
        <v>17</v>
      </c>
      <c r="W19" s="714">
        <f>J19</f>
        <v>100</v>
      </c>
      <c r="X19" s="1489"/>
      <c r="Y19" s="3495"/>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495"/>
      <c r="Q20" s="1486"/>
      <c r="R20" s="713"/>
      <c r="S20" s="714"/>
      <c r="T20" s="713"/>
      <c r="U20" s="714"/>
      <c r="V20" s="713"/>
      <c r="W20" s="714"/>
      <c r="X20" s="1489"/>
      <c r="Y20" s="3495"/>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495"/>
      <c r="Q21" s="1486" t="str">
        <f t="shared" si="8"/>
        <v>环境状况</v>
      </c>
      <c r="R21" s="713" t="s">
        <v>17</v>
      </c>
      <c r="S21" s="714">
        <f>F21</f>
        <v>100</v>
      </c>
      <c r="T21" s="713" t="s">
        <v>17</v>
      </c>
      <c r="U21" s="714">
        <f>H21</f>
        <v>100</v>
      </c>
      <c r="V21" s="713" t="s">
        <v>17</v>
      </c>
      <c r="W21" s="714">
        <f>J21</f>
        <v>100</v>
      </c>
      <c r="X21" s="1489"/>
      <c r="Y21" s="3495"/>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495"/>
      <c r="Q22" s="1486"/>
      <c r="R22" s="713"/>
      <c r="S22" s="714"/>
      <c r="T22" s="713"/>
      <c r="U22" s="714"/>
      <c r="V22" s="713"/>
      <c r="W22" s="714"/>
      <c r="X22" s="1489"/>
      <c r="Y22" s="3495"/>
      <c r="Z22" s="1490"/>
      <c r="AA22" s="1487">
        <v>1</v>
      </c>
      <c r="AB22" s="1487">
        <v>1</v>
      </c>
      <c r="AC22" s="1487">
        <v>1</v>
      </c>
    </row>
    <row r="23" spans="1:29" s="112"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495"/>
      <c r="Q23" s="1477" t="str">
        <f t="shared" si="8"/>
        <v>公共配套设施</v>
      </c>
      <c r="R23" s="709" t="s">
        <v>17</v>
      </c>
      <c r="S23" s="710">
        <f>F23</f>
        <v>100</v>
      </c>
      <c r="T23" s="709" t="s">
        <v>17</v>
      </c>
      <c r="U23" s="710">
        <f>H23</f>
        <v>100</v>
      </c>
      <c r="V23" s="709" t="s">
        <v>17</v>
      </c>
      <c r="W23" s="710">
        <f>J23</f>
        <v>100</v>
      </c>
      <c r="X23" s="711"/>
      <c r="Y23" s="3495"/>
      <c r="Z23" s="54"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495"/>
      <c r="Q24" s="1477"/>
      <c r="R24" s="709"/>
      <c r="S24" s="710"/>
      <c r="T24" s="709"/>
      <c r="U24" s="710"/>
      <c r="V24" s="709"/>
      <c r="W24" s="710"/>
      <c r="X24" s="711"/>
      <c r="Y24" s="3495"/>
      <c r="Z24" s="54"/>
      <c r="AA24" s="712">
        <v>1</v>
      </c>
      <c r="AB24" s="712">
        <v>1</v>
      </c>
      <c r="AC24" s="712">
        <v>1</v>
      </c>
    </row>
    <row r="25" spans="1:29" s="112"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495"/>
      <c r="Q25" s="1477" t="str">
        <f t="shared" ref="Q25" si="9">B25</f>
        <v>基础设施水平</v>
      </c>
      <c r="R25" s="709" t="s">
        <v>17</v>
      </c>
      <c r="S25" s="710">
        <f>F25</f>
        <v>100</v>
      </c>
      <c r="T25" s="709" t="s">
        <v>17</v>
      </c>
      <c r="U25" s="710">
        <f>H25</f>
        <v>100</v>
      </c>
      <c r="V25" s="709" t="s">
        <v>17</v>
      </c>
      <c r="W25" s="710">
        <f>J25</f>
        <v>100</v>
      </c>
      <c r="X25" s="711"/>
      <c r="Y25" s="3495"/>
      <c r="Z25" s="54"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495"/>
      <c r="Q26" s="1477"/>
      <c r="R26" s="709"/>
      <c r="S26" s="710"/>
      <c r="T26" s="709"/>
      <c r="U26" s="710"/>
      <c r="V26" s="709"/>
      <c r="W26" s="710"/>
      <c r="X26" s="711"/>
      <c r="Y26" s="3495"/>
      <c r="Z26" s="54"/>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495"/>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95"/>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495"/>
      <c r="Q28" s="1486" t="str">
        <f t="shared" si="8"/>
        <v>毗邻道路的类型与等级</v>
      </c>
      <c r="R28" s="713" t="s">
        <v>17</v>
      </c>
      <c r="S28" s="714">
        <f t="shared" si="10"/>
        <v>100</v>
      </c>
      <c r="T28" s="713" t="s">
        <v>17</v>
      </c>
      <c r="U28" s="714">
        <f t="shared" si="11"/>
        <v>100</v>
      </c>
      <c r="V28" s="713" t="s">
        <v>17</v>
      </c>
      <c r="W28" s="714">
        <f t="shared" si="12"/>
        <v>100</v>
      </c>
      <c r="X28" s="1489"/>
      <c r="Y28" s="3495"/>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495"/>
      <c r="Q29" s="1486"/>
      <c r="R29" s="713"/>
      <c r="S29" s="714"/>
      <c r="T29" s="713"/>
      <c r="U29" s="714"/>
      <c r="V29" s="713"/>
      <c r="W29" s="714"/>
      <c r="X29" s="1489"/>
      <c r="Y29" s="3495"/>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495"/>
      <c r="Q30" s="1486" t="str">
        <f t="shared" si="8"/>
        <v>土地级别</v>
      </c>
      <c r="R30" s="713" t="s">
        <v>17</v>
      </c>
      <c r="S30" s="714">
        <f t="shared" si="10"/>
        <v>100</v>
      </c>
      <c r="T30" s="713" t="s">
        <v>17</v>
      </c>
      <c r="U30" s="714">
        <f t="shared" si="11"/>
        <v>100</v>
      </c>
      <c r="V30" s="713" t="s">
        <v>17</v>
      </c>
      <c r="W30" s="714">
        <f t="shared" si="12"/>
        <v>100</v>
      </c>
      <c r="X30" s="1489"/>
      <c r="Y30" s="3495"/>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495"/>
      <c r="Q31" s="1486">
        <f t="shared" si="8"/>
        <v>111</v>
      </c>
      <c r="R31" s="713" t="s">
        <v>17</v>
      </c>
      <c r="S31" s="714">
        <f t="shared" si="10"/>
        <v>100</v>
      </c>
      <c r="T31" s="713" t="s">
        <v>17</v>
      </c>
      <c r="U31" s="714">
        <f t="shared" si="11"/>
        <v>100</v>
      </c>
      <c r="V31" s="713" t="s">
        <v>17</v>
      </c>
      <c r="W31" s="714">
        <f t="shared" si="12"/>
        <v>100</v>
      </c>
      <c r="X31" s="1489"/>
      <c r="Y31" s="3495"/>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518" t="s">
        <v>2145</v>
      </c>
      <c r="Q32" s="1486">
        <f t="shared" si="8"/>
        <v>111</v>
      </c>
      <c r="R32" s="713" t="s">
        <v>17</v>
      </c>
      <c r="S32" s="714">
        <f t="shared" si="10"/>
        <v>100</v>
      </c>
      <c r="T32" s="713" t="s">
        <v>17</v>
      </c>
      <c r="U32" s="714">
        <f t="shared" si="11"/>
        <v>100</v>
      </c>
      <c r="V32" s="713" t="s">
        <v>17</v>
      </c>
      <c r="W32" s="714">
        <f t="shared" si="12"/>
        <v>100</v>
      </c>
      <c r="X32" s="1489"/>
      <c r="Y32" s="3499"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499"/>
      <c r="Q33" s="1486">
        <f t="shared" si="8"/>
        <v>111</v>
      </c>
      <c r="R33" s="716" t="s">
        <v>17</v>
      </c>
      <c r="S33" s="717">
        <f t="shared" si="10"/>
        <v>100</v>
      </c>
      <c r="T33" s="716" t="s">
        <v>17</v>
      </c>
      <c r="U33" s="717">
        <f t="shared" si="11"/>
        <v>100</v>
      </c>
      <c r="V33" s="716" t="s">
        <v>17</v>
      </c>
      <c r="W33" s="717">
        <f t="shared" si="12"/>
        <v>100</v>
      </c>
      <c r="X33" s="718"/>
      <c r="Y33" s="3499"/>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499"/>
      <c r="Q34" s="1486" t="str">
        <f>B34</f>
        <v>宗地面积</v>
      </c>
      <c r="R34" s="713" t="s">
        <v>17</v>
      </c>
      <c r="S34" s="714" t="e">
        <f t="shared" si="10"/>
        <v>#N/A</v>
      </c>
      <c r="T34" s="713" t="s">
        <v>17</v>
      </c>
      <c r="U34" s="714" t="e">
        <f t="shared" si="11"/>
        <v>#N/A</v>
      </c>
      <c r="V34" s="713" t="s">
        <v>17</v>
      </c>
      <c r="W34" s="714" t="e">
        <f t="shared" si="12"/>
        <v>#N/A</v>
      </c>
      <c r="X34" s="1489"/>
      <c r="Y34" s="3499"/>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499"/>
      <c r="Q35" s="1486" t="str">
        <f t="shared" ref="Q35:Q40" si="14">B35</f>
        <v>宗地形状</v>
      </c>
      <c r="R35" s="713" t="s">
        <v>17</v>
      </c>
      <c r="S35" s="714">
        <f t="shared" si="10"/>
        <v>100</v>
      </c>
      <c r="T35" s="713" t="s">
        <v>17</v>
      </c>
      <c r="U35" s="714">
        <f t="shared" si="11"/>
        <v>100</v>
      </c>
      <c r="V35" s="713" t="s">
        <v>17</v>
      </c>
      <c r="W35" s="714">
        <f t="shared" si="12"/>
        <v>100</v>
      </c>
      <c r="X35" s="1489"/>
      <c r="Y35" s="3499"/>
      <c r="Z35" s="1490" t="str">
        <f t="shared" si="13"/>
        <v>宗地形状</v>
      </c>
      <c r="AA35" s="1487">
        <f t="shared" si="3"/>
        <v>1</v>
      </c>
      <c r="AB35" s="1487">
        <f t="shared" si="4"/>
        <v>1</v>
      </c>
      <c r="AC35" s="1487">
        <f t="shared" si="5"/>
        <v>1</v>
      </c>
    </row>
    <row r="36" spans="1:31" s="112"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499"/>
      <c r="Q36" s="1486" t="str">
        <f t="shared" si="14"/>
        <v>宗地开发程度</v>
      </c>
      <c r="R36" s="709" t="s">
        <v>17</v>
      </c>
      <c r="S36" s="710">
        <f t="shared" si="10"/>
        <v>100</v>
      </c>
      <c r="T36" s="709" t="s">
        <v>17</v>
      </c>
      <c r="U36" s="710">
        <f t="shared" si="11"/>
        <v>100</v>
      </c>
      <c r="V36" s="709" t="s">
        <v>17</v>
      </c>
      <c r="W36" s="710">
        <f t="shared" si="12"/>
        <v>100</v>
      </c>
      <c r="X36" s="711"/>
      <c r="Y36" s="3499"/>
      <c r="Z36" s="54"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499" t="s">
        <v>2145</v>
      </c>
      <c r="Q37" s="1486" t="str">
        <f t="shared" si="14"/>
        <v>工程地质条件</v>
      </c>
      <c r="R37" s="713" t="s">
        <v>17</v>
      </c>
      <c r="S37" s="714">
        <f t="shared" si="10"/>
        <v>100</v>
      </c>
      <c r="T37" s="713" t="s">
        <v>17</v>
      </c>
      <c r="U37" s="714">
        <f t="shared" si="11"/>
        <v>100</v>
      </c>
      <c r="V37" s="713" t="s">
        <v>17</v>
      </c>
      <c r="W37" s="714">
        <f t="shared" si="12"/>
        <v>100</v>
      </c>
      <c r="X37" s="1489"/>
      <c r="Y37" s="3499"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499"/>
      <c r="Q38" s="1486">
        <f t="shared" si="14"/>
        <v>111</v>
      </c>
      <c r="R38" s="713" t="s">
        <v>17</v>
      </c>
      <c r="S38" s="714">
        <f t="shared" si="10"/>
        <v>100</v>
      </c>
      <c r="T38" s="713" t="s">
        <v>17</v>
      </c>
      <c r="U38" s="714">
        <f t="shared" si="11"/>
        <v>100</v>
      </c>
      <c r="V38" s="713" t="s">
        <v>17</v>
      </c>
      <c r="W38" s="714">
        <f t="shared" si="12"/>
        <v>100</v>
      </c>
      <c r="X38" s="1489"/>
      <c r="Y38" s="3499"/>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499"/>
      <c r="Q39" s="1486">
        <f t="shared" si="14"/>
        <v>111</v>
      </c>
      <c r="R39" s="713" t="s">
        <v>17</v>
      </c>
      <c r="S39" s="714">
        <f t="shared" si="10"/>
        <v>100</v>
      </c>
      <c r="T39" s="713" t="s">
        <v>17</v>
      </c>
      <c r="U39" s="714">
        <f t="shared" si="11"/>
        <v>100</v>
      </c>
      <c r="V39" s="713" t="s">
        <v>17</v>
      </c>
      <c r="W39" s="714">
        <f t="shared" si="12"/>
        <v>100</v>
      </c>
      <c r="X39" s="1489"/>
      <c r="Y39" s="3499"/>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499"/>
      <c r="Q40" s="1486">
        <f t="shared" si="14"/>
        <v>111</v>
      </c>
      <c r="R40" s="716" t="s">
        <v>17</v>
      </c>
      <c r="S40" s="717">
        <f t="shared" si="10"/>
        <v>100</v>
      </c>
      <c r="T40" s="716" t="s">
        <v>17</v>
      </c>
      <c r="U40" s="717">
        <f t="shared" si="11"/>
        <v>100</v>
      </c>
      <c r="V40" s="716" t="s">
        <v>17</v>
      </c>
      <c r="W40" s="717">
        <f t="shared" si="12"/>
        <v>100</v>
      </c>
      <c r="X40" s="718"/>
      <c r="Y40" s="3499"/>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492" t="str">
        <f>A41</f>
        <v>成交单价</v>
      </c>
      <c r="Q41" s="3492"/>
      <c r="R41" s="3487">
        <f>E41</f>
        <v>0</v>
      </c>
      <c r="S41" s="3487"/>
      <c r="T41" s="3487">
        <f>G41</f>
        <v>0</v>
      </c>
      <c r="U41" s="3487"/>
      <c r="V41" s="3487">
        <f>I41</f>
        <v>0</v>
      </c>
      <c r="W41" s="3487"/>
      <c r="X41" s="698"/>
      <c r="Y41" s="720"/>
      <c r="Z41" s="698"/>
      <c r="AA41" s="698"/>
      <c r="AB41" s="698"/>
      <c r="AC41" s="698"/>
    </row>
    <row r="42" spans="1:31" ht="15.7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492" t="str">
        <f>A42</f>
        <v>比较价值（元/平方米）</v>
      </c>
      <c r="Q42" s="3492"/>
      <c r="R42" s="3520" t="e">
        <f>ROUND(PRODUCT(R41,AA7:AA40),0)</f>
        <v>#DIV/0!</v>
      </c>
      <c r="S42" s="3520"/>
      <c r="T42" s="3520" t="e">
        <f>ROUND(PRODUCT(T41,AB7:AB40),0)</f>
        <v>#DIV/0!</v>
      </c>
      <c r="U42" s="3520"/>
      <c r="V42" s="3520" t="e">
        <f>ROUND(PRODUCT(V41,AC7:AC40),0)</f>
        <v>#DIV/0!</v>
      </c>
      <c r="W42" s="3520"/>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489" t="str">
        <f>A43</f>
        <v>估价对象XX用房的比较价值（楼面单价，元/平方米）</v>
      </c>
      <c r="Q43" s="3490"/>
      <c r="R43" s="3521" t="e">
        <f>ROUND(IF(D42="简单平均",AVERAGE(R42:W42),R42*F42+T42*H42+V42*J42),0)</f>
        <v>#DIV/0!</v>
      </c>
      <c r="S43" s="3521"/>
      <c r="T43" s="3521"/>
      <c r="U43" s="3521"/>
      <c r="V43" s="3521"/>
      <c r="W43" s="3521"/>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475" t="s">
        <v>2344</v>
      </c>
      <c r="H50" s="3522"/>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8363.3700000000008</v>
      </c>
      <c r="F51" s="646" t="e">
        <f t="shared" ref="F51:F60" si="15">ROUND(B51*E51/10000,0)</f>
        <v>#DIV/0!</v>
      </c>
      <c r="G51" s="3474"/>
      <c r="H51" s="3492"/>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18753.7</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2022-4-1</v>
      </c>
      <c r="D63" s="700">
        <f>EDATE(C63,-3)</f>
        <v>44562</v>
      </c>
      <c r="E63" s="700">
        <f>EDATE(D63,-3)</f>
        <v>44470</v>
      </c>
      <c r="F63" s="700">
        <f t="shared" ref="F63:O63" si="18">EDATE(E63,-3)</f>
        <v>44378</v>
      </c>
      <c r="G63" s="700">
        <f t="shared" si="18"/>
        <v>44287</v>
      </c>
      <c r="H63" s="700">
        <f t="shared" si="18"/>
        <v>44197</v>
      </c>
      <c r="I63" s="700">
        <f t="shared" si="18"/>
        <v>44105</v>
      </c>
      <c r="J63" s="700">
        <f t="shared" si="18"/>
        <v>44013</v>
      </c>
      <c r="K63" s="700">
        <f t="shared" si="18"/>
        <v>43922</v>
      </c>
      <c r="L63" s="700">
        <f t="shared" si="18"/>
        <v>43831</v>
      </c>
      <c r="M63" s="700">
        <f t="shared" si="18"/>
        <v>43739</v>
      </c>
      <c r="N63" s="700">
        <f t="shared" si="18"/>
        <v>43647</v>
      </c>
      <c r="O63" s="700">
        <f t="shared" si="18"/>
        <v>43556</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t="str">
        <f>IF(E2="商业",项目基本情况!B37,IF(E2="办公",项目基本情况!C37,IF(E2="住宅",项目基本情况!D37,项目基本情况!E37)))</f>
        <v>十级</v>
      </c>
      <c r="H2" s="2136" t="s">
        <v>2395</v>
      </c>
      <c r="I2" s="2138" t="str">
        <f>IF(E2="商业",项目基本情况!B38,IF(E2="办公",项目基本情况!C38,IF(E2="住宅",项目基本情况!D38,项目基本情况!E38)))</f>
        <v>Ⅹ-昌2</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4.3155999999999999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0.45</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2.8441999999999998</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46"/>
      <c r="B4" s="3547"/>
      <c r="C4" s="3547"/>
      <c r="D4" s="3548"/>
      <c r="E4" s="3548"/>
      <c r="F4" s="3548"/>
      <c r="G4" s="3548"/>
      <c r="H4" s="3548"/>
      <c r="I4" s="3548"/>
      <c r="J4" s="3549"/>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2.2382</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1.6721999999999999</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1.2576000000000001</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27"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1.0056</v>
      </c>
      <c r="T7" s="1326" t="e">
        <f t="shared" si="0"/>
        <v>#DIV/0!</v>
      </c>
      <c r="U7" s="1327"/>
      <c r="V7" s="1326" t="e">
        <f t="shared" si="1"/>
        <v>#DIV/0!</v>
      </c>
      <c r="W7" s="1492" t="s">
        <v>2414</v>
      </c>
      <c r="X7" s="1328" t="str">
        <f>G2</f>
        <v>十级</v>
      </c>
      <c r="Y7" s="1328" t="s">
        <v>2415</v>
      </c>
      <c r="Z7" s="1329">
        <f>G3</f>
        <v>0.45</v>
      </c>
      <c r="AA7" s="1330"/>
      <c r="AB7" s="1330"/>
      <c r="AC7" s="1331"/>
      <c r="AD7" s="1332"/>
      <c r="AE7" s="1332"/>
      <c r="AF7" s="1332"/>
      <c r="AG7" s="1332"/>
      <c r="AH7" s="1332"/>
      <c r="AI7" s="1332"/>
      <c r="AJ7" s="1333"/>
    </row>
    <row r="8" spans="1:36" ht="15">
      <c r="A8" s="3550"/>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3" t="s">
        <v>2419</v>
      </c>
      <c r="X8" s="3544"/>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50"/>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45"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0"/>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4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50"/>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45" t="s">
        <v>2443</v>
      </c>
      <c r="X11" s="1338" t="s">
        <v>2444</v>
      </c>
      <c r="Y11" s="1339">
        <f>$G$3</f>
        <v>0.45</v>
      </c>
      <c r="Z11" s="1339">
        <f t="shared" ref="Z11:AJ11" si="3">$G$3</f>
        <v>0.45</v>
      </c>
      <c r="AA11" s="1339">
        <f t="shared" si="3"/>
        <v>0.45</v>
      </c>
      <c r="AB11" s="1339">
        <f t="shared" si="3"/>
        <v>0.45</v>
      </c>
      <c r="AC11" s="1339">
        <f t="shared" si="3"/>
        <v>0.45</v>
      </c>
      <c r="AD11" s="1339">
        <f t="shared" si="3"/>
        <v>0.45</v>
      </c>
      <c r="AE11" s="1339">
        <f t="shared" si="3"/>
        <v>0.45</v>
      </c>
      <c r="AF11" s="1339">
        <f t="shared" si="3"/>
        <v>0.45</v>
      </c>
      <c r="AG11" s="1339">
        <f t="shared" si="3"/>
        <v>0.45</v>
      </c>
      <c r="AH11" s="1339">
        <f t="shared" si="3"/>
        <v>0.45</v>
      </c>
      <c r="AI11" s="1339">
        <f t="shared" si="3"/>
        <v>0.45</v>
      </c>
      <c r="AJ11" s="1339">
        <f t="shared" si="3"/>
        <v>0.45</v>
      </c>
    </row>
    <row r="12" spans="1:36" ht="25.5" thickBot="1">
      <c r="A12" s="3527"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45"/>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51"/>
      <c r="B13" s="2178" t="s">
        <v>2450</v>
      </c>
      <c r="C13" s="2179" t="s">
        <v>2451</v>
      </c>
      <c r="D13" s="1484" t="s">
        <v>2452</v>
      </c>
      <c r="E13" s="1484" t="s">
        <v>2453</v>
      </c>
      <c r="F13" s="29"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45"/>
      <c r="X13" s="1340"/>
      <c r="Y13" s="1337">
        <f>(-0.163*(Y12^2)-0.59*Y12+7617)*(10^(-4))/Y11</f>
        <v>1.6926666666666668</v>
      </c>
      <c r="Z13" s="1337">
        <f t="shared" ref="Z13:AJ13" si="5">(-0.163*(Z12^2)-0.59*Z12+7617)*(10^(-4))/Z11</f>
        <v>1.6926666666666668</v>
      </c>
      <c r="AA13" s="1337">
        <f t="shared" si="5"/>
        <v>1.6926666666666668</v>
      </c>
      <c r="AB13" s="1337">
        <f t="shared" si="5"/>
        <v>1.6926666666666668</v>
      </c>
      <c r="AC13" s="1337">
        <f t="shared" si="5"/>
        <v>1.6926666666666668</v>
      </c>
      <c r="AD13" s="1337">
        <f t="shared" si="5"/>
        <v>1.6926666666666668</v>
      </c>
      <c r="AE13" s="1337">
        <f t="shared" si="5"/>
        <v>1.6926666666666668</v>
      </c>
      <c r="AF13" s="1337">
        <f t="shared" si="5"/>
        <v>1.6926666666666668</v>
      </c>
      <c r="AG13" s="1337">
        <f t="shared" si="5"/>
        <v>1.6926666666666668</v>
      </c>
      <c r="AH13" s="1337">
        <f t="shared" si="5"/>
        <v>1.6926666666666668</v>
      </c>
      <c r="AI13" s="1337">
        <f t="shared" si="5"/>
        <v>1.6926666666666668</v>
      </c>
      <c r="AJ13" s="1337">
        <f t="shared" si="5"/>
        <v>1.6926666666666668</v>
      </c>
    </row>
    <row r="14" spans="1:36" ht="15">
      <c r="A14" s="3551"/>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52"/>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27" t="s">
        <v>2462</v>
      </c>
      <c r="B16" s="2159" t="s">
        <v>2463</v>
      </c>
      <c r="C16" s="2321" t="e">
        <f>ROUND(IF(F17="与级别开发程度一致",0,(G17-E17)/C17),0)</f>
        <v>#DIV/0!</v>
      </c>
      <c r="D16" s="3540" t="s">
        <v>2467</v>
      </c>
      <c r="E16" s="3541"/>
      <c r="F16" s="3540" t="s">
        <v>2464</v>
      </c>
      <c r="G16" s="3541"/>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28"/>
      <c r="B17" s="2332" t="s">
        <v>2466</v>
      </c>
      <c r="C17" s="2333">
        <f>SUMPRODUCT((修正!A2:A7=E2)*(修正!B1:M1=G2)*(修正!B2:M7))</f>
        <v>0</v>
      </c>
      <c r="D17" s="192" t="str">
        <f>IF(OR(G2="八级",G2="九级",G2="十级",G2="十一级",G2="十二级"),"五通一平","七通一平")</f>
        <v>五通一平</v>
      </c>
      <c r="E17" s="2322">
        <f>SUMPRODUCT((修正!B1:M1=G2)*(修正!B17:M17))</f>
        <v>185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44677</v>
      </c>
      <c r="H19" s="2202"/>
      <c r="I19" s="847" t="str">
        <f>IF(H19="季度增幅（自定义）",SUMIF(N21:N24,E2,O21:O24),"")</f>
        <v/>
      </c>
      <c r="J19" s="2199"/>
      <c r="K19" s="1239"/>
      <c r="L19" s="2203" t="s">
        <v>2473</v>
      </c>
      <c r="M19" s="1448">
        <f>ROUND(SUMIF(地价!B2:F2,E2,地价!B37:F37),0)</f>
        <v>0</v>
      </c>
      <c r="N19" s="2204" t="s">
        <v>2474</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存贷款利率!E20/100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1</v>
      </c>
      <c r="E22" s="836">
        <f>ROUNDDOWN(G3,1)</f>
        <v>0.4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0.5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37"/>
      <c r="B33" s="2262" t="s">
        <v>2509</v>
      </c>
      <c r="C33" s="179" t="e">
        <f>ROUND(D5*C19*C20*C24*F33,0)</f>
        <v>#DIV/0!</v>
      </c>
      <c r="D33" s="2246"/>
      <c r="E33" s="175" t="e">
        <f>ROUND(C33*D33/10000,0)</f>
        <v>#DIV/0!</v>
      </c>
      <c r="F33" s="175">
        <f>SUMIF(修正!A57:A68,G2,修正!B57:B68)</f>
        <v>0.5</v>
      </c>
      <c r="G33" s="175" t="e">
        <f t="shared" ref="G33" si="6">ROUND(IF(E2="工业",C33*$M$39,C33*$M$38),0)</f>
        <v>#DIV/0!</v>
      </c>
      <c r="H33" s="175">
        <f>D33</f>
        <v>0</v>
      </c>
      <c r="I33" s="175" t="e">
        <f>ROUND(G33*H33/10000,0)</f>
        <v>#DIV/0!</v>
      </c>
      <c r="J33" s="3542"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38"/>
      <c r="B34" s="2179" t="s">
        <v>2510</v>
      </c>
      <c r="C34" s="179" t="e">
        <f>ROUND(D5*C19*C20*C24*F34,0)</f>
        <v>#DIV/0!</v>
      </c>
      <c r="D34" s="2246"/>
      <c r="E34" s="175" t="e">
        <f t="shared" ref="E34:E39" si="7">ROUND(C34*D34/10000,0)</f>
        <v>#DIV/0!</v>
      </c>
      <c r="F34" s="175">
        <f>SUMIF(修正!A57:A68,G2,修正!C57:C68)</f>
        <v>0.2</v>
      </c>
      <c r="G34" s="175" t="e">
        <f>ROUND(IF(E2="工业",C34*$M$39,C34*$M$38),0)</f>
        <v>#DIV/0!</v>
      </c>
      <c r="H34" s="175">
        <f t="shared" ref="H34:H39" si="8">D34</f>
        <v>0</v>
      </c>
      <c r="I34" s="175" t="e">
        <f t="shared" ref="I34:I39" si="9">ROUND(G34*H34/10000,0)</f>
        <v>#DIV/0!</v>
      </c>
      <c r="J34" s="353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38"/>
      <c r="B35" s="2179" t="s">
        <v>2511</v>
      </c>
      <c r="C35" s="179" t="e">
        <f>ROUND(D5*C19*C20*C24*F35,0)</f>
        <v>#DIV/0!</v>
      </c>
      <c r="D35" s="2246"/>
      <c r="E35" s="175" t="e">
        <f t="shared" si="7"/>
        <v>#DIV/0!</v>
      </c>
      <c r="F35" s="175">
        <f>SUMIF(修正!A57:A68,G2,修正!D57:D68)</f>
        <v>0.2</v>
      </c>
      <c r="G35" s="175" t="e">
        <f>ROUND(IF(E2="工业",C35*$M$39,C35*$M$38),0)</f>
        <v>#DIV/0!</v>
      </c>
      <c r="H35" s="175">
        <f t="shared" si="8"/>
        <v>0</v>
      </c>
      <c r="I35" s="175" t="e">
        <f t="shared" si="9"/>
        <v>#DIV/0!</v>
      </c>
      <c r="J35" s="353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39"/>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539"/>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0.2</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0.2</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0.1</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29" t="s">
        <v>2550</v>
      </c>
      <c r="B90" s="3529"/>
      <c r="C90" s="3529"/>
      <c r="D90" s="3529"/>
      <c r="E90" s="3529"/>
      <c r="F90" s="3529"/>
      <c r="G90" s="3529"/>
      <c r="H90" s="3529"/>
      <c r="I90" s="3529"/>
      <c r="J90" s="3529"/>
      <c r="K90" s="2293"/>
      <c r="L90" s="2293"/>
      <c r="M90" s="2293"/>
      <c r="N90" s="2293"/>
    </row>
    <row r="91" spans="1:37">
      <c r="A91" s="3531" t="s">
        <v>2551</v>
      </c>
      <c r="B91" s="3531" t="s">
        <v>2552</v>
      </c>
      <c r="C91" s="2247" t="s">
        <v>2553</v>
      </c>
      <c r="D91" s="2248"/>
      <c r="E91" s="2248"/>
      <c r="F91" s="2248"/>
      <c r="G91" s="2248"/>
      <c r="H91" s="2248"/>
      <c r="I91" s="2248"/>
      <c r="J91" s="2294"/>
      <c r="K91" s="2295"/>
      <c r="L91" s="2295"/>
      <c r="M91" s="2295"/>
      <c r="N91" s="2295"/>
    </row>
    <row r="92" spans="1:37">
      <c r="A92" s="3531"/>
      <c r="B92" s="3531"/>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32"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3"/>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3"/>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3"/>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3"/>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3"/>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33"/>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4"/>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32" t="s">
        <v>2555</v>
      </c>
      <c r="B101" s="2300" t="s">
        <v>2556</v>
      </c>
      <c r="C101" s="2301">
        <f>$G$3</f>
        <v>0.45</v>
      </c>
      <c r="D101" s="2301">
        <f t="shared" ref="D101:N101" si="31">$G$3</f>
        <v>0.45</v>
      </c>
      <c r="E101" s="2301">
        <f t="shared" si="31"/>
        <v>0.45</v>
      </c>
      <c r="F101" s="2301">
        <f t="shared" si="31"/>
        <v>0.45</v>
      </c>
      <c r="G101" s="2301">
        <f t="shared" si="31"/>
        <v>0.45</v>
      </c>
      <c r="H101" s="2301">
        <f t="shared" si="31"/>
        <v>0.45</v>
      </c>
      <c r="I101" s="2301">
        <f t="shared" si="31"/>
        <v>0.45</v>
      </c>
      <c r="J101" s="2301">
        <f t="shared" si="31"/>
        <v>0.45</v>
      </c>
      <c r="K101" s="2301">
        <f t="shared" si="31"/>
        <v>0.45</v>
      </c>
      <c r="L101" s="2301">
        <f t="shared" si="31"/>
        <v>0.45</v>
      </c>
      <c r="M101" s="2301">
        <f t="shared" si="31"/>
        <v>0.45</v>
      </c>
      <c r="N101" s="2301">
        <f t="shared" si="31"/>
        <v>0.45</v>
      </c>
    </row>
    <row r="102" spans="1:14">
      <c r="A102" s="3533"/>
      <c r="B102" s="2296">
        <v>1</v>
      </c>
      <c r="C102" s="2297">
        <f>1.9362/C101</f>
        <v>4.3026666666666662</v>
      </c>
      <c r="D102" s="2297">
        <f>1.9362/D101</f>
        <v>4.3026666666666662</v>
      </c>
      <c r="E102" s="2297">
        <f>1.8629/E101</f>
        <v>4.1397777777777778</v>
      </c>
      <c r="F102" s="2297">
        <f>1.8629/F101</f>
        <v>4.1397777777777778</v>
      </c>
      <c r="G102" s="2297">
        <f>1.8629/G101</f>
        <v>4.1397777777777778</v>
      </c>
      <c r="H102" s="2297">
        <f>1.8629/H101</f>
        <v>4.1397777777777778</v>
      </c>
      <c r="I102" s="2297">
        <f>1.8629/I101</f>
        <v>4.1397777777777778</v>
      </c>
      <c r="J102" s="2297">
        <f>1.942/J101</f>
        <v>4.3155555555555551</v>
      </c>
      <c r="K102" s="2297">
        <f>1.942/K101</f>
        <v>4.3155555555555551</v>
      </c>
      <c r="L102" s="2297">
        <f>1.942/L101</f>
        <v>4.3155555555555551</v>
      </c>
      <c r="M102" s="2297">
        <f>1.942/M101</f>
        <v>4.3155555555555551</v>
      </c>
      <c r="N102" s="2297">
        <f>1.942/N101</f>
        <v>4.3155555555555551</v>
      </c>
    </row>
    <row r="103" spans="1:14">
      <c r="A103" s="3533"/>
      <c r="B103" s="2296">
        <v>2</v>
      </c>
      <c r="C103" s="2297">
        <f>1.4198/C101</f>
        <v>3.1551111111111108</v>
      </c>
      <c r="D103" s="2297">
        <f>1.4198/D101</f>
        <v>3.1551111111111108</v>
      </c>
      <c r="E103" s="2297">
        <f>1.3372/E101</f>
        <v>2.9715555555555553</v>
      </c>
      <c r="F103" s="2297">
        <f>1.3372/F101</f>
        <v>2.9715555555555553</v>
      </c>
      <c r="G103" s="2297">
        <f>1.3372/G101</f>
        <v>2.9715555555555553</v>
      </c>
      <c r="H103" s="2297">
        <f>1.3372/H101</f>
        <v>2.9715555555555553</v>
      </c>
      <c r="I103" s="2297">
        <f>1.3372/I101</f>
        <v>2.9715555555555553</v>
      </c>
      <c r="J103" s="2297">
        <f>1.2799/J101</f>
        <v>2.8442222222222222</v>
      </c>
      <c r="K103" s="2297">
        <f>1.2799/K101</f>
        <v>2.8442222222222222</v>
      </c>
      <c r="L103" s="2297">
        <f>1.2799/L101</f>
        <v>2.8442222222222222</v>
      </c>
      <c r="M103" s="2297">
        <f>1.2799/M101</f>
        <v>2.8442222222222222</v>
      </c>
      <c r="N103" s="2297">
        <f>1.2799/N101</f>
        <v>2.8442222222222222</v>
      </c>
    </row>
    <row r="104" spans="1:14">
      <c r="A104" s="3533"/>
      <c r="B104" s="2296">
        <v>3</v>
      </c>
      <c r="C104" s="2297">
        <f>1.1594/C101</f>
        <v>2.5764444444444443</v>
      </c>
      <c r="D104" s="2297">
        <f>1.1594/D101</f>
        <v>2.5764444444444443</v>
      </c>
      <c r="E104" s="2297">
        <f>1.0788/E101</f>
        <v>2.3973333333333331</v>
      </c>
      <c r="F104" s="2297">
        <f>1.0788/F101</f>
        <v>2.3973333333333331</v>
      </c>
      <c r="G104" s="2297">
        <f>1.0788/G101</f>
        <v>2.3973333333333331</v>
      </c>
      <c r="H104" s="2297">
        <f>1.0788/H101</f>
        <v>2.3973333333333331</v>
      </c>
      <c r="I104" s="2297">
        <f>1.0788/I101</f>
        <v>2.3973333333333331</v>
      </c>
      <c r="J104" s="2297">
        <f>1.0072/J101</f>
        <v>2.2382222222222223</v>
      </c>
      <c r="K104" s="2297">
        <f>1.0072/K101</f>
        <v>2.2382222222222223</v>
      </c>
      <c r="L104" s="2297">
        <f>1.0072/L101</f>
        <v>2.2382222222222223</v>
      </c>
      <c r="M104" s="2297">
        <f>1.0072/M101</f>
        <v>2.2382222222222223</v>
      </c>
      <c r="N104" s="2297">
        <f>1.0072/N101</f>
        <v>2.2382222222222223</v>
      </c>
    </row>
    <row r="105" spans="1:14">
      <c r="A105" s="3533"/>
      <c r="B105" s="2296">
        <v>4</v>
      </c>
      <c r="C105" s="2297">
        <f>0.9622/C101</f>
        <v>2.1382222222222222</v>
      </c>
      <c r="D105" s="2297">
        <f>0.9622/D101</f>
        <v>2.1382222222222222</v>
      </c>
      <c r="E105" s="2297">
        <f>0.8656/E101</f>
        <v>1.9235555555555557</v>
      </c>
      <c r="F105" s="2297">
        <f>0.8656/F101</f>
        <v>1.9235555555555557</v>
      </c>
      <c r="G105" s="2297">
        <f>0.8656/G101</f>
        <v>1.9235555555555557</v>
      </c>
      <c r="H105" s="2297">
        <f>0.8656/H101</f>
        <v>1.9235555555555557</v>
      </c>
      <c r="I105" s="2297">
        <f>0.8656/I101</f>
        <v>1.9235555555555557</v>
      </c>
      <c r="J105" s="2297">
        <f>0.7525/J101</f>
        <v>1.6722222222222221</v>
      </c>
      <c r="K105" s="2297">
        <f>0.7525/K101</f>
        <v>1.6722222222222221</v>
      </c>
      <c r="L105" s="2297">
        <f>0.7525/L101</f>
        <v>1.6722222222222221</v>
      </c>
      <c r="M105" s="2297">
        <f>0.7525/M101</f>
        <v>1.6722222222222221</v>
      </c>
      <c r="N105" s="2297">
        <f>0.7525/N101</f>
        <v>1.6722222222222221</v>
      </c>
    </row>
    <row r="106" spans="1:14">
      <c r="A106" s="3533"/>
      <c r="B106" s="2296">
        <v>5</v>
      </c>
      <c r="C106" s="2297">
        <f>0.8417/C101</f>
        <v>1.8704444444444444</v>
      </c>
      <c r="D106" s="2297">
        <f>0.8417/D101</f>
        <v>1.8704444444444444</v>
      </c>
      <c r="E106" s="2297">
        <f>0.7371/E101</f>
        <v>1.6379999999999999</v>
      </c>
      <c r="F106" s="2297">
        <f>0.7371/F101</f>
        <v>1.6379999999999999</v>
      </c>
      <c r="G106" s="2297">
        <f>0.7371/G101</f>
        <v>1.6379999999999999</v>
      </c>
      <c r="H106" s="2297">
        <f>0.7371/H101</f>
        <v>1.6379999999999999</v>
      </c>
      <c r="I106" s="2297">
        <f>0.7371/I101</f>
        <v>1.6379999999999999</v>
      </c>
      <c r="J106" s="2297">
        <f>0.5659/J101</f>
        <v>1.2575555555555555</v>
      </c>
      <c r="K106" s="2297">
        <f>0.5659/K101</f>
        <v>1.2575555555555555</v>
      </c>
      <c r="L106" s="2297">
        <f>0.5659/L101</f>
        <v>1.2575555555555555</v>
      </c>
      <c r="M106" s="2297">
        <f>0.5659/M101</f>
        <v>1.2575555555555555</v>
      </c>
      <c r="N106" s="2297">
        <f>0.5659/N101</f>
        <v>1.2575555555555555</v>
      </c>
    </row>
    <row r="107" spans="1:14">
      <c r="A107" s="3533"/>
      <c r="B107" s="2296">
        <v>6</v>
      </c>
      <c r="C107" s="2297">
        <f>0.7608/C101</f>
        <v>1.6906666666666668</v>
      </c>
      <c r="D107" s="2297">
        <f>0.7608/D101</f>
        <v>1.6906666666666668</v>
      </c>
      <c r="E107" s="2297">
        <f>0.6482/E101</f>
        <v>1.4404444444444444</v>
      </c>
      <c r="F107" s="2297">
        <f>0.6482/F101</f>
        <v>1.4404444444444444</v>
      </c>
      <c r="G107" s="2297">
        <f>0.6482/G101</f>
        <v>1.4404444444444444</v>
      </c>
      <c r="H107" s="2297">
        <f>0.6482/H101</f>
        <v>1.4404444444444444</v>
      </c>
      <c r="I107" s="2297">
        <f>0.6482/I101</f>
        <v>1.4404444444444444</v>
      </c>
      <c r="J107" s="2297">
        <f>0.4525/J101</f>
        <v>1.0055555555555555</v>
      </c>
      <c r="K107" s="2297">
        <f>0.4525/K101</f>
        <v>1.0055555555555555</v>
      </c>
      <c r="L107" s="2297">
        <f>0.4525/L101</f>
        <v>1.0055555555555555</v>
      </c>
      <c r="M107" s="2297">
        <f>0.4525/M101</f>
        <v>1.0055555555555555</v>
      </c>
      <c r="N107" s="2297">
        <f>0.4525/N101</f>
        <v>1.0055555555555555</v>
      </c>
    </row>
    <row r="108" spans="1:14">
      <c r="A108" s="3533"/>
      <c r="B108" s="3535"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4"/>
      <c r="B109" s="3536"/>
      <c r="C109" s="2299">
        <f>(-0.163*(C108^2)-0.59*C108+7617)*(10^(-4))/C101</f>
        <v>1.6926666666666668</v>
      </c>
      <c r="D109" s="2299">
        <f>(-0.163*(D108^2)-0.59*D108+7617)*(10^(-4))/D101</f>
        <v>1.6926666666666668</v>
      </c>
      <c r="E109" s="2299">
        <f>(-0.161*(E108^2)-7.509*E108+6533)*(10^(-4))/E101</f>
        <v>1.4517777777777778</v>
      </c>
      <c r="F109" s="2299">
        <f>(-0.161*(F108^2)-7.509*F108+6533)*(10^(-4))/F101</f>
        <v>1.4517777777777778</v>
      </c>
      <c r="G109" s="2299">
        <f>(-0.161*(G108^2)-7.509*G108+6533)*(10^(-4))/G101</f>
        <v>1.4517777777777778</v>
      </c>
      <c r="H109" s="2299">
        <f>(-0.161*(H108^2)-7.509*H108+6533)*(10^(-4))/H101</f>
        <v>1.4517777777777778</v>
      </c>
      <c r="I109" s="2299">
        <f>(-0.161*(I108^2)-7.509*I108+6533)*(10^(-4))/I101</f>
        <v>1.4517777777777778</v>
      </c>
      <c r="J109" s="2299">
        <f>(-0.214*(J108^2)-21.991*J108+4665)*(10^(-4))/J101</f>
        <v>1.0366666666666666</v>
      </c>
      <c r="K109" s="2299">
        <f>(-0.214*(K108^2)-21.991*K108+4665)*(10^(-4))/K101</f>
        <v>1.0366666666666666</v>
      </c>
      <c r="L109" s="2299">
        <f>(-0.214*(L108^2)-21.991*L108+4665)*(10^(-4))/L101</f>
        <v>1.0366666666666666</v>
      </c>
      <c r="M109" s="2299">
        <f>(-0.214*(M108^2)-21.991*M108+4665)*(10^(-4))/M101</f>
        <v>1.0366666666666666</v>
      </c>
      <c r="N109" s="2299">
        <f>(-0.214*(N108^2)-21.991*N108+4665)*(10^(-4))/N101</f>
        <v>1.0366666666666666</v>
      </c>
    </row>
    <row r="110" spans="1:14">
      <c r="A110" s="3530" t="s">
        <v>2558</v>
      </c>
      <c r="B110" s="3530"/>
      <c r="C110" s="3530"/>
      <c r="D110" s="3530"/>
      <c r="E110" s="3530"/>
      <c r="F110" s="3530"/>
      <c r="G110" s="3530"/>
      <c r="H110" s="3530"/>
      <c r="I110" s="3530"/>
      <c r="J110" s="3530"/>
      <c r="K110" s="2302"/>
      <c r="L110" s="2302"/>
      <c r="M110" s="2302"/>
      <c r="N110" s="2302"/>
    </row>
    <row r="112" spans="1:14" ht="13.5" thickBot="1"/>
    <row r="113" spans="1:13" ht="25.5" thickBot="1">
      <c r="A113" s="823" t="s">
        <v>2559</v>
      </c>
      <c r="B113" s="1177">
        <f>G3</f>
        <v>0.45</v>
      </c>
      <c r="C113" s="824" t="s">
        <v>2560</v>
      </c>
      <c r="D113" s="825">
        <f>SUMPRODUCT((A115:A118=F113)*(B114:M114=H113)*B115:M118)</f>
        <v>0</v>
      </c>
      <c r="E113" s="2138" t="s">
        <v>2393</v>
      </c>
      <c r="F113" s="2304">
        <f>E2</f>
        <v>0</v>
      </c>
      <c r="G113" s="2138" t="s">
        <v>2394</v>
      </c>
      <c r="H113" s="2304" t="str">
        <f>G2</f>
        <v>十级</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0.92930000000000001</v>
      </c>
      <c r="C115" s="830">
        <f>B115</f>
        <v>0.92930000000000001</v>
      </c>
      <c r="D115" s="830">
        <f>ROUND(0.8331-0.0109*B113,4)</f>
        <v>0.82820000000000005</v>
      </c>
      <c r="E115" s="830">
        <f>D115</f>
        <v>0.82820000000000005</v>
      </c>
      <c r="F115" s="830">
        <f>E115</f>
        <v>0.82820000000000005</v>
      </c>
      <c r="G115" s="830">
        <f>F115</f>
        <v>0.82820000000000005</v>
      </c>
      <c r="H115" s="830">
        <f>G115</f>
        <v>0.82820000000000005</v>
      </c>
      <c r="I115" s="830">
        <f>ROUND(0.689-0.0155*B113,4)</f>
        <v>0.68200000000000005</v>
      </c>
      <c r="J115" s="830">
        <f t="shared" ref="J115:M118" si="33">I115</f>
        <v>0.68200000000000005</v>
      </c>
      <c r="K115" s="830">
        <f t="shared" si="33"/>
        <v>0.68200000000000005</v>
      </c>
      <c r="L115" s="830">
        <f t="shared" si="33"/>
        <v>0.68200000000000005</v>
      </c>
      <c r="M115" s="831">
        <f t="shared" si="33"/>
        <v>0.68200000000000005</v>
      </c>
    </row>
    <row r="116" spans="1:13">
      <c r="A116" s="829" t="s">
        <v>2459</v>
      </c>
      <c r="B116" s="830">
        <f>ROUND(0.949-0.012*B113,4)</f>
        <v>0.94359999999999999</v>
      </c>
      <c r="C116" s="830">
        <f>B116</f>
        <v>0.94359999999999999</v>
      </c>
      <c r="D116" s="830">
        <f>ROUND(0.8567-0.013*B113,4)</f>
        <v>0.85089999999999999</v>
      </c>
      <c r="E116" s="830">
        <f t="shared" ref="E116:H117" si="34">D116</f>
        <v>0.85089999999999999</v>
      </c>
      <c r="F116" s="830">
        <f t="shared" si="34"/>
        <v>0.85089999999999999</v>
      </c>
      <c r="G116" s="830">
        <f t="shared" si="34"/>
        <v>0.85089999999999999</v>
      </c>
      <c r="H116" s="830">
        <f t="shared" si="34"/>
        <v>0.85089999999999999</v>
      </c>
      <c r="I116" s="830">
        <f>ROUND(0.7694-0.014*B113,4)</f>
        <v>0.7631</v>
      </c>
      <c r="J116" s="830">
        <f t="shared" si="33"/>
        <v>0.7631</v>
      </c>
      <c r="K116" s="830">
        <f t="shared" si="33"/>
        <v>0.7631</v>
      </c>
      <c r="L116" s="830">
        <f t="shared" si="33"/>
        <v>0.7631</v>
      </c>
      <c r="M116" s="831">
        <f t="shared" si="33"/>
        <v>0.7631</v>
      </c>
    </row>
    <row r="117" spans="1:13">
      <c r="A117" s="829" t="s">
        <v>2460</v>
      </c>
      <c r="B117" s="830">
        <f>ROUND(0.8808-0.006*B113,4)</f>
        <v>0.87809999999999999</v>
      </c>
      <c r="C117" s="830">
        <f>B117</f>
        <v>0.87809999999999999</v>
      </c>
      <c r="D117" s="830">
        <f>ROUND(0.8748-0.008*B113,4)</f>
        <v>0.87119999999999997</v>
      </c>
      <c r="E117" s="830">
        <f t="shared" si="34"/>
        <v>0.87119999999999997</v>
      </c>
      <c r="F117" s="830">
        <f t="shared" si="34"/>
        <v>0.87119999999999997</v>
      </c>
      <c r="G117" s="830">
        <f t="shared" si="34"/>
        <v>0.87119999999999997</v>
      </c>
      <c r="H117" s="830">
        <f t="shared" si="34"/>
        <v>0.87119999999999997</v>
      </c>
      <c r="I117" s="830">
        <f>ROUND(0.7412-0.0095*B113,4)</f>
        <v>0.7369</v>
      </c>
      <c r="J117" s="830">
        <f t="shared" si="33"/>
        <v>0.7369</v>
      </c>
      <c r="K117" s="830">
        <f t="shared" si="33"/>
        <v>0.7369</v>
      </c>
      <c r="L117" s="830">
        <f t="shared" si="33"/>
        <v>0.7369</v>
      </c>
      <c r="M117" s="831">
        <f t="shared" si="33"/>
        <v>0.7369</v>
      </c>
    </row>
    <row r="118" spans="1:13" ht="13.5" thickBot="1">
      <c r="A118" s="669" t="s">
        <v>2461</v>
      </c>
      <c r="B118" s="832">
        <f>ROUND(0.7275-0.01*B113,4)</f>
        <v>0.72299999999999998</v>
      </c>
      <c r="C118" s="832">
        <f>B118</f>
        <v>0.72299999999999998</v>
      </c>
      <c r="D118" s="832">
        <f>ROUND(0.7043-0.012*B113,4)</f>
        <v>0.69889999999999997</v>
      </c>
      <c r="E118" s="832">
        <f>D118</f>
        <v>0.69889999999999997</v>
      </c>
      <c r="F118" s="832">
        <f>E118</f>
        <v>0.69889999999999997</v>
      </c>
      <c r="G118" s="832">
        <f>ROUND(0.6299-0.0122*B113,4)</f>
        <v>0.62439999999999996</v>
      </c>
      <c r="H118" s="832">
        <f>G118</f>
        <v>0.62439999999999996</v>
      </c>
      <c r="I118" s="832">
        <f>ROUND(0.5667-0.0136*B113,4)</f>
        <v>0.56059999999999999</v>
      </c>
      <c r="J118" s="832">
        <f t="shared" si="33"/>
        <v>0.56059999999999999</v>
      </c>
      <c r="K118" s="832">
        <f t="shared" si="33"/>
        <v>0.56059999999999999</v>
      </c>
      <c r="L118" s="832">
        <f t="shared" si="33"/>
        <v>0.56059999999999999</v>
      </c>
      <c r="M118" s="833">
        <f t="shared" si="33"/>
        <v>0.56059999999999999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2951</v>
      </c>
      <c r="B19" s="3209" t="s">
        <v>2952</v>
      </c>
      <c r="C19" s="3210" t="s">
        <v>2953</v>
      </c>
      <c r="D19" s="3211"/>
      <c r="E19" s="3205" t="s">
        <v>2954</v>
      </c>
      <c r="F19" s="802"/>
      <c r="G19" s="802"/>
    </row>
    <row r="20" spans="1:13" s="807" customFormat="1" ht="19.5" customHeight="1">
      <c r="A20" s="3560" t="s">
        <v>2955</v>
      </c>
      <c r="B20" s="3553" t="s">
        <v>2956</v>
      </c>
      <c r="C20" s="3212" t="s">
        <v>2957</v>
      </c>
      <c r="D20" s="3213"/>
      <c r="E20" s="3214">
        <v>1</v>
      </c>
      <c r="F20" s="3215" t="s">
        <v>2958</v>
      </c>
      <c r="G20" s="806"/>
      <c r="H20" s="800"/>
      <c r="I20" s="800"/>
    </row>
    <row r="21" spans="1:13" s="807" customFormat="1" ht="19.5" customHeight="1">
      <c r="A21" s="3561"/>
      <c r="B21" s="3554"/>
      <c r="C21" s="804" t="s">
        <v>2959</v>
      </c>
      <c r="D21" s="805"/>
      <c r="E21" s="3216">
        <v>1</v>
      </c>
      <c r="F21" s="3215" t="s">
        <v>2960</v>
      </c>
      <c r="G21" s="806"/>
      <c r="H21" s="800"/>
      <c r="I21" s="800"/>
    </row>
    <row r="22" spans="1:13" s="807" customFormat="1" ht="19.5" customHeight="1">
      <c r="A22" s="3561"/>
      <c r="B22" s="3554"/>
      <c r="C22" s="804" t="s">
        <v>2961</v>
      </c>
      <c r="D22" s="805"/>
      <c r="E22" s="3216">
        <v>0.9</v>
      </c>
      <c r="F22" s="3215" t="s">
        <v>2962</v>
      </c>
      <c r="G22" s="806"/>
      <c r="H22" s="800"/>
      <c r="I22" s="800"/>
    </row>
    <row r="23" spans="1:13" s="807" customFormat="1" ht="19.5" customHeight="1">
      <c r="A23" s="3561"/>
      <c r="B23" s="3554"/>
      <c r="C23" s="804" t="s">
        <v>2963</v>
      </c>
      <c r="D23" s="805"/>
      <c r="E23" s="3216">
        <v>0.9</v>
      </c>
      <c r="F23" s="3215" t="s">
        <v>2964</v>
      </c>
      <c r="G23" s="806"/>
      <c r="H23" s="800"/>
      <c r="I23" s="800"/>
    </row>
    <row r="24" spans="1:13" s="807" customFormat="1" ht="19.5" customHeight="1">
      <c r="A24" s="3561"/>
      <c r="B24" s="3554"/>
      <c r="C24" s="804" t="s">
        <v>2965</v>
      </c>
      <c r="D24" s="805"/>
      <c r="E24" s="3216">
        <v>0.8</v>
      </c>
      <c r="F24" s="3215" t="s">
        <v>2966</v>
      </c>
      <c r="G24" s="806"/>
      <c r="H24" s="800"/>
      <c r="I24" s="800"/>
    </row>
    <row r="25" spans="1:13" s="807" customFormat="1" ht="19.5" customHeight="1" thickBot="1">
      <c r="A25" s="3562"/>
      <c r="B25" s="3555"/>
      <c r="C25" s="3217" t="s">
        <v>2967</v>
      </c>
      <c r="D25" s="3218"/>
      <c r="E25" s="3219">
        <v>0.8</v>
      </c>
      <c r="F25" s="3215" t="s">
        <v>2968</v>
      </c>
      <c r="G25" s="806"/>
      <c r="H25" s="800"/>
      <c r="I25" s="800"/>
    </row>
    <row r="26" spans="1:13" s="807" customFormat="1" ht="19.5" customHeight="1" thickBot="1">
      <c r="A26" s="3220" t="s">
        <v>2969</v>
      </c>
      <c r="B26" s="3221" t="s">
        <v>2956</v>
      </c>
      <c r="C26" s="3222" t="s">
        <v>2970</v>
      </c>
      <c r="D26" s="3223"/>
      <c r="E26" s="3224">
        <v>1</v>
      </c>
      <c r="F26" s="3215" t="s">
        <v>2971</v>
      </c>
      <c r="G26" s="806"/>
      <c r="H26" s="800"/>
      <c r="I26" s="800"/>
    </row>
    <row r="27" spans="1:13" s="807" customFormat="1" ht="19.5" customHeight="1">
      <c r="A27" s="3556" t="s">
        <v>2972</v>
      </c>
      <c r="B27" s="3553" t="s">
        <v>2972</v>
      </c>
      <c r="C27" s="3212" t="s">
        <v>2973</v>
      </c>
      <c r="D27" s="3213"/>
      <c r="E27" s="3214">
        <v>1</v>
      </c>
      <c r="F27" s="3215" t="s">
        <v>2974</v>
      </c>
      <c r="G27" s="806"/>
      <c r="H27" s="800"/>
      <c r="I27" s="800"/>
    </row>
    <row r="28" spans="1:13" s="807" customFormat="1" ht="19.5" customHeight="1">
      <c r="A28" s="3557"/>
      <c r="B28" s="3554"/>
      <c r="C28" s="804" t="s">
        <v>2975</v>
      </c>
      <c r="D28" s="805"/>
      <c r="E28" s="3216">
        <v>1</v>
      </c>
      <c r="F28" s="3215" t="s">
        <v>2976</v>
      </c>
      <c r="G28" s="806"/>
      <c r="H28" s="800"/>
      <c r="I28" s="800"/>
    </row>
    <row r="29" spans="1:13" s="807" customFormat="1" ht="19.5" customHeight="1">
      <c r="A29" s="3557"/>
      <c r="B29" s="3554"/>
      <c r="C29" s="804" t="s">
        <v>2977</v>
      </c>
      <c r="D29" s="805"/>
      <c r="E29" s="3216">
        <v>0.8</v>
      </c>
      <c r="F29" s="3215" t="s">
        <v>2978</v>
      </c>
      <c r="G29" s="806"/>
      <c r="H29" s="800"/>
      <c r="I29" s="800"/>
    </row>
    <row r="30" spans="1:13" s="807" customFormat="1" ht="19.5" customHeight="1">
      <c r="A30" s="3557"/>
      <c r="B30" s="3554"/>
      <c r="C30" s="804" t="s">
        <v>2979</v>
      </c>
      <c r="D30" s="805"/>
      <c r="E30" s="3216">
        <v>0.8</v>
      </c>
      <c r="F30" s="3215" t="s">
        <v>2980</v>
      </c>
      <c r="G30" s="806"/>
      <c r="H30" s="800"/>
      <c r="I30" s="800"/>
    </row>
    <row r="31" spans="1:13" s="807" customFormat="1" ht="19.5" customHeight="1">
      <c r="A31" s="3557"/>
      <c r="B31" s="3554"/>
      <c r="C31" s="804" t="s">
        <v>2981</v>
      </c>
      <c r="D31" s="805"/>
      <c r="E31" s="3216">
        <v>0.8</v>
      </c>
      <c r="F31" s="3215" t="s">
        <v>2982</v>
      </c>
      <c r="G31" s="806"/>
      <c r="H31" s="800"/>
      <c r="I31" s="800"/>
    </row>
    <row r="32" spans="1:13" s="807" customFormat="1" ht="19.5" customHeight="1">
      <c r="A32" s="3557"/>
      <c r="B32" s="3554"/>
      <c r="C32" s="804" t="s">
        <v>2983</v>
      </c>
      <c r="D32" s="805"/>
      <c r="E32" s="3216">
        <v>0.7</v>
      </c>
      <c r="F32" s="3215" t="s">
        <v>2984</v>
      </c>
      <c r="G32" s="806"/>
      <c r="H32" s="800"/>
      <c r="I32" s="800"/>
    </row>
    <row r="33" spans="1:9" s="807" customFormat="1" ht="19.5" customHeight="1">
      <c r="A33" s="3557"/>
      <c r="B33" s="3554"/>
      <c r="C33" s="804" t="s">
        <v>2985</v>
      </c>
      <c r="D33" s="805"/>
      <c r="E33" s="3216">
        <v>0.8</v>
      </c>
      <c r="F33" s="3215" t="s">
        <v>2986</v>
      </c>
      <c r="G33" s="806"/>
      <c r="H33" s="800"/>
      <c r="I33" s="800"/>
    </row>
    <row r="34" spans="1:9" s="807" customFormat="1" ht="19.5" customHeight="1">
      <c r="A34" s="3557"/>
      <c r="B34" s="3554"/>
      <c r="C34" s="804" t="s">
        <v>2987</v>
      </c>
      <c r="D34" s="805"/>
      <c r="E34" s="3216">
        <v>0.6</v>
      </c>
      <c r="F34" s="3215" t="s">
        <v>2988</v>
      </c>
      <c r="G34" s="806"/>
      <c r="H34" s="800"/>
      <c r="I34" s="800"/>
    </row>
    <row r="35" spans="1:9" s="807" customFormat="1" ht="19.5" customHeight="1">
      <c r="A35" s="3557"/>
      <c r="B35" s="3554"/>
      <c r="C35" s="804" t="s">
        <v>2989</v>
      </c>
      <c r="D35" s="805"/>
      <c r="E35" s="3216">
        <v>0.2</v>
      </c>
      <c r="F35" s="3215" t="s">
        <v>2990</v>
      </c>
      <c r="G35" s="806"/>
      <c r="H35" s="800"/>
      <c r="I35" s="800"/>
    </row>
    <row r="36" spans="1:9" s="807" customFormat="1" ht="19.5" customHeight="1">
      <c r="A36" s="3557"/>
      <c r="B36" s="3554"/>
      <c r="C36" s="804" t="s">
        <v>2991</v>
      </c>
      <c r="D36" s="805"/>
      <c r="E36" s="3216">
        <v>0.2</v>
      </c>
      <c r="F36" s="3215" t="s">
        <v>2992</v>
      </c>
      <c r="G36" s="806"/>
      <c r="H36" s="800"/>
      <c r="I36" s="800"/>
    </row>
    <row r="37" spans="1:9" s="807" customFormat="1" ht="19.5" customHeight="1">
      <c r="A37" s="3557"/>
      <c r="B37" s="3559" t="s">
        <v>2993</v>
      </c>
      <c r="C37" s="804" t="s">
        <v>2994</v>
      </c>
      <c r="D37" s="805"/>
      <c r="E37" s="3216">
        <v>0.6</v>
      </c>
      <c r="F37" s="3215" t="s">
        <v>2995</v>
      </c>
      <c r="G37" s="806"/>
      <c r="H37" s="800"/>
      <c r="I37" s="800"/>
    </row>
    <row r="38" spans="1:9" s="807" customFormat="1" ht="19.5" customHeight="1">
      <c r="A38" s="3557"/>
      <c r="B38" s="3554"/>
      <c r="C38" s="804" t="s">
        <v>2996</v>
      </c>
      <c r="D38" s="805"/>
      <c r="E38" s="3216">
        <v>0.6</v>
      </c>
      <c r="F38" s="3215" t="s">
        <v>2997</v>
      </c>
      <c r="G38" s="806"/>
      <c r="H38" s="800"/>
      <c r="I38" s="800"/>
    </row>
    <row r="39" spans="1:9" s="807" customFormat="1" ht="19.5" customHeight="1" thickBot="1">
      <c r="A39" s="3558"/>
      <c r="B39" s="3555"/>
      <c r="C39" s="3217" t="s">
        <v>2998</v>
      </c>
      <c r="D39" s="3218"/>
      <c r="E39" s="3219">
        <v>0.6</v>
      </c>
      <c r="F39" s="3215" t="s">
        <v>2999</v>
      </c>
      <c r="G39" s="806"/>
      <c r="H39" s="800"/>
      <c r="I39" s="800"/>
    </row>
    <row r="40" spans="1:9" s="807" customFormat="1" ht="19.5" customHeight="1" thickBot="1">
      <c r="A40" s="3220" t="s">
        <v>3000</v>
      </c>
      <c r="B40" s="3221" t="s">
        <v>3000</v>
      </c>
      <c r="C40" s="3222" t="s">
        <v>3001</v>
      </c>
      <c r="D40" s="3223"/>
      <c r="E40" s="3224">
        <v>1</v>
      </c>
      <c r="F40" s="3215" t="s">
        <v>3002</v>
      </c>
      <c r="G40" s="806"/>
      <c r="H40" s="800"/>
      <c r="I40" s="800"/>
    </row>
    <row r="41" spans="1:9" s="807" customFormat="1" ht="19.5" customHeight="1">
      <c r="A41" s="3560" t="s">
        <v>3003</v>
      </c>
      <c r="B41" s="3553" t="s">
        <v>3004</v>
      </c>
      <c r="C41" s="3212" t="s">
        <v>3005</v>
      </c>
      <c r="D41" s="3213"/>
      <c r="E41" s="3214">
        <v>1</v>
      </c>
      <c r="F41" s="3215" t="s">
        <v>3006</v>
      </c>
      <c r="G41" s="806"/>
      <c r="H41" s="800"/>
      <c r="I41" s="800"/>
    </row>
    <row r="42" spans="1:9" s="807" customFormat="1" ht="19.5" customHeight="1">
      <c r="A42" s="3561"/>
      <c r="B42" s="3554"/>
      <c r="C42" s="804" t="s">
        <v>3007</v>
      </c>
      <c r="D42" s="805"/>
      <c r="E42" s="3216">
        <v>1</v>
      </c>
      <c r="F42" s="3215" t="s">
        <v>3008</v>
      </c>
      <c r="G42" s="806"/>
      <c r="H42" s="800"/>
      <c r="I42" s="800"/>
    </row>
    <row r="43" spans="1:9" s="807" customFormat="1" ht="19.5" customHeight="1">
      <c r="A43" s="3561"/>
      <c r="B43" s="3563"/>
      <c r="C43" s="804" t="s">
        <v>3009</v>
      </c>
      <c r="D43" s="805"/>
      <c r="E43" s="3216">
        <v>1.5</v>
      </c>
      <c r="F43" s="3215" t="s">
        <v>3010</v>
      </c>
      <c r="G43" s="806"/>
      <c r="H43" s="800"/>
      <c r="I43" s="800"/>
    </row>
    <row r="44" spans="1:9" s="807" customFormat="1" ht="19.5" customHeight="1">
      <c r="A44" s="3561"/>
      <c r="B44" s="3225" t="s">
        <v>2972</v>
      </c>
      <c r="C44" s="804" t="s">
        <v>3011</v>
      </c>
      <c r="D44" s="805"/>
      <c r="E44" s="3216">
        <v>2</v>
      </c>
      <c r="F44" s="3215" t="s">
        <v>3012</v>
      </c>
      <c r="G44" s="806"/>
      <c r="H44" s="800"/>
      <c r="I44" s="800"/>
    </row>
    <row r="45" spans="1:9" s="807" customFormat="1" ht="19.5" customHeight="1">
      <c r="A45" s="3561"/>
      <c r="B45" s="3559" t="s">
        <v>3013</v>
      </c>
      <c r="C45" s="804" t="s">
        <v>3014</v>
      </c>
      <c r="D45" s="805"/>
      <c r="E45" s="3216">
        <v>1</v>
      </c>
      <c r="F45" s="3215" t="s">
        <v>3015</v>
      </c>
      <c r="G45" s="806"/>
      <c r="H45" s="800"/>
      <c r="I45" s="800"/>
    </row>
    <row r="46" spans="1:9" s="807" customFormat="1" ht="19.5" customHeight="1">
      <c r="A46" s="3561"/>
      <c r="B46" s="3554"/>
      <c r="C46" s="804" t="s">
        <v>3016</v>
      </c>
      <c r="D46" s="805"/>
      <c r="E46" s="3216">
        <v>1</v>
      </c>
      <c r="F46" s="3215" t="s">
        <v>3017</v>
      </c>
      <c r="G46" s="806"/>
      <c r="H46" s="800"/>
      <c r="I46" s="800"/>
    </row>
    <row r="47" spans="1:9" s="807" customFormat="1" ht="19.5" customHeight="1">
      <c r="A47" s="3561"/>
      <c r="B47" s="3554"/>
      <c r="C47" s="804" t="s">
        <v>3018</v>
      </c>
      <c r="D47" s="805"/>
      <c r="E47" s="3216">
        <v>1</v>
      </c>
      <c r="F47" s="3215" t="s">
        <v>3019</v>
      </c>
      <c r="G47" s="806"/>
      <c r="H47" s="800"/>
      <c r="I47" s="800"/>
    </row>
    <row r="48" spans="1:9" s="807" customFormat="1" ht="19.5" customHeight="1">
      <c r="A48" s="3561"/>
      <c r="B48" s="3554"/>
      <c r="C48" s="804" t="s">
        <v>3020</v>
      </c>
      <c r="D48" s="805"/>
      <c r="E48" s="3216">
        <v>1</v>
      </c>
      <c r="F48" s="3215" t="s">
        <v>3021</v>
      </c>
      <c r="G48" s="806"/>
      <c r="H48" s="800"/>
      <c r="I48" s="800"/>
    </row>
    <row r="49" spans="1:9" s="807" customFormat="1" ht="19.5" customHeight="1">
      <c r="A49" s="3561"/>
      <c r="B49" s="3554"/>
      <c r="C49" s="804" t="s">
        <v>3022</v>
      </c>
      <c r="D49" s="805"/>
      <c r="E49" s="3216">
        <v>1</v>
      </c>
      <c r="F49" s="3215" t="s">
        <v>3023</v>
      </c>
      <c r="G49" s="806"/>
      <c r="H49" s="800"/>
      <c r="I49" s="800"/>
    </row>
    <row r="50" spans="1:9" s="807" customFormat="1" ht="19.5" customHeight="1">
      <c r="A50" s="3561"/>
      <c r="B50" s="3554"/>
      <c r="C50" s="804" t="s">
        <v>3024</v>
      </c>
      <c r="D50" s="805"/>
      <c r="E50" s="3216">
        <v>1</v>
      </c>
      <c r="F50" s="3215" t="s">
        <v>3025</v>
      </c>
      <c r="G50" s="806"/>
      <c r="H50" s="800"/>
      <c r="I50" s="800"/>
    </row>
    <row r="51" spans="1:9" s="807" customFormat="1" ht="19.5" customHeight="1" thickBot="1">
      <c r="A51" s="3562"/>
      <c r="B51" s="3555"/>
      <c r="C51" s="3217" t="s">
        <v>3026</v>
      </c>
      <c r="D51" s="3218"/>
      <c r="E51" s="3219">
        <v>1</v>
      </c>
      <c r="F51" s="3215" t="s">
        <v>3027</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3028</v>
      </c>
      <c r="D72" s="858"/>
      <c r="E72" s="815" t="s">
        <v>1</v>
      </c>
      <c r="F72" s="858" t="s">
        <v>1</v>
      </c>
    </row>
    <row r="73" spans="1:7" s="800" customFormat="1" ht="13.5">
      <c r="A73" s="3225">
        <v>1</v>
      </c>
      <c r="B73" s="3559" t="s">
        <v>3029</v>
      </c>
      <c r="C73" s="3205" t="s">
        <v>3030</v>
      </c>
      <c r="D73" s="3205" t="s">
        <v>3031</v>
      </c>
      <c r="E73" s="3226">
        <v>0.2</v>
      </c>
      <c r="F73" s="3225">
        <v>25</v>
      </c>
    </row>
    <row r="74" spans="1:7" s="800" customFormat="1" ht="24">
      <c r="A74" s="3225">
        <v>2</v>
      </c>
      <c r="B74" s="3554"/>
      <c r="C74" s="3205" t="s">
        <v>3032</v>
      </c>
      <c r="D74" s="3205" t="s">
        <v>3033</v>
      </c>
      <c r="E74" s="3226">
        <v>0.2</v>
      </c>
      <c r="F74" s="3225">
        <v>25</v>
      </c>
    </row>
    <row r="75" spans="1:7" s="800" customFormat="1" ht="24">
      <c r="A75" s="3225">
        <v>3</v>
      </c>
      <c r="B75" s="3554"/>
      <c r="C75" s="3205" t="s">
        <v>3034</v>
      </c>
      <c r="D75" s="3205" t="s">
        <v>3035</v>
      </c>
      <c r="E75" s="3226">
        <v>0.2</v>
      </c>
      <c r="F75" s="3225">
        <v>25</v>
      </c>
    </row>
    <row r="76" spans="1:7" s="800" customFormat="1" ht="13.5">
      <c r="A76" s="3225">
        <v>4</v>
      </c>
      <c r="B76" s="3554"/>
      <c r="C76" s="3205" t="s">
        <v>3036</v>
      </c>
      <c r="D76" s="3205" t="s">
        <v>3037</v>
      </c>
      <c r="E76" s="3226">
        <v>0.15</v>
      </c>
      <c r="F76" s="3225">
        <v>20</v>
      </c>
    </row>
    <row r="77" spans="1:7" s="800" customFormat="1" ht="24">
      <c r="A77" s="3225">
        <v>5</v>
      </c>
      <c r="B77" s="3554"/>
      <c r="C77" s="3205" t="s">
        <v>3038</v>
      </c>
      <c r="D77" s="3205" t="s">
        <v>3039</v>
      </c>
      <c r="E77" s="3226">
        <v>0.15</v>
      </c>
      <c r="F77" s="3225">
        <v>20</v>
      </c>
    </row>
    <row r="78" spans="1:7" s="800" customFormat="1" ht="24">
      <c r="A78" s="3225">
        <v>6</v>
      </c>
      <c r="B78" s="3554"/>
      <c r="C78" s="3205" t="s">
        <v>3040</v>
      </c>
      <c r="D78" s="3205" t="s">
        <v>3041</v>
      </c>
      <c r="E78" s="3226">
        <v>0.15</v>
      </c>
      <c r="F78" s="3225">
        <v>20</v>
      </c>
    </row>
    <row r="79" spans="1:7" s="800" customFormat="1" ht="24">
      <c r="A79" s="3225">
        <v>7</v>
      </c>
      <c r="B79" s="3554"/>
      <c r="C79" s="3205" t="s">
        <v>3042</v>
      </c>
      <c r="D79" s="3205" t="s">
        <v>3043</v>
      </c>
      <c r="E79" s="3226">
        <v>0.15</v>
      </c>
      <c r="F79" s="3225">
        <v>20</v>
      </c>
    </row>
    <row r="80" spans="1:7" s="800" customFormat="1" ht="24">
      <c r="A80" s="3225">
        <v>8</v>
      </c>
      <c r="B80" s="3554"/>
      <c r="C80" s="3205" t="s">
        <v>3044</v>
      </c>
      <c r="D80" s="3205" t="s">
        <v>3045</v>
      </c>
      <c r="E80" s="3226">
        <v>0.1</v>
      </c>
      <c r="F80" s="3225">
        <v>15</v>
      </c>
    </row>
    <row r="81" spans="1:6" s="800" customFormat="1" ht="24">
      <c r="A81" s="3225">
        <v>9</v>
      </c>
      <c r="B81" s="3554"/>
      <c r="C81" s="3205" t="s">
        <v>3046</v>
      </c>
      <c r="D81" s="3205" t="s">
        <v>3047</v>
      </c>
      <c r="E81" s="3226">
        <v>0.1</v>
      </c>
      <c r="F81" s="3225">
        <v>15</v>
      </c>
    </row>
    <row r="82" spans="1:6" s="800" customFormat="1" ht="24">
      <c r="A82" s="3225">
        <v>10</v>
      </c>
      <c r="B82" s="3554"/>
      <c r="C82" s="3205" t="s">
        <v>3048</v>
      </c>
      <c r="D82" s="3205" t="s">
        <v>3049</v>
      </c>
      <c r="E82" s="3226">
        <v>0.1</v>
      </c>
      <c r="F82" s="3225">
        <v>15</v>
      </c>
    </row>
    <row r="83" spans="1:6" s="800" customFormat="1" ht="24">
      <c r="A83" s="3225">
        <v>11</v>
      </c>
      <c r="B83" s="3554"/>
      <c r="C83" s="3205" t="s">
        <v>3050</v>
      </c>
      <c r="D83" s="3205" t="s">
        <v>3051</v>
      </c>
      <c r="E83" s="3226">
        <v>0.1</v>
      </c>
      <c r="F83" s="3225">
        <v>15</v>
      </c>
    </row>
    <row r="84" spans="1:6" s="800" customFormat="1" ht="24">
      <c r="A84" s="3225">
        <v>12</v>
      </c>
      <c r="B84" s="3554"/>
      <c r="C84" s="3205" t="s">
        <v>3052</v>
      </c>
      <c r="D84" s="3205" t="s">
        <v>3053</v>
      </c>
      <c r="E84" s="3226">
        <v>0.1</v>
      </c>
      <c r="F84" s="3225">
        <v>15</v>
      </c>
    </row>
    <row r="85" spans="1:6" s="800" customFormat="1" ht="13.5">
      <c r="A85" s="3225">
        <v>13</v>
      </c>
      <c r="B85" s="3554"/>
      <c r="C85" s="3205" t="s">
        <v>3054</v>
      </c>
      <c r="D85" s="3205" t="s">
        <v>3055</v>
      </c>
      <c r="E85" s="3226">
        <v>0.1</v>
      </c>
      <c r="F85" s="3225">
        <v>15</v>
      </c>
    </row>
    <row r="86" spans="1:6" s="800" customFormat="1" ht="13.5">
      <c r="A86" s="3225">
        <v>14</v>
      </c>
      <c r="B86" s="3554"/>
      <c r="C86" s="3205" t="s">
        <v>3056</v>
      </c>
      <c r="D86" s="3205" t="s">
        <v>3057</v>
      </c>
      <c r="E86" s="3226">
        <v>0.1</v>
      </c>
      <c r="F86" s="3225">
        <v>15</v>
      </c>
    </row>
    <row r="87" spans="1:6" s="800" customFormat="1" ht="13.5">
      <c r="A87" s="3225">
        <v>15</v>
      </c>
      <c r="B87" s="3554"/>
      <c r="C87" s="3205" t="s">
        <v>3058</v>
      </c>
      <c r="D87" s="3205" t="s">
        <v>3059</v>
      </c>
      <c r="E87" s="3226">
        <v>0.1</v>
      </c>
      <c r="F87" s="3225">
        <v>15</v>
      </c>
    </row>
    <row r="88" spans="1:6" s="800" customFormat="1" ht="24">
      <c r="A88" s="3225">
        <v>16</v>
      </c>
      <c r="B88" s="3554"/>
      <c r="C88" s="3205" t="s">
        <v>3060</v>
      </c>
      <c r="D88" s="3205" t="s">
        <v>3061</v>
      </c>
      <c r="E88" s="3226">
        <v>0.1</v>
      </c>
      <c r="F88" s="3225">
        <v>15</v>
      </c>
    </row>
    <row r="89" spans="1:6" s="800" customFormat="1" ht="24">
      <c r="A89" s="3225">
        <v>17</v>
      </c>
      <c r="B89" s="3563"/>
      <c r="C89" s="3205" t="s">
        <v>3062</v>
      </c>
      <c r="D89" s="3205" t="s">
        <v>3063</v>
      </c>
      <c r="E89" s="3226">
        <v>0.1</v>
      </c>
      <c r="F89" s="3225">
        <v>15</v>
      </c>
    </row>
    <row r="90" spans="1:6" s="800" customFormat="1" ht="13.5">
      <c r="A90" s="3225">
        <v>18</v>
      </c>
      <c r="B90" s="3559" t="s">
        <v>3064</v>
      </c>
      <c r="C90" s="3205" t="s">
        <v>3065</v>
      </c>
      <c r="D90" s="3205" t="s">
        <v>3066</v>
      </c>
      <c r="E90" s="3226">
        <v>0.2</v>
      </c>
      <c r="F90" s="3225">
        <v>25</v>
      </c>
    </row>
    <row r="91" spans="1:6" s="800" customFormat="1" ht="24">
      <c r="A91" s="3225">
        <v>19</v>
      </c>
      <c r="B91" s="3554"/>
      <c r="C91" s="3205" t="s">
        <v>3067</v>
      </c>
      <c r="D91" s="3205" t="s">
        <v>3068</v>
      </c>
      <c r="E91" s="3226">
        <v>0.2</v>
      </c>
      <c r="F91" s="3225">
        <v>25</v>
      </c>
    </row>
    <row r="92" spans="1:6" s="800" customFormat="1" ht="13.5">
      <c r="A92" s="3225">
        <v>20</v>
      </c>
      <c r="B92" s="3554"/>
      <c r="C92" s="3205" t="s">
        <v>3069</v>
      </c>
      <c r="D92" s="3205" t="s">
        <v>3070</v>
      </c>
      <c r="E92" s="3226">
        <v>0.15</v>
      </c>
      <c r="F92" s="3225">
        <v>20</v>
      </c>
    </row>
    <row r="93" spans="1:6" s="800" customFormat="1" ht="24">
      <c r="A93" s="3225">
        <v>21</v>
      </c>
      <c r="B93" s="3554"/>
      <c r="C93" s="3205" t="s">
        <v>3071</v>
      </c>
      <c r="D93" s="3205" t="s">
        <v>3072</v>
      </c>
      <c r="E93" s="3226">
        <v>0.15</v>
      </c>
      <c r="F93" s="3225">
        <v>20</v>
      </c>
    </row>
    <row r="94" spans="1:6" s="800" customFormat="1" ht="24">
      <c r="A94" s="3225">
        <v>22</v>
      </c>
      <c r="B94" s="3554"/>
      <c r="C94" s="3205" t="s">
        <v>3073</v>
      </c>
      <c r="D94" s="3205" t="s">
        <v>3074</v>
      </c>
      <c r="E94" s="3226">
        <v>0.15</v>
      </c>
      <c r="F94" s="3225">
        <v>20</v>
      </c>
    </row>
    <row r="95" spans="1:6" s="800" customFormat="1" ht="36">
      <c r="A95" s="3225">
        <v>23</v>
      </c>
      <c r="B95" s="3554"/>
      <c r="C95" s="3205" t="s">
        <v>3075</v>
      </c>
      <c r="D95" s="3205" t="s">
        <v>3076</v>
      </c>
      <c r="E95" s="3226">
        <v>0.15</v>
      </c>
      <c r="F95" s="3225">
        <v>20</v>
      </c>
    </row>
    <row r="96" spans="1:6" s="800" customFormat="1" ht="13.5">
      <c r="A96" s="3225">
        <v>24</v>
      </c>
      <c r="B96" s="3554"/>
      <c r="C96" s="3205" t="s">
        <v>3077</v>
      </c>
      <c r="D96" s="3205" t="s">
        <v>3078</v>
      </c>
      <c r="E96" s="3226">
        <v>0.1</v>
      </c>
      <c r="F96" s="3225">
        <v>15</v>
      </c>
    </row>
    <row r="97" spans="1:6" s="800" customFormat="1" ht="24">
      <c r="A97" s="3225">
        <v>25</v>
      </c>
      <c r="B97" s="3554"/>
      <c r="C97" s="3205" t="s">
        <v>3079</v>
      </c>
      <c r="D97" s="3205" t="s">
        <v>3080</v>
      </c>
      <c r="E97" s="3226">
        <v>0.1</v>
      </c>
      <c r="F97" s="3225">
        <v>15</v>
      </c>
    </row>
    <row r="98" spans="1:6" s="800" customFormat="1" ht="24">
      <c r="A98" s="3225">
        <v>26</v>
      </c>
      <c r="B98" s="3554"/>
      <c r="C98" s="3205" t="s">
        <v>3081</v>
      </c>
      <c r="D98" s="3205" t="s">
        <v>3082</v>
      </c>
      <c r="E98" s="3226">
        <v>0.1</v>
      </c>
      <c r="F98" s="3225">
        <v>15</v>
      </c>
    </row>
    <row r="99" spans="1:6" s="800" customFormat="1" ht="24">
      <c r="A99" s="3225">
        <v>27</v>
      </c>
      <c r="B99" s="3554"/>
      <c r="C99" s="3205" t="s">
        <v>3083</v>
      </c>
      <c r="D99" s="3205" t="s">
        <v>3084</v>
      </c>
      <c r="E99" s="3226">
        <v>0.1</v>
      </c>
      <c r="F99" s="3225">
        <v>15</v>
      </c>
    </row>
    <row r="100" spans="1:6" s="800" customFormat="1" ht="24">
      <c r="A100" s="3225">
        <v>28</v>
      </c>
      <c r="B100" s="3554"/>
      <c r="C100" s="3205" t="s">
        <v>3085</v>
      </c>
      <c r="D100" s="3205" t="s">
        <v>3086</v>
      </c>
      <c r="E100" s="3226">
        <v>0.1</v>
      </c>
      <c r="F100" s="3225">
        <v>15</v>
      </c>
    </row>
    <row r="101" spans="1:6" s="800" customFormat="1" ht="24">
      <c r="A101" s="3225">
        <v>29</v>
      </c>
      <c r="B101" s="3554"/>
      <c r="C101" s="3205" t="s">
        <v>3087</v>
      </c>
      <c r="D101" s="3205" t="s">
        <v>3088</v>
      </c>
      <c r="E101" s="3226">
        <v>0.1</v>
      </c>
      <c r="F101" s="3225">
        <v>15</v>
      </c>
    </row>
    <row r="102" spans="1:6" s="800" customFormat="1" ht="24">
      <c r="A102" s="3225">
        <v>30</v>
      </c>
      <c r="B102" s="3554"/>
      <c r="C102" s="3205" t="s">
        <v>3089</v>
      </c>
      <c r="D102" s="3205" t="s">
        <v>3090</v>
      </c>
      <c r="E102" s="3226">
        <v>0.1</v>
      </c>
      <c r="F102" s="3225">
        <v>15</v>
      </c>
    </row>
    <row r="103" spans="1:6" s="800" customFormat="1" ht="24">
      <c r="A103" s="3225">
        <v>31</v>
      </c>
      <c r="B103" s="3554"/>
      <c r="C103" s="3205" t="s">
        <v>3091</v>
      </c>
      <c r="D103" s="3205" t="s">
        <v>3092</v>
      </c>
      <c r="E103" s="3226">
        <v>0.1</v>
      </c>
      <c r="F103" s="3225">
        <v>15</v>
      </c>
    </row>
    <row r="104" spans="1:6" s="800" customFormat="1" ht="24">
      <c r="A104" s="3225">
        <v>32</v>
      </c>
      <c r="B104" s="3554"/>
      <c r="C104" s="3205" t="s">
        <v>3093</v>
      </c>
      <c r="D104" s="3205" t="s">
        <v>3094</v>
      </c>
      <c r="E104" s="3226">
        <v>0.1</v>
      </c>
      <c r="F104" s="3225">
        <v>15</v>
      </c>
    </row>
    <row r="105" spans="1:6" s="800" customFormat="1" ht="24">
      <c r="A105" s="3225">
        <v>33</v>
      </c>
      <c r="B105" s="3554"/>
      <c r="C105" s="3205" t="s">
        <v>3095</v>
      </c>
      <c r="D105" s="3205" t="s">
        <v>3096</v>
      </c>
      <c r="E105" s="3226">
        <v>0.1</v>
      </c>
      <c r="F105" s="3225">
        <v>15</v>
      </c>
    </row>
    <row r="106" spans="1:6" s="800" customFormat="1" ht="24">
      <c r="A106" s="3225">
        <v>34</v>
      </c>
      <c r="B106" s="3563"/>
      <c r="C106" s="3205" t="s">
        <v>3097</v>
      </c>
      <c r="D106" s="3205" t="s">
        <v>3098</v>
      </c>
      <c r="E106" s="3226">
        <v>0.1</v>
      </c>
      <c r="F106" s="3225">
        <v>15</v>
      </c>
    </row>
    <row r="107" spans="1:6" s="800" customFormat="1" ht="24">
      <c r="A107" s="3225">
        <v>35</v>
      </c>
      <c r="B107" s="3559" t="s">
        <v>3099</v>
      </c>
      <c r="C107" s="3225" t="s">
        <v>3100</v>
      </c>
      <c r="D107" s="3205" t="s">
        <v>3101</v>
      </c>
      <c r="E107" s="3226">
        <v>0.15</v>
      </c>
      <c r="F107" s="3225">
        <v>20</v>
      </c>
    </row>
    <row r="108" spans="1:6" s="800" customFormat="1" ht="24">
      <c r="A108" s="3225">
        <v>36</v>
      </c>
      <c r="B108" s="3554"/>
      <c r="C108" s="3225" t="s">
        <v>3102</v>
      </c>
      <c r="D108" s="3205" t="s">
        <v>3103</v>
      </c>
      <c r="E108" s="3226">
        <v>0.15</v>
      </c>
      <c r="F108" s="3225">
        <v>20</v>
      </c>
    </row>
    <row r="109" spans="1:6" s="800" customFormat="1" ht="24">
      <c r="A109" s="3225">
        <v>37</v>
      </c>
      <c r="B109" s="3554"/>
      <c r="C109" s="3225" t="s">
        <v>3104</v>
      </c>
      <c r="D109" s="3205" t="s">
        <v>3105</v>
      </c>
      <c r="E109" s="3226">
        <v>0.15</v>
      </c>
      <c r="F109" s="3225">
        <v>20</v>
      </c>
    </row>
    <row r="110" spans="1:6" s="800" customFormat="1" ht="13.5">
      <c r="A110" s="3225">
        <v>38</v>
      </c>
      <c r="B110" s="3554"/>
      <c r="C110" s="3225" t="s">
        <v>3106</v>
      </c>
      <c r="D110" s="3205" t="s">
        <v>3107</v>
      </c>
      <c r="E110" s="3226">
        <v>0.1</v>
      </c>
      <c r="F110" s="3225">
        <v>15</v>
      </c>
    </row>
    <row r="111" spans="1:6" s="800" customFormat="1" ht="24">
      <c r="A111" s="3225">
        <v>39</v>
      </c>
      <c r="B111" s="3554"/>
      <c r="C111" s="3225" t="s">
        <v>3108</v>
      </c>
      <c r="D111" s="3205" t="s">
        <v>3109</v>
      </c>
      <c r="E111" s="3226">
        <v>0.1</v>
      </c>
      <c r="F111" s="3225">
        <v>15</v>
      </c>
    </row>
    <row r="112" spans="1:6" s="800" customFormat="1" ht="24">
      <c r="A112" s="3225">
        <v>40</v>
      </c>
      <c r="B112" s="3563"/>
      <c r="C112" s="3225" t="s">
        <v>3110</v>
      </c>
      <c r="D112" s="3205" t="s">
        <v>3111</v>
      </c>
      <c r="E112" s="3226">
        <v>0.1</v>
      </c>
      <c r="F112" s="3225">
        <v>15</v>
      </c>
    </row>
    <row r="113" spans="1:6" s="800" customFormat="1" ht="24">
      <c r="A113" s="3225">
        <v>41</v>
      </c>
      <c r="B113" s="3564" t="s">
        <v>3112</v>
      </c>
      <c r="C113" s="3225" t="s">
        <v>3113</v>
      </c>
      <c r="D113" s="3205" t="s">
        <v>3114</v>
      </c>
      <c r="E113" s="3226">
        <v>0.1</v>
      </c>
      <c r="F113" s="3225">
        <v>15</v>
      </c>
    </row>
    <row r="114" spans="1:6" s="800" customFormat="1" ht="13.5">
      <c r="A114" s="3225">
        <v>42</v>
      </c>
      <c r="B114" s="3564"/>
      <c r="C114" s="3225" t="s">
        <v>3115</v>
      </c>
      <c r="D114" s="3205" t="s">
        <v>3116</v>
      </c>
      <c r="E114" s="3226">
        <v>0.1</v>
      </c>
      <c r="F114" s="3225">
        <v>15</v>
      </c>
    </row>
    <row r="115" spans="1:6" s="800" customFormat="1" ht="24">
      <c r="A115" s="3225">
        <v>43</v>
      </c>
      <c r="B115" s="3564"/>
      <c r="C115" s="3225" t="s">
        <v>3117</v>
      </c>
      <c r="D115" s="3205" t="s">
        <v>3118</v>
      </c>
      <c r="E115" s="3226">
        <v>0.1</v>
      </c>
      <c r="F115" s="3225">
        <v>15</v>
      </c>
    </row>
    <row r="116" spans="1:6" s="800" customFormat="1" ht="24">
      <c r="A116" s="3225">
        <v>44</v>
      </c>
      <c r="B116" s="3559" t="s">
        <v>3119</v>
      </c>
      <c r="C116" s="3225" t="s">
        <v>3120</v>
      </c>
      <c r="D116" s="3205" t="s">
        <v>3121</v>
      </c>
      <c r="E116" s="3226">
        <v>0.1</v>
      </c>
      <c r="F116" s="3225">
        <v>15</v>
      </c>
    </row>
    <row r="117" spans="1:6" s="800" customFormat="1" ht="24">
      <c r="A117" s="3225">
        <v>45</v>
      </c>
      <c r="B117" s="3563"/>
      <c r="C117" s="3205" t="s">
        <v>3122</v>
      </c>
      <c r="D117" s="3205" t="s">
        <v>3123</v>
      </c>
      <c r="E117" s="3226">
        <v>0.1</v>
      </c>
      <c r="F117" s="3225">
        <v>15</v>
      </c>
    </row>
    <row r="118" spans="1:6" s="800" customFormat="1" ht="24">
      <c r="A118" s="3225">
        <v>46</v>
      </c>
      <c r="B118" s="3559" t="s">
        <v>3124</v>
      </c>
      <c r="C118" s="3225" t="s">
        <v>3125</v>
      </c>
      <c r="D118" s="3205" t="s">
        <v>3126</v>
      </c>
      <c r="E118" s="3226">
        <v>0.1</v>
      </c>
      <c r="F118" s="3225">
        <v>15</v>
      </c>
    </row>
    <row r="119" spans="1:6" s="800" customFormat="1" ht="24">
      <c r="A119" s="3225">
        <v>47</v>
      </c>
      <c r="B119" s="3563"/>
      <c r="C119" s="3225" t="s">
        <v>3127</v>
      </c>
      <c r="D119" s="3205" t="s">
        <v>3128</v>
      </c>
      <c r="E119" s="3226">
        <v>0.1</v>
      </c>
      <c r="F119" s="3225">
        <v>15</v>
      </c>
    </row>
    <row r="120" spans="1:6" s="800" customFormat="1" ht="24">
      <c r="A120" s="3225">
        <v>48</v>
      </c>
      <c r="B120" s="3559" t="s">
        <v>3129</v>
      </c>
      <c r="C120" s="3225" t="s">
        <v>3130</v>
      </c>
      <c r="D120" s="3205" t="s">
        <v>3131</v>
      </c>
      <c r="E120" s="3226">
        <v>0.1</v>
      </c>
      <c r="F120" s="3225">
        <v>15</v>
      </c>
    </row>
    <row r="121" spans="1:6" s="800" customFormat="1" ht="13.5">
      <c r="A121" s="3225">
        <v>49</v>
      </c>
      <c r="B121" s="3563"/>
      <c r="C121" s="3225" t="s">
        <v>3132</v>
      </c>
      <c r="D121" s="3205" t="s">
        <v>3133</v>
      </c>
      <c r="E121" s="3226">
        <v>0.1</v>
      </c>
      <c r="F121" s="3225">
        <v>15</v>
      </c>
    </row>
    <row r="122" spans="1:6" s="800" customFormat="1" ht="24">
      <c r="A122" s="3225">
        <v>50</v>
      </c>
      <c r="B122" s="3564" t="s">
        <v>3134</v>
      </c>
      <c r="C122" s="3225" t="s">
        <v>3135</v>
      </c>
      <c r="D122" s="3205" t="s">
        <v>3136</v>
      </c>
      <c r="E122" s="3226">
        <v>0.1</v>
      </c>
      <c r="F122" s="3225">
        <v>15</v>
      </c>
    </row>
    <row r="123" spans="1:6" s="800" customFormat="1" ht="24">
      <c r="A123" s="3225">
        <v>51</v>
      </c>
      <c r="B123" s="3564"/>
      <c r="C123" s="3225" t="s">
        <v>3137</v>
      </c>
      <c r="D123" s="3205" t="s">
        <v>3138</v>
      </c>
      <c r="E123" s="3226">
        <v>0.1</v>
      </c>
      <c r="F123" s="3225">
        <v>15</v>
      </c>
    </row>
    <row r="124" spans="1:6" s="800" customFormat="1" ht="24">
      <c r="A124" s="3225">
        <v>52</v>
      </c>
      <c r="B124" s="3564" t="s">
        <v>3139</v>
      </c>
      <c r="C124" s="3225" t="s">
        <v>3140</v>
      </c>
      <c r="D124" s="3205" t="s">
        <v>3141</v>
      </c>
      <c r="E124" s="3226">
        <v>0.1</v>
      </c>
      <c r="F124" s="3225">
        <v>15</v>
      </c>
    </row>
    <row r="125" spans="1:6" s="800" customFormat="1" ht="24">
      <c r="A125" s="3225">
        <v>53</v>
      </c>
      <c r="B125" s="3564"/>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64" t="s">
        <v>3147</v>
      </c>
      <c r="C127" s="3225" t="s">
        <v>3148</v>
      </c>
      <c r="D127" s="3205" t="s">
        <v>3149</v>
      </c>
      <c r="E127" s="3226">
        <v>0.1</v>
      </c>
      <c r="F127" s="3225">
        <v>15</v>
      </c>
    </row>
    <row r="128" spans="1:6" ht="13.5">
      <c r="A128" s="3225">
        <v>56</v>
      </c>
      <c r="B128" s="3564"/>
      <c r="C128" s="3225" t="s">
        <v>3150</v>
      </c>
      <c r="D128" s="3205" t="s">
        <v>3151</v>
      </c>
      <c r="E128" s="3226">
        <v>0.1</v>
      </c>
      <c r="F128" s="3225">
        <v>15</v>
      </c>
    </row>
    <row r="129" spans="1:6" ht="24">
      <c r="A129" s="3225">
        <v>57</v>
      </c>
      <c r="B129" s="3564"/>
      <c r="C129" s="3225" t="s">
        <v>3152</v>
      </c>
      <c r="D129" s="3205" t="s">
        <v>3153</v>
      </c>
      <c r="E129" s="3226">
        <v>0.1</v>
      </c>
      <c r="F129" s="3225">
        <v>15</v>
      </c>
    </row>
    <row r="130" spans="1:6" ht="24">
      <c r="A130" s="3225">
        <v>58</v>
      </c>
      <c r="B130" s="3564" t="s">
        <v>3154</v>
      </c>
      <c r="C130" s="3225" t="s">
        <v>3155</v>
      </c>
      <c r="D130" s="3205" t="s">
        <v>3156</v>
      </c>
      <c r="E130" s="3226">
        <v>0.1</v>
      </c>
      <c r="F130" s="3225">
        <v>15</v>
      </c>
    </row>
    <row r="131" spans="1:6" ht="24">
      <c r="A131" s="3225">
        <v>59</v>
      </c>
      <c r="B131" s="3564"/>
      <c r="C131" s="3225" t="s">
        <v>3157</v>
      </c>
      <c r="D131" s="3205" t="s">
        <v>3158</v>
      </c>
      <c r="E131" s="3226">
        <v>0.1</v>
      </c>
      <c r="F131" s="3225">
        <v>15</v>
      </c>
    </row>
    <row r="132" spans="1:6" ht="24">
      <c r="A132" s="3225">
        <v>60</v>
      </c>
      <c r="B132" s="3559" t="s">
        <v>3159</v>
      </c>
      <c r="C132" s="3225" t="s">
        <v>3160</v>
      </c>
      <c r="D132" s="3205" t="s">
        <v>3161</v>
      </c>
      <c r="E132" s="3226">
        <v>0.1</v>
      </c>
      <c r="F132" s="3225">
        <v>15</v>
      </c>
    </row>
    <row r="133" spans="1:6" ht="24">
      <c r="A133" s="3225">
        <v>61</v>
      </c>
      <c r="B133" s="3563"/>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64" t="s">
        <v>3167</v>
      </c>
      <c r="C135" s="3225" t="s">
        <v>3168</v>
      </c>
      <c r="D135" s="3205" t="s">
        <v>3169</v>
      </c>
      <c r="E135" s="3226">
        <v>0.1</v>
      </c>
      <c r="F135" s="3225">
        <v>15</v>
      </c>
    </row>
    <row r="136" spans="1:6" ht="13.5">
      <c r="A136" s="3225">
        <v>64</v>
      </c>
      <c r="B136" s="3564"/>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3.0960000000000001</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0" t="s">
        <v>877</v>
      </c>
      <c r="C1" s="3570"/>
      <c r="D1" s="3570"/>
      <c r="E1" s="3570"/>
      <c r="F1" s="3570"/>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5"/>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571">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5"/>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1">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6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6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2">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3"/>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3"/>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4"/>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6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6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6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6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6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6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6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6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6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6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6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6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6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6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6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6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6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6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6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4" t="s">
        <v>2583</v>
      </c>
      <c r="C1" s="3579" t="s">
        <v>2584</v>
      </c>
      <c r="D1" s="3580"/>
      <c r="E1" s="3580"/>
      <c r="F1" s="3580"/>
      <c r="G1" s="3580"/>
      <c r="H1" s="3580"/>
      <c r="I1" s="3580"/>
      <c r="J1" s="3580"/>
      <c r="K1" s="3580"/>
      <c r="L1" s="3580"/>
      <c r="M1" s="3580"/>
      <c r="N1" s="3580"/>
      <c r="O1" s="3580"/>
      <c r="P1" s="3580"/>
      <c r="Q1" s="3580"/>
      <c r="R1" s="3580"/>
      <c r="S1" s="3581"/>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3">
        <f>SUM(B24:B10000)</f>
        <v>100</v>
      </c>
      <c r="C22" s="3576" t="s">
        <v>33</v>
      </c>
      <c r="D22" s="3577"/>
      <c r="E22" s="3577"/>
      <c r="F22" s="3577"/>
      <c r="G22" s="3577"/>
      <c r="H22" s="3577"/>
      <c r="I22" s="3577"/>
      <c r="J22" s="3577"/>
      <c r="K22" s="3577"/>
      <c r="L22" s="3577"/>
      <c r="M22" s="3577"/>
      <c r="N22" s="3577"/>
      <c r="O22" s="3577"/>
      <c r="P22" s="3577"/>
      <c r="Q22" s="3578"/>
      <c r="R22" s="671">
        <f>ROUND(S22*10000/B22,0)</f>
        <v>10000</v>
      </c>
      <c r="S22" s="23">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28"/>
      <c r="B4" s="3243" t="s">
        <v>1354</v>
      </c>
      <c r="C4" s="3243"/>
      <c r="D4" s="3243"/>
      <c r="E4" s="1628"/>
    </row>
    <row r="5" spans="1:5" ht="16.5" thickTop="1">
      <c r="A5" s="1626"/>
      <c r="B5" s="3241" t="s">
        <v>1346</v>
      </c>
      <c r="C5" s="1629" t="s">
        <v>1347</v>
      </c>
      <c r="D5" s="939">
        <f ca="1">结果表!H101</f>
        <v>5309</v>
      </c>
      <c r="E5" s="1626"/>
    </row>
    <row r="6" spans="1:5" ht="15.75">
      <c r="A6" s="1626"/>
      <c r="B6" s="3241"/>
      <c r="C6" s="1629" t="s">
        <v>1348</v>
      </c>
      <c r="D6" s="939" t="str">
        <f ca="1">NUMBERSTRING(INT(D5*10000),2)&amp;"元整"</f>
        <v>伍仟叁佰零玖万元整</v>
      </c>
      <c r="E6" s="1626"/>
    </row>
    <row r="7" spans="1:5" ht="15.75">
      <c r="A7" s="1626"/>
      <c r="B7" s="3246"/>
      <c r="C7" s="1630" t="s">
        <v>1349</v>
      </c>
      <c r="D7" s="940">
        <f ca="1">结果表!H102</f>
        <v>6348</v>
      </c>
      <c r="E7" s="1626"/>
    </row>
    <row r="8" spans="1:5" ht="15.75">
      <c r="A8" s="1626"/>
      <c r="B8" s="3247" t="str">
        <f>结果表!E103</f>
        <v>2.估价师知悉的法定优先受偿款</v>
      </c>
      <c r="C8" s="1631" t="s">
        <v>1350</v>
      </c>
      <c r="D8" s="940">
        <f>结果表!H103</f>
        <v>0</v>
      </c>
      <c r="E8" s="1626"/>
    </row>
    <row r="9" spans="1:5" ht="15.75">
      <c r="A9" s="1626"/>
      <c r="B9" s="3249"/>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40" t="str">
        <f>结果表!E107</f>
        <v>3.房地产抵押价值</v>
      </c>
      <c r="C13" s="1634" t="s">
        <v>1347</v>
      </c>
      <c r="D13" s="942">
        <f ca="1">结果表!H107</f>
        <v>5309</v>
      </c>
      <c r="E13" s="1626"/>
    </row>
    <row r="14" spans="1:5" ht="15.75">
      <c r="A14" s="1626"/>
      <c r="B14" s="3241"/>
      <c r="C14" s="1629" t="s">
        <v>1348</v>
      </c>
      <c r="D14" s="939" t="str">
        <f ca="1">NUMBERSTRING(INT(D13*10000),2)&amp;"元整"</f>
        <v>伍仟叁佰零玖万元整</v>
      </c>
      <c r="E14" s="1626"/>
    </row>
    <row r="15" spans="1:5" ht="15">
      <c r="A15" s="1626"/>
      <c r="B15" s="3246"/>
      <c r="C15" s="1630" t="s">
        <v>1358</v>
      </c>
      <c r="D15" s="948">
        <f ca="1">结果表!H108</f>
        <v>6348</v>
      </c>
      <c r="E15" s="1626"/>
    </row>
    <row r="16" spans="1:5" ht="15">
      <c r="A16" s="1626"/>
      <c r="B16" s="3247" t="str">
        <f>结果表!E109</f>
        <v>——</v>
      </c>
      <c r="C16" s="1634" t="s">
        <v>1359</v>
      </c>
      <c r="D16" s="1635" t="str">
        <f>结果表!H109</f>
        <v>——</v>
      </c>
      <c r="E16" s="1626"/>
    </row>
    <row r="17" spans="1:5" ht="15.75">
      <c r="A17" s="1626"/>
      <c r="B17" s="3248"/>
      <c r="C17" s="1629" t="s">
        <v>1360</v>
      </c>
      <c r="D17" s="939" t="e">
        <f>NUMBERSTRING(INT(D16*10000),2)&amp;"元整"</f>
        <v>#VALUE!</v>
      </c>
      <c r="E17" s="1626"/>
    </row>
    <row r="18" spans="1:5" ht="15">
      <c r="A18" s="1626"/>
      <c r="B18" s="3249"/>
      <c r="C18" s="1630" t="s">
        <v>1349</v>
      </c>
      <c r="D18" s="948" t="str">
        <f>结果表!H110</f>
        <v>——</v>
      </c>
      <c r="E18" s="1626"/>
    </row>
    <row r="19" spans="1:5" ht="15.75">
      <c r="A19" s="1626"/>
      <c r="B19" s="3240" t="str">
        <f>结果表!E111</f>
        <v>——</v>
      </c>
      <c r="C19" s="1634" t="s">
        <v>1347</v>
      </c>
      <c r="D19" s="940" t="str">
        <f>结果表!H111</f>
        <v>——</v>
      </c>
      <c r="E19" s="1626"/>
    </row>
    <row r="20" spans="1:5" ht="15.75">
      <c r="A20" s="1626"/>
      <c r="B20" s="3241"/>
      <c r="C20" s="1629" t="s">
        <v>1360</v>
      </c>
      <c r="D20" s="939" t="e">
        <f>NUMBERSTRING(INT(D19*10000),2)&amp;"元整"</f>
        <v>#VALUE!</v>
      </c>
      <c r="E20" s="1626"/>
    </row>
    <row r="21" spans="1:5" ht="15.75" thickBot="1">
      <c r="A21" s="1626"/>
      <c r="B21" s="3242"/>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27003</v>
      </c>
      <c r="C2" s="2" t="s">
        <v>133</v>
      </c>
      <c r="D2" s="204"/>
      <c r="E2" s="204"/>
      <c r="F2" s="204"/>
      <c r="G2" s="204"/>
    </row>
    <row r="3" spans="1:7" s="205" customFormat="1" ht="18" customHeight="1" thickBot="1">
      <c r="A3" s="208" t="s">
        <v>85</v>
      </c>
      <c r="B3" s="209">
        <f ca="1">ROUND(B2*10000/'数据-汇总表'!E3,0)</f>
        <v>32287</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0</v>
      </c>
      <c r="F9" s="226"/>
      <c r="G9" s="231"/>
    </row>
    <row r="10" spans="1:7" s="219" customFormat="1" ht="13.5" customHeight="1">
      <c r="A10" s="867" t="s">
        <v>620</v>
      </c>
      <c r="B10" s="229" t="s">
        <v>94</v>
      </c>
      <c r="C10" s="230">
        <f>ROUND(D10*E10/10000,0)</f>
        <v>159</v>
      </c>
      <c r="D10" s="934">
        <f>'数据-汇总表'!E6</f>
        <v>8363.3700000000008</v>
      </c>
      <c r="E10" s="230">
        <f>'数据-取费表'!B28</f>
        <v>190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167</v>
      </c>
      <c r="D19" s="938">
        <f>'数据-汇总表'!E3</f>
        <v>8363.3700000000008</v>
      </c>
      <c r="E19" s="216">
        <f>'数据-取费表'!B31</f>
        <v>200</v>
      </c>
      <c r="F19" s="236"/>
      <c r="G19" s="1" t="s">
        <v>861</v>
      </c>
    </row>
    <row r="20" spans="1:7" s="219" customFormat="1" ht="13.5" customHeight="1">
      <c r="A20" s="865" t="s">
        <v>844</v>
      </c>
      <c r="B20" s="215" t="s">
        <v>104</v>
      </c>
      <c r="C20" s="237">
        <f>ROUND((C5+C19)*F20,0)</f>
        <v>416</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882</v>
      </c>
      <c r="D22" s="240">
        <f ca="1">C26</f>
        <v>4.0000000000000002E-4</v>
      </c>
      <c r="E22" s="241" t="s">
        <v>126</v>
      </c>
      <c r="F22" s="242">
        <f ca="1">'数据-取费表'!B40</f>
        <v>4.2000000000000003E-2</v>
      </c>
      <c r="G22" s="1179" t="str">
        <f>IF('数据-取费表'!B22&lt;=1,"单利计息","复利计息")</f>
        <v>单利计息</v>
      </c>
    </row>
    <row r="23" spans="1:7" s="219" customFormat="1" ht="13.5" customHeight="1">
      <c r="A23" s="868" t="s">
        <v>613</v>
      </c>
      <c r="B23" s="220" t="s">
        <v>848</v>
      </c>
      <c r="C23" s="1217">
        <f ca="1">ROUND(IF('数据-取费表'!B22&lt;=1,C5*F22*'数据-取费表'!B23,C5*(POWER((1+F22),'数据-取费表'!B23)-1)),0)</f>
        <v>866</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7</v>
      </c>
      <c r="D24" s="243"/>
      <c r="E24" s="243"/>
      <c r="F24" s="244"/>
      <c r="G24" s="245" t="s">
        <v>109</v>
      </c>
    </row>
    <row r="25" spans="1:7" s="219" customFormat="1" ht="24">
      <c r="A25" s="868" t="s">
        <v>612</v>
      </c>
      <c r="B25" s="220" t="s">
        <v>845</v>
      </c>
      <c r="C25" s="1217">
        <f ca="1">ROUND(IF('数据-取费表'!B22&lt;=1,C20*F22*'数据-取费表'!B23/2,C20*(POWER((1+F22),'数据-取费表'!B23/2)-1)),0)</f>
        <v>9</v>
      </c>
      <c r="D25" s="243"/>
      <c r="E25" s="246"/>
      <c r="F25" s="244"/>
      <c r="G25" s="247" t="s">
        <v>110</v>
      </c>
    </row>
    <row r="26" spans="1:7" s="219" customFormat="1">
      <c r="A26" s="868" t="s">
        <v>614</v>
      </c>
      <c r="B26" s="220" t="s">
        <v>847</v>
      </c>
      <c r="C26" s="243">
        <f ca="1">ROUND(IF('数据-取费表'!B22&lt;=1,F21*F22*'数据-取费表'!B23/2,F21*(POWER((1+F22),'数据-取费表'!B23/2)-1)),4)</f>
        <v>4.0000000000000002E-4</v>
      </c>
      <c r="D26" s="243"/>
      <c r="E26" s="246"/>
      <c r="F26" s="244"/>
      <c r="G26" s="248"/>
    </row>
    <row r="27" spans="1:7" s="219" customFormat="1" ht="24.75">
      <c r="A27" s="865" t="s">
        <v>606</v>
      </c>
      <c r="B27" s="249" t="s">
        <v>112</v>
      </c>
      <c r="C27" s="250">
        <f>C28</f>
        <v>1060</v>
      </c>
      <c r="D27" s="240">
        <f>C29</f>
        <v>1E-3</v>
      </c>
      <c r="E27" s="241" t="s">
        <v>126</v>
      </c>
      <c r="F27" s="251">
        <f>'数据-取费表'!Q16</f>
        <v>0.05</v>
      </c>
      <c r="G27" s="252" t="s">
        <v>856</v>
      </c>
    </row>
    <row r="28" spans="1:7" s="219" customFormat="1" ht="13.5" customHeight="1">
      <c r="A28" s="868" t="s">
        <v>613</v>
      </c>
      <c r="B28" s="253" t="s">
        <v>849</v>
      </c>
      <c r="C28" s="254">
        <f>ROUND((C5+C19+C20)*F27*'数据-取费表'!B21/'数据-取费表'!B20,0)</f>
        <v>1060</v>
      </c>
      <c r="D28" s="240"/>
      <c r="E28" s="241"/>
      <c r="F28" s="251"/>
      <c r="G28" s="252"/>
    </row>
    <row r="29" spans="1:7" s="219" customFormat="1" ht="13.5" customHeight="1">
      <c r="A29" s="868" t="s">
        <v>611</v>
      </c>
      <c r="B29" s="253" t="s">
        <v>850</v>
      </c>
      <c r="C29" s="243">
        <f>ROUND(C21*F27*'数据-取费表'!B21/'数据-取费表'!B20,4)</f>
        <v>1E-3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24978</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2352</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2091</v>
      </c>
      <c r="D34" s="222"/>
      <c r="E34" s="225"/>
      <c r="F34" s="262">
        <f>IF('数据-取费表'!B24=0,1,'数据-取费表'!N16)</f>
        <v>1</v>
      </c>
      <c r="G34" s="224" t="s">
        <v>116</v>
      </c>
    </row>
    <row r="35" spans="1:7" ht="13.5" customHeight="1">
      <c r="A35" s="868" t="s">
        <v>615</v>
      </c>
      <c r="B35" s="220" t="s">
        <v>60</v>
      </c>
      <c r="C35" s="225">
        <f>ROUND(C34*F35,0)</f>
        <v>63</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167</v>
      </c>
      <c r="D37" s="222">
        <f>'数据-汇总表'!E3</f>
        <v>8363.3700000000008</v>
      </c>
      <c r="E37" s="254">
        <f>'数据-取费表'!B35</f>
        <v>200</v>
      </c>
      <c r="F37" s="264"/>
      <c r="G37" s="266" t="s">
        <v>119</v>
      </c>
    </row>
    <row r="38" spans="1:7" ht="13.5" customHeight="1">
      <c r="A38" s="868" t="s">
        <v>618</v>
      </c>
      <c r="B38" s="220" t="s">
        <v>63</v>
      </c>
      <c r="C38" s="225">
        <f>ROUND(C34*F38,0)</f>
        <v>31</v>
      </c>
      <c r="D38" s="225"/>
      <c r="E38" s="225"/>
      <c r="F38" s="264">
        <f>'数据-取费表'!B36</f>
        <v>1.4999999999999999E-2</v>
      </c>
      <c r="G38" s="224" t="s">
        <v>117</v>
      </c>
    </row>
    <row r="39" spans="1:7" s="219" customFormat="1" ht="13.5" customHeight="1">
      <c r="A39" s="865" t="s">
        <v>602</v>
      </c>
      <c r="B39" s="215" t="s">
        <v>104</v>
      </c>
      <c r="C39" s="237">
        <f>ROUND(C33*F20,0)</f>
        <v>47</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50</v>
      </c>
      <c r="D41" s="240">
        <f ca="1">C44</f>
        <v>4.0000000000000002E-4</v>
      </c>
      <c r="E41" s="241" t="s">
        <v>129</v>
      </c>
      <c r="F41" s="242"/>
      <c r="G41" s="1179" t="str">
        <f>IF('数据-取费表'!B22&lt;=1,"单利计息","复利计息")</f>
        <v>单利计息</v>
      </c>
    </row>
    <row r="42" spans="1:7" ht="13.5" customHeight="1">
      <c r="A42" s="868" t="s">
        <v>613</v>
      </c>
      <c r="B42" s="220" t="s">
        <v>848</v>
      </c>
      <c r="C42" s="243">
        <f ca="1">ROUND(IF('数据-取费表'!B22&lt;=1,C33*F22*'数据-取费表'!B21/2,C33*(POWER((1+F22),'数据-取费表'!B21/2)-1)),0)</f>
        <v>49</v>
      </c>
      <c r="D42" s="243"/>
      <c r="E42" s="243"/>
      <c r="F42" s="244"/>
      <c r="G42" s="3428" t="s">
        <v>121</v>
      </c>
    </row>
    <row r="43" spans="1:7" ht="13.5" customHeight="1">
      <c r="A43" s="868" t="s">
        <v>611</v>
      </c>
      <c r="B43" s="220" t="s">
        <v>851</v>
      </c>
      <c r="C43" s="243">
        <f ca="1">ROUND(IF('数据-取费表'!B22&lt;=1,C39*F22*'数据-取费表'!B21/2,C39*(POWER((1+F22),'数据-取费表'!B21/2)-1)),0)</f>
        <v>1</v>
      </c>
      <c r="D43" s="243"/>
      <c r="E43" s="243"/>
      <c r="F43" s="244"/>
      <c r="G43" s="3429"/>
    </row>
    <row r="44" spans="1:7" ht="13.5" customHeight="1">
      <c r="A44" s="868" t="s">
        <v>612</v>
      </c>
      <c r="B44" s="220" t="s">
        <v>853</v>
      </c>
      <c r="C44" s="243">
        <f ca="1">ROUND(IF('数据-取费表'!B22&lt;=1,C40*F22*'数据-取费表'!B21/2,C40*(POWER((1+F22),'数据-取费表'!B21/2)-1)),4)</f>
        <v>4.0000000000000002E-4</v>
      </c>
      <c r="D44" s="243"/>
      <c r="E44" s="243"/>
      <c r="F44" s="244"/>
      <c r="G44" s="3430"/>
    </row>
    <row r="45" spans="1:7" s="219" customFormat="1" ht="13.5" customHeight="1">
      <c r="A45" s="865" t="s">
        <v>605</v>
      </c>
      <c r="B45" s="249" t="s">
        <v>112</v>
      </c>
      <c r="C45" s="250">
        <f>C46</f>
        <v>120</v>
      </c>
      <c r="D45" s="240">
        <f>C47</f>
        <v>1E-3</v>
      </c>
      <c r="E45" s="241" t="s">
        <v>129</v>
      </c>
      <c r="F45" s="251"/>
      <c r="G45" s="252" t="s">
        <v>859</v>
      </c>
    </row>
    <row r="46" spans="1:7" s="219" customFormat="1" ht="13.5" customHeight="1">
      <c r="A46" s="868" t="s">
        <v>613</v>
      </c>
      <c r="B46" s="253" t="s">
        <v>852</v>
      </c>
      <c r="C46" s="254">
        <f>ROUND((C33+C39)*F27,0)</f>
        <v>120</v>
      </c>
      <c r="D46" s="268"/>
      <c r="E46" s="241"/>
      <c r="F46" s="251"/>
      <c r="G46" s="252"/>
    </row>
    <row r="47" spans="1:7" s="219" customFormat="1" ht="13.5" customHeight="1">
      <c r="A47" s="868" t="s">
        <v>611</v>
      </c>
      <c r="B47" s="253" t="s">
        <v>854</v>
      </c>
      <c r="C47" s="243">
        <f>ROUND(C40*F27,4)</f>
        <v>1E-3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2774</v>
      </c>
      <c r="D49" s="237"/>
      <c r="E49" s="237"/>
      <c r="F49" s="269"/>
      <c r="G49" s="239" t="s">
        <v>860</v>
      </c>
    </row>
    <row r="50" spans="1:7" s="263" customFormat="1" ht="24">
      <c r="A50" s="865" t="s">
        <v>608</v>
      </c>
      <c r="B50" s="215" t="s">
        <v>124</v>
      </c>
      <c r="C50" s="237"/>
      <c r="D50" s="237"/>
      <c r="E50" s="237"/>
      <c r="F50" s="269">
        <f>IF('数据-取费表'!B24=0,'数据-取费表'!N16,1)</f>
        <v>0.73</v>
      </c>
      <c r="G50" s="252" t="s">
        <v>125</v>
      </c>
    </row>
    <row r="51" spans="1:7" ht="16.5" customHeight="1">
      <c r="A51" s="865" t="s">
        <v>609</v>
      </c>
      <c r="B51" s="215" t="s">
        <v>132</v>
      </c>
      <c r="C51" s="237">
        <f ca="1">ROUND(C49*F50,0)</f>
        <v>2025</v>
      </c>
      <c r="D51" s="237"/>
      <c r="E51" s="237"/>
      <c r="F51" s="269"/>
      <c r="G51" s="239" t="s">
        <v>64</v>
      </c>
    </row>
    <row r="52" spans="1:7" s="213" customFormat="1" ht="16.5" thickBot="1">
      <c r="A52" s="270" t="s">
        <v>65</v>
      </c>
      <c r="B52" s="271"/>
      <c r="C52" s="272">
        <f ca="1">C31+C51</f>
        <v>27003</v>
      </c>
      <c r="D52" s="271"/>
      <c r="E52" s="271"/>
      <c r="F52" s="271"/>
      <c r="G52" s="273"/>
    </row>
    <row r="55" spans="1:7" ht="15">
      <c r="B55" s="275" t="s">
        <v>66</v>
      </c>
      <c r="C55" s="276"/>
    </row>
    <row r="56" spans="1:7">
      <c r="B56" s="278" t="s">
        <v>67</v>
      </c>
      <c r="C56" s="279">
        <f ca="1">ROUND(C51/C52,3)</f>
        <v>7.4999999999999997E-2</v>
      </c>
    </row>
    <row r="57" spans="1:7">
      <c r="B57" s="278" t="s">
        <v>68</v>
      </c>
      <c r="C57" s="280">
        <f ca="1">1-C56</f>
        <v>0.92500000000000004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82" t="s">
        <v>156</v>
      </c>
      <c r="B1" s="3582"/>
      <c r="C1" s="3582"/>
      <c r="D1" s="3582"/>
      <c r="E1" s="3582"/>
      <c r="F1" s="358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83" t="s">
        <v>169</v>
      </c>
      <c r="B2" s="3583"/>
      <c r="C2" s="3583"/>
      <c r="D2" s="3583"/>
      <c r="E2" s="3583"/>
      <c r="F2" s="358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8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82" t="s">
        <v>658</v>
      </c>
      <c r="B1" s="358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44677</v>
      </c>
      <c r="D1" s="1422" t="s">
        <v>1028</v>
      </c>
      <c r="E1" s="1417">
        <f>'数据-取费表'!B22</f>
        <v>1</v>
      </c>
      <c r="F1" s="1422" t="s">
        <v>1029</v>
      </c>
      <c r="G1" s="1418">
        <f ca="1">INDIRECT("d"&amp;$K$1)/100</f>
        <v>3.7000000000000005E-2</v>
      </c>
      <c r="H1" s="1422" t="s">
        <v>1059</v>
      </c>
      <c r="I1" s="1418">
        <f ca="1">F4/100</f>
        <v>1.4999999999999999E-2</v>
      </c>
      <c r="J1" s="1423">
        <f>IF(C1&gt;C13,0,MATCH(C1,C$13:C$107,-1))+IF(SUMIF(C13:C107,C1,D13:D107)=0,13,12)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44581</v>
      </c>
      <c r="D13" s="3002">
        <v>3.7</v>
      </c>
      <c r="E13" s="3002">
        <f>D13</f>
        <v>3.7</v>
      </c>
      <c r="F13" s="3002">
        <f>D13</f>
        <v>3.7</v>
      </c>
      <c r="G13" s="3002">
        <f>D13</f>
        <v>3.7</v>
      </c>
      <c r="H13" s="3002">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7"/>
      <c r="C14" s="2998">
        <v>44550</v>
      </c>
      <c r="D14" s="2997">
        <v>3.8</v>
      </c>
      <c r="E14" s="2997">
        <f>D14</f>
        <v>3.8</v>
      </c>
      <c r="F14" s="2997">
        <f>D14</f>
        <v>3.8</v>
      </c>
      <c r="G14" s="2997">
        <f>D14</f>
        <v>3.8</v>
      </c>
      <c r="H14" s="2997">
        <v>4.6500000000000004</v>
      </c>
      <c r="I14" s="2997"/>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43941</v>
      </c>
      <c r="D15" s="2997">
        <v>3.85</v>
      </c>
      <c r="E15" s="2997">
        <v>3.85</v>
      </c>
      <c r="F15" s="2997">
        <v>3.85</v>
      </c>
      <c r="G15" s="2997">
        <v>3.85</v>
      </c>
      <c r="H15" s="2997">
        <v>4.6500000000000004</v>
      </c>
      <c r="I15" s="2997"/>
      <c r="J15" s="2997"/>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43881</v>
      </c>
      <c r="D16" s="2997">
        <v>4.05</v>
      </c>
      <c r="E16" s="2997">
        <v>4.05</v>
      </c>
      <c r="F16" s="2997">
        <v>4.05</v>
      </c>
      <c r="G16" s="2997">
        <v>4.05</v>
      </c>
      <c r="H16" s="2997">
        <v>4.75</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43789</v>
      </c>
      <c r="D17" s="2997">
        <v>4.1500000000000004</v>
      </c>
      <c r="E17" s="2997">
        <v>4.1500000000000004</v>
      </c>
      <c r="F17" s="2997">
        <v>4.1500000000000004</v>
      </c>
      <c r="G17" s="2997">
        <v>4.1500000000000004</v>
      </c>
      <c r="H17" s="2997">
        <v>4.8</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6" t="s">
        <v>2815</v>
      </c>
      <c r="C19" s="2999">
        <v>43697</v>
      </c>
      <c r="D19" s="3000">
        <v>4.25</v>
      </c>
      <c r="E19" s="3000">
        <v>4.25</v>
      </c>
      <c r="F19" s="3000">
        <v>4.25</v>
      </c>
      <c r="G19" s="3000">
        <v>4.25</v>
      </c>
      <c r="H19" s="3000">
        <v>4.8499999999999996</v>
      </c>
      <c r="I19" s="3000"/>
      <c r="J19" s="3000"/>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3"/>
      <c r="B20" s="3004"/>
      <c r="C20" s="3005">
        <v>42301</v>
      </c>
      <c r="D20" s="3006">
        <v>4.3499999999999996</v>
      </c>
      <c r="E20" s="3006">
        <v>4.3499999999999996</v>
      </c>
      <c r="F20" s="3006">
        <v>4.75</v>
      </c>
      <c r="G20" s="3006">
        <v>4.75</v>
      </c>
      <c r="H20" s="3006">
        <v>4.9000000000000004</v>
      </c>
      <c r="I20" s="3006"/>
      <c r="J20" s="3006"/>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6" sqref="O26"/>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1365</v>
      </c>
      <c r="B2" s="3251" t="s">
        <v>1366</v>
      </c>
      <c r="C2" s="3251" t="s">
        <v>1367</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52"/>
      <c r="B3" s="3252"/>
      <c r="C3" s="3252"/>
      <c r="D3" s="943" t="s">
        <v>1362</v>
      </c>
      <c r="E3" s="943" t="s">
        <v>1368</v>
      </c>
      <c r="F3" s="943" t="s">
        <v>1362</v>
      </c>
      <c r="G3" s="943" t="s">
        <v>1363</v>
      </c>
      <c r="H3" s="943" t="s">
        <v>1362</v>
      </c>
      <c r="I3" s="943" t="s">
        <v>1363</v>
      </c>
    </row>
    <row r="4" spans="1:9" ht="15">
      <c r="A4" s="1640" t="str">
        <f>项目基本情况!S2</f>
        <v>北京市房地产</v>
      </c>
      <c r="B4" s="943">
        <f>项目基本情况!C17</f>
        <v>8363.3700000000008</v>
      </c>
      <c r="C4" s="943">
        <f>项目基本情况!C18</f>
        <v>18753.7</v>
      </c>
      <c r="D4" s="943">
        <f ca="1">结果表!D118</f>
        <v>2554</v>
      </c>
      <c r="E4" s="943">
        <f ca="1">结果表!E118</f>
        <v>3054</v>
      </c>
      <c r="F4" s="943">
        <f ca="1">结果表!F118</f>
        <v>2755</v>
      </c>
      <c r="G4" s="943">
        <f ca="1">结果表!G118</f>
        <v>3294</v>
      </c>
      <c r="H4" s="943">
        <f ca="1">结果表!H118</f>
        <v>5309</v>
      </c>
      <c r="I4" s="943">
        <f ca="1">结果表!I118</f>
        <v>6348</v>
      </c>
    </row>
    <row r="5" spans="1:9" ht="30" customHeight="1">
      <c r="A5" s="3252" t="s">
        <v>1364</v>
      </c>
      <c r="B5" s="3252"/>
      <c r="C5" s="3252"/>
      <c r="D5" s="3253" t="str">
        <f ca="1">结果表!D119</f>
        <v>贰仟伍佰伍拾肆万元整</v>
      </c>
      <c r="E5" s="3253"/>
      <c r="F5" s="3253" t="str">
        <f ca="1">结果表!F119</f>
        <v>贰仟柒佰伍拾伍万元整</v>
      </c>
      <c r="G5" s="3253"/>
      <c r="H5" s="3253" t="str">
        <f ca="1">结果表!H119</f>
        <v>伍仟叁佰零玖万元整</v>
      </c>
      <c r="I5" s="3253"/>
    </row>
    <row r="6" spans="1:9" ht="15.75">
      <c r="A6" s="3254" t="str">
        <f>结果表!A120</f>
        <v>估价师知悉的法定优先受偿款</v>
      </c>
      <c r="B6" s="3254"/>
      <c r="C6" s="3254"/>
      <c r="D6" s="3254">
        <f>结果表!D120</f>
        <v>0</v>
      </c>
      <c r="E6" s="3254"/>
      <c r="F6" s="3254"/>
      <c r="G6" s="3254"/>
      <c r="H6" s="3254"/>
      <c r="I6" s="3254"/>
    </row>
    <row r="7" spans="1:9" ht="15">
      <c r="A7" s="3252" t="s">
        <v>1364</v>
      </c>
      <c r="B7" s="3252"/>
      <c r="C7" s="3252"/>
      <c r="D7" s="3255" t="str">
        <f>结果表!D121</f>
        <v>零元整</v>
      </c>
      <c r="E7" s="3256"/>
      <c r="F7" s="3256"/>
      <c r="G7" s="3256"/>
      <c r="H7" s="3256"/>
      <c r="I7" s="3257"/>
    </row>
    <row r="8" spans="1:9" ht="15.75">
      <c r="A8" s="3254" t="str">
        <f>结果表!A122</f>
        <v>房地产抵押价值</v>
      </c>
      <c r="B8" s="3254"/>
      <c r="C8" s="3254"/>
      <c r="D8" s="3254">
        <f ca="1">结果表!D122</f>
        <v>5309</v>
      </c>
      <c r="E8" s="3254"/>
      <c r="F8" s="3254"/>
      <c r="G8" s="3254"/>
      <c r="H8" s="3254"/>
      <c r="I8" s="3254"/>
    </row>
    <row r="9" spans="1:9" ht="15">
      <c r="A9" s="3252" t="s">
        <v>1364</v>
      </c>
      <c r="B9" s="3252"/>
      <c r="C9" s="3252"/>
      <c r="D9" s="3253" t="str">
        <f ca="1">结果表!D123</f>
        <v>伍仟叁佰零玖万元整</v>
      </c>
      <c r="E9" s="3253"/>
      <c r="F9" s="3253"/>
      <c r="G9" s="3253"/>
      <c r="H9" s="3253"/>
      <c r="I9" s="3253"/>
    </row>
    <row r="10" spans="1:9" ht="15.75">
      <c r="A10" s="3254" t="str">
        <f>结果表!A124</f>
        <v/>
      </c>
      <c r="B10" s="3254"/>
      <c r="C10" s="3254"/>
      <c r="D10" s="3254" t="str">
        <f>结果表!D124</f>
        <v>——</v>
      </c>
      <c r="E10" s="3254"/>
      <c r="F10" s="3254"/>
      <c r="G10" s="3254"/>
      <c r="H10" s="3254"/>
      <c r="I10" s="3254"/>
    </row>
    <row r="11" spans="1:9" ht="15">
      <c r="A11" s="3252" t="s">
        <v>1364</v>
      </c>
      <c r="B11" s="3252"/>
      <c r="C11" s="3252"/>
      <c r="D11" s="3253" t="e">
        <f>结果表!D125</f>
        <v>#VALUE!</v>
      </c>
      <c r="E11" s="3253"/>
      <c r="F11" s="3253"/>
      <c r="G11" s="3253"/>
      <c r="H11" s="3253"/>
      <c r="I11" s="3253"/>
    </row>
    <row r="12" spans="1:9" ht="15.75">
      <c r="A12" s="3254" t="str">
        <f>结果表!A126</f>
        <v/>
      </c>
      <c r="B12" s="3254"/>
      <c r="C12" s="3254"/>
      <c r="D12" s="3254" t="str">
        <f>结果表!D126</f>
        <v>——</v>
      </c>
      <c r="E12" s="3254"/>
      <c r="F12" s="3254"/>
      <c r="G12" s="3254"/>
      <c r="H12" s="3254"/>
      <c r="I12" s="3254"/>
    </row>
    <row r="13" spans="1:9" ht="15.75" thickBot="1">
      <c r="A13" s="3258" t="s">
        <v>1364</v>
      </c>
      <c r="B13" s="3258"/>
      <c r="C13" s="3258"/>
      <c r="D13" s="3259" t="e">
        <f>结果表!D127</f>
        <v>#VALUE!</v>
      </c>
      <c r="E13" s="3259"/>
      <c r="F13" s="3259"/>
      <c r="G13" s="3259"/>
      <c r="H13" s="3259"/>
      <c r="I13" s="3259"/>
    </row>
    <row r="14" spans="1:9" ht="15" thickTop="1">
      <c r="A14" s="3260" t="s">
        <v>1369</v>
      </c>
      <c r="B14" s="3260"/>
      <c r="C14" s="3260"/>
      <c r="D14" s="3260"/>
      <c r="E14" s="3260"/>
      <c r="F14" s="3260"/>
      <c r="G14" s="3260"/>
      <c r="H14" s="3260"/>
      <c r="I14" s="3260"/>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61" t="s">
        <v>1386</v>
      </c>
      <c r="B1" s="3261"/>
      <c r="C1" s="3261"/>
      <c r="D1" s="3261"/>
    </row>
    <row r="2" spans="1:4" ht="18">
      <c r="A2" s="3262" t="s">
        <v>1370</v>
      </c>
      <c r="B2" s="3262"/>
      <c r="C2" s="3262"/>
      <c r="D2" s="3262"/>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62" t="s">
        <v>1376</v>
      </c>
      <c r="B6" s="3262"/>
      <c r="C6" s="3262"/>
      <c r="D6" s="3262"/>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63" t="s">
        <v>1379</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7" t="s">
        <v>1380</v>
      </c>
      <c r="B16" s="3267"/>
      <c r="C16" s="3267"/>
      <c r="D16" s="3267"/>
    </row>
    <row r="17" spans="1:4" ht="144" customHeight="1">
      <c r="A17" s="3267" t="s">
        <v>1381</v>
      </c>
      <c r="B17" s="3267"/>
      <c r="C17" s="3267"/>
      <c r="D17" s="3267"/>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8"/>
      <c r="C21" s="3268"/>
      <c r="D21" s="3268"/>
    </row>
    <row r="22" spans="1:4" ht="18.75" customHeight="1">
      <c r="A22" s="3269" t="s">
        <v>1382</v>
      </c>
      <c r="B22" s="3269"/>
      <c r="C22" s="3269"/>
      <c r="D22" s="3269"/>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66">
        <v>42551</v>
      </c>
      <c r="D31" s="32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75" t="s">
        <v>1393</v>
      </c>
      <c r="B15" s="3270" t="s">
        <v>136</v>
      </c>
      <c r="C15" s="3271"/>
    </row>
    <row r="16" spans="1:7" ht="13.5">
      <c r="A16" s="3276"/>
      <c r="B16" s="3270" t="s">
        <v>69</v>
      </c>
      <c r="C16" s="3271"/>
    </row>
    <row r="17" spans="1:3" ht="13.5">
      <c r="A17" s="3276"/>
      <c r="B17" s="3273" t="s">
        <v>1394</v>
      </c>
      <c r="C17" s="1667" t="s">
        <v>1393</v>
      </c>
    </row>
    <row r="18" spans="1:3" ht="13.5">
      <c r="A18" s="3276"/>
      <c r="B18" s="3273"/>
      <c r="C18" s="1667" t="s">
        <v>1395</v>
      </c>
    </row>
    <row r="19" spans="1:3" ht="13.5">
      <c r="A19" s="3276"/>
      <c r="B19" s="3273"/>
      <c r="C19" s="1667" t="s">
        <v>1396</v>
      </c>
    </row>
    <row r="20" spans="1:3" ht="13.5">
      <c r="A20" s="3277"/>
      <c r="B20" s="3272" t="s">
        <v>1397</v>
      </c>
      <c r="C20" s="3271"/>
    </row>
    <row r="21" spans="1:3" ht="13.5">
      <c r="A21" s="1668" t="s">
        <v>1398</v>
      </c>
      <c r="B21" s="1669"/>
      <c r="C21" s="1670"/>
    </row>
    <row r="22" spans="1:3" ht="13.5">
      <c r="A22" s="3274" t="s">
        <v>1399</v>
      </c>
      <c r="B22" s="3272" t="s">
        <v>1400</v>
      </c>
      <c r="C22" s="3271"/>
    </row>
    <row r="23" spans="1:3" ht="13.5">
      <c r="A23" s="3274"/>
      <c r="B23" s="3272" t="s">
        <v>1401</v>
      </c>
      <c r="C23" s="3271"/>
    </row>
    <row r="24" spans="1:3" ht="13.5">
      <c r="A24" s="3274"/>
      <c r="B24" s="3272" t="s">
        <v>1402</v>
      </c>
      <c r="C24" s="3271"/>
    </row>
    <row r="25" spans="1:3" ht="13.5">
      <c r="A25" s="3274"/>
      <c r="B25" s="3273" t="s">
        <v>1403</v>
      </c>
      <c r="C25" s="1667" t="s">
        <v>1404</v>
      </c>
    </row>
    <row r="26" spans="1:3" ht="13.5">
      <c r="A26" s="3274"/>
      <c r="B26" s="3273"/>
      <c r="C26" s="1667" t="s">
        <v>1405</v>
      </c>
    </row>
    <row r="27" spans="1:3" ht="13.5">
      <c r="A27" s="3274"/>
      <c r="B27" s="3273"/>
      <c r="C27" s="1667" t="s">
        <v>1406</v>
      </c>
    </row>
    <row r="28" spans="1:3" ht="13.5">
      <c r="A28" s="3274"/>
      <c r="B28" s="3273"/>
      <c r="C28" s="1667" t="s">
        <v>1407</v>
      </c>
    </row>
    <row r="29" spans="1:3" ht="13.5">
      <c r="A29" s="3274"/>
      <c r="B29" s="3273"/>
      <c r="C29" s="1667" t="s">
        <v>1408</v>
      </c>
    </row>
    <row r="30" spans="1:3" ht="13.5">
      <c r="A30" s="3274"/>
      <c r="B30" s="3273"/>
      <c r="C30" s="1667" t="s">
        <v>1409</v>
      </c>
    </row>
    <row r="31" spans="1:3" ht="13.5">
      <c r="A31" s="3274"/>
      <c r="B31" s="3273"/>
      <c r="C31" s="1667" t="s">
        <v>1410</v>
      </c>
    </row>
    <row r="32" spans="1:3" ht="13.5">
      <c r="A32" s="3274"/>
      <c r="B32" s="3273"/>
      <c r="C32" s="1667" t="s">
        <v>1411</v>
      </c>
    </row>
    <row r="33" spans="1:3" ht="13.5">
      <c r="A33" s="3274"/>
      <c r="B33" s="3273"/>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44677</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f ca="1">IF(C4&lt;B2,"已过期",1119970066)</f>
        <v>1119970066</v>
      </c>
      <c r="C4" s="2518">
        <v>44876</v>
      </c>
      <c r="D4" s="2519" t="str">
        <f ca="1">A4&amp;"（注册号："&amp;B4&amp;"）"</f>
        <v>梁津（注册号：1119970066）</v>
      </c>
      <c r="E4" s="2520" t="s">
        <v>2649</v>
      </c>
      <c r="F4" s="1424">
        <f ca="1">IF(G4&lt;B2,"已过期",96010014)</f>
        <v>96010014</v>
      </c>
      <c r="G4" s="2521">
        <v>47118</v>
      </c>
      <c r="H4" s="2522" t="str">
        <f ca="1">E4&amp;"（注册号："&amp;F4&amp;"）"</f>
        <v>梁津（注册号：96010014）</v>
      </c>
    </row>
    <row r="5" spans="1:8" ht="24" customHeight="1">
      <c r="A5" s="1424" t="s">
        <v>2650</v>
      </c>
      <c r="B5" s="1424">
        <f ca="1">IF(C5&lt;B2,"已过期",1119970111)</f>
        <v>1119970111</v>
      </c>
      <c r="C5" s="2518">
        <v>44876</v>
      </c>
      <c r="D5" s="2519" t="str">
        <f t="shared" ref="D5:D15" ca="1" si="0">A5&amp;"（注册号："&amp;B5&amp;"）"</f>
        <v>叶凌（注册号：1119970111）</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f ca="1">IF(C7&lt;B2,"已过期",1120000080)</f>
        <v>1120000080</v>
      </c>
      <c r="C7" s="2518">
        <v>44876</v>
      </c>
      <c r="D7" s="2519" t="str">
        <f t="shared" ca="1" si="0"/>
        <v>欧红伟（注册号：1120000080）</v>
      </c>
      <c r="E7" s="2520" t="s">
        <v>2652</v>
      </c>
      <c r="F7" s="1424">
        <f ca="1">IF(G7&lt;B2,"已过期",2000110082)</f>
        <v>2000110082</v>
      </c>
      <c r="G7" s="2521">
        <v>46387</v>
      </c>
      <c r="H7" s="2522" t="str">
        <f t="shared" ca="1" si="1"/>
        <v>欧红伟（注册号：2000110082）</v>
      </c>
    </row>
    <row r="8" spans="1:8" ht="24" customHeight="1">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f ca="1">IF(C11&lt;B2,"已过期",1120070131)</f>
        <v>1120070131</v>
      </c>
      <c r="C11" s="2518">
        <v>44849</v>
      </c>
      <c r="D11" s="2519" t="str">
        <f t="shared" ca="1" si="0"/>
        <v>郑燚（注册号：1120070131）</v>
      </c>
      <c r="E11" s="2520" t="s">
        <v>2656</v>
      </c>
      <c r="F11" s="1424">
        <f ca="1">IF(G11&lt;B2,"已过期",2014110011)</f>
        <v>2014110011</v>
      </c>
      <c r="G11" s="2521">
        <v>49302</v>
      </c>
      <c r="H11" s="2522" t="str">
        <f t="shared" ca="1" si="1"/>
        <v>郑燚（注册号：2014110011）</v>
      </c>
    </row>
    <row r="12" spans="1:8" ht="24" customHeight="1">
      <c r="A12" s="1424" t="s">
        <v>2657</v>
      </c>
      <c r="B12" s="1424">
        <f ca="1">IF(C12&lt;B2,"已过期",1120040230)</f>
        <v>1120040230</v>
      </c>
      <c r="C12" s="2523">
        <v>44864</v>
      </c>
      <c r="D12" s="2519" t="str">
        <f t="shared" ca="1" si="0"/>
        <v>苏海（注册号：1120040230）</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2943</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78" t="s">
        <v>2661</v>
      </c>
      <c r="B17" s="3278"/>
      <c r="C17" s="3278"/>
      <c r="D17" s="3278"/>
      <c r="E17" s="3278"/>
      <c r="F17" s="3278"/>
      <c r="G17" s="3278"/>
      <c r="H17" s="3278"/>
    </row>
    <row r="18" spans="1:8" ht="24" customHeight="1">
      <c r="A18" s="3279" t="s">
        <v>2662</v>
      </c>
      <c r="B18" s="3279"/>
      <c r="C18" s="3279"/>
      <c r="D18" s="2516"/>
      <c r="E18" s="3280" t="s">
        <v>2663</v>
      </c>
      <c r="F18" s="3279"/>
      <c r="G18" s="3279"/>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2022-04-26T02:58:27Z</dcterms:modified>
</cp:coreProperties>
</file>