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6"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比较法-办公" sheetId="34"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表" sheetId="77" r:id="rId45"/>
    <sheet name="Sheet1" sheetId="78" r:id="rId46"/>
  </sheets>
  <definedNames>
    <definedName name="_xlnm._FilterDatabase" localSheetId="3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N6" i="1" l="1"/>
  <c r="M18" i="1"/>
  <c r="L18" i="1"/>
  <c r="M13" i="77"/>
  <c r="O13" i="77"/>
  <c r="I13" i="77"/>
  <c r="L13" i="77"/>
  <c r="J13" i="77"/>
  <c r="H13" i="77"/>
  <c r="F13" i="77"/>
  <c r="G12" i="77"/>
  <c r="I12" i="77"/>
  <c r="K12" i="77"/>
  <c r="L3" i="77"/>
  <c r="L5" i="77"/>
  <c r="L6" i="77"/>
  <c r="L7" i="77"/>
  <c r="L8" i="77"/>
  <c r="L9" i="77"/>
  <c r="J7" i="77"/>
  <c r="J8" i="77"/>
  <c r="J9" i="77"/>
  <c r="J3" i="77"/>
  <c r="P12" i="77" l="1"/>
  <c r="N12" i="77"/>
  <c r="L12" i="77"/>
  <c r="F12" i="77"/>
  <c r="J11" i="77"/>
  <c r="J10" i="77"/>
  <c r="J4" i="77"/>
  <c r="L4" i="77"/>
  <c r="J6" i="77"/>
  <c r="J5" i="77"/>
  <c r="J12" i="77" s="1"/>
  <c r="H6" i="77"/>
  <c r="H5" i="77"/>
  <c r="H12" i="77" s="1"/>
  <c r="L11" i="77"/>
  <c r="L10" i="77"/>
  <c r="H4" i="77"/>
  <c r="H7" i="77"/>
  <c r="H8" i="77"/>
  <c r="H9" i="77"/>
  <c r="H10" i="77"/>
  <c r="H11" i="77"/>
  <c r="H3" i="77"/>
  <c r="F4" i="77"/>
  <c r="F5" i="77"/>
  <c r="F6" i="77"/>
  <c r="F7" i="77"/>
  <c r="F8" i="77"/>
  <c r="F9" i="77"/>
  <c r="F10" i="77"/>
  <c r="F11" i="77"/>
  <c r="F3" i="77"/>
  <c r="Q11" i="77"/>
  <c r="Q10" i="77"/>
  <c r="Q9" i="77"/>
  <c r="Q8" i="77"/>
  <c r="Q7" i="77"/>
  <c r="Q6" i="77"/>
  <c r="Q5" i="77"/>
  <c r="Q4" i="77"/>
  <c r="Q3" i="77"/>
  <c r="Q12" i="77" l="1"/>
  <c r="AD6" i="1"/>
  <c r="E12" i="77" l="1"/>
  <c r="D4" i="77"/>
  <c r="C12" i="77" l="1"/>
  <c r="M12" i="77"/>
  <c r="Y6" i="1" l="1"/>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B32" i="71" s="1"/>
  <c r="B33" i="71" s="1"/>
  <c r="S33" i="71" s="1"/>
  <c r="D30" i="71"/>
  <c r="Q29" i="71"/>
  <c r="P29" i="71"/>
  <c r="O29" i="71"/>
  <c r="N29" i="71"/>
  <c r="Q28" i="71"/>
  <c r="P28" i="71"/>
  <c r="O28" i="71"/>
  <c r="N28" i="71"/>
  <c r="Q27" i="71"/>
  <c r="P27" i="71"/>
  <c r="O27" i="71"/>
  <c r="N27" i="71"/>
  <c r="V29" i="71"/>
  <c r="Q26" i="71"/>
  <c r="F27" i="71" s="1"/>
  <c r="F28" i="71" s="1"/>
  <c r="F29" i="71" s="1"/>
  <c r="P26" i="71"/>
  <c r="E27" i="71" s="1"/>
  <c r="E28" i="71" s="1"/>
  <c r="E29" i="71" s="1"/>
  <c r="U29" i="71" s="1"/>
  <c r="O26" i="71"/>
  <c r="C27" i="71"/>
  <c r="C28" i="71" s="1"/>
  <c r="D28" i="71" s="1"/>
  <c r="N26" i="71"/>
  <c r="B27" i="71"/>
  <c r="B28" i="71" s="1"/>
  <c r="B29" i="71" s="1"/>
  <c r="S29" i="71" s="1"/>
  <c r="D26" i="71"/>
  <c r="Q25" i="71"/>
  <c r="P25" i="71"/>
  <c r="O25" i="71"/>
  <c r="N25" i="71"/>
  <c r="Q24" i="71"/>
  <c r="AB24" i="71" s="1"/>
  <c r="P24" i="71"/>
  <c r="AA24" i="71"/>
  <c r="O24" i="71"/>
  <c r="Y24" i="71"/>
  <c r="Z24" i="71" s="1"/>
  <c r="N24" i="71"/>
  <c r="X19" i="71" s="1"/>
  <c r="Q23" i="71"/>
  <c r="P23" i="71"/>
  <c r="O23" i="71"/>
  <c r="Y23" i="71"/>
  <c r="Z23" i="71" s="1"/>
  <c r="N23" i="71"/>
  <c r="F24" i="71"/>
  <c r="F25" i="71" s="1"/>
  <c r="V25" i="71" s="1"/>
  <c r="Q22" i="71"/>
  <c r="F23" i="71" s="1"/>
  <c r="P22" i="71"/>
  <c r="O22" i="71"/>
  <c r="N22" i="71"/>
  <c r="D22" i="71"/>
  <c r="Q21" i="71"/>
  <c r="AB21" i="71" s="1"/>
  <c r="P21" i="71"/>
  <c r="O21" i="71"/>
  <c r="Y21" i="71"/>
  <c r="Z21" i="71" s="1"/>
  <c r="N21" i="71"/>
  <c r="Q20" i="71"/>
  <c r="AB20" i="71"/>
  <c r="P20" i="71"/>
  <c r="O20" i="71"/>
  <c r="N20" i="71"/>
  <c r="Q19" i="71"/>
  <c r="P19" i="71"/>
  <c r="O19" i="71"/>
  <c r="Y19" i="71"/>
  <c r="Z19" i="71" s="1"/>
  <c r="N19" i="71"/>
  <c r="V21" i="71"/>
  <c r="Q18" i="71"/>
  <c r="F19" i="71" s="1"/>
  <c r="F20" i="71" s="1"/>
  <c r="F21" i="71" s="1"/>
  <c r="P18" i="71"/>
  <c r="AA16" i="71" s="1"/>
  <c r="O18" i="71"/>
  <c r="N18" i="71"/>
  <c r="X18" i="71" s="1"/>
  <c r="D18" i="71"/>
  <c r="Q17" i="71"/>
  <c r="AB12" i="71" s="1"/>
  <c r="P17" i="71"/>
  <c r="O17" i="71"/>
  <c r="Y17" i="71"/>
  <c r="Z17" i="71" s="1"/>
  <c r="N17" i="71"/>
  <c r="X9" i="71" s="1"/>
  <c r="Q16" i="71"/>
  <c r="AB16" i="71"/>
  <c r="P16" i="71"/>
  <c r="O16" i="71"/>
  <c r="Y15" i="71" s="1"/>
  <c r="Z15" i="71" s="1"/>
  <c r="N16" i="71"/>
  <c r="Q15" i="71"/>
  <c r="P15" i="71"/>
  <c r="O15" i="71"/>
  <c r="N15" i="71"/>
  <c r="Q14" i="71"/>
  <c r="F15" i="71" s="1"/>
  <c r="F16" i="71" s="1"/>
  <c r="F17" i="71" s="1"/>
  <c r="V17" i="71" s="1"/>
  <c r="P14" i="71"/>
  <c r="O14" i="71"/>
  <c r="N14" i="71"/>
  <c r="D14" i="71"/>
  <c r="O13" i="71"/>
  <c r="N13" i="71"/>
  <c r="B15" i="71"/>
  <c r="B16" i="71" s="1"/>
  <c r="B17" i="71"/>
  <c r="S17" i="71" s="1"/>
  <c r="B19" i="71"/>
  <c r="B20" i="71" s="1"/>
  <c r="B21" i="71" s="1"/>
  <c r="S21" i="71" s="1"/>
  <c r="E23" i="71"/>
  <c r="AA18" i="71"/>
  <c r="C15" i="71"/>
  <c r="Y14" i="71"/>
  <c r="Z14" i="71" s="1"/>
  <c r="AA17" i="71"/>
  <c r="C19" i="71"/>
  <c r="C20" i="71"/>
  <c r="D20" i="71" s="1"/>
  <c r="X21" i="71"/>
  <c r="C23" i="71"/>
  <c r="C24" i="71" s="1"/>
  <c r="D24" i="71" s="1"/>
  <c r="Y22" i="71"/>
  <c r="Z22" i="71"/>
  <c r="X23" i="71"/>
  <c r="F36" i="71"/>
  <c r="F37" i="71" s="1"/>
  <c r="V37" i="71"/>
  <c r="B13" i="71"/>
  <c r="B12" i="71"/>
  <c r="B11" i="71" s="1"/>
  <c r="C16" i="71"/>
  <c r="D15" i="71"/>
  <c r="D19" i="71"/>
  <c r="D23" i="71"/>
  <c r="D27" i="71"/>
  <c r="C36" i="71"/>
  <c r="P13" i="71"/>
  <c r="E41" i="71"/>
  <c r="U41" i="71" s="1"/>
  <c r="E44" i="71"/>
  <c r="E45" i="71" s="1"/>
  <c r="U45" i="71"/>
  <c r="E48" i="71"/>
  <c r="E49" i="71"/>
  <c r="U49" i="71" s="1"/>
  <c r="Q50" i="71"/>
  <c r="U53" i="71"/>
  <c r="E52" i="71"/>
  <c r="E51" i="71" s="1"/>
  <c r="P51" i="71" s="1"/>
  <c r="Q13" i="71"/>
  <c r="C40" i="71"/>
  <c r="D40" i="71" s="1"/>
  <c r="D39" i="71"/>
  <c r="C44" i="71"/>
  <c r="D44" i="71" s="1"/>
  <c r="D43" i="71"/>
  <c r="C48" i="71"/>
  <c r="C49" i="71" s="1"/>
  <c r="T49" i="71" s="1"/>
  <c r="Q52" i="71"/>
  <c r="T53" i="71"/>
  <c r="O53" i="71"/>
  <c r="D53" i="71"/>
  <c r="C52" i="71"/>
  <c r="O52" i="71" s="1"/>
  <c r="Q53" i="71"/>
  <c r="C56" i="71"/>
  <c r="D56" i="71" s="1"/>
  <c r="E56" i="71"/>
  <c r="E55" i="71"/>
  <c r="C60" i="71"/>
  <c r="C59" i="71" s="1"/>
  <c r="D59" i="71" s="1"/>
  <c r="E60" i="71"/>
  <c r="E59" i="71"/>
  <c r="D61" i="71"/>
  <c r="C64" i="71"/>
  <c r="E64" i="71"/>
  <c r="E63" i="71"/>
  <c r="C68" i="71"/>
  <c r="D68" i="71" s="1"/>
  <c r="C72" i="71"/>
  <c r="S13" i="71"/>
  <c r="F13" i="71"/>
  <c r="F12" i="71"/>
  <c r="F11" i="71" s="1"/>
  <c r="E13" i="71"/>
  <c r="AA12" i="71"/>
  <c r="C51" i="71"/>
  <c r="D52" i="71"/>
  <c r="D48" i="71"/>
  <c r="C67" i="71"/>
  <c r="D67" i="71" s="1"/>
  <c r="D60" i="71"/>
  <c r="D72" i="71"/>
  <c r="C71" i="71"/>
  <c r="D71" i="71" s="1"/>
  <c r="C55" i="71"/>
  <c r="D55" i="71" s="1"/>
  <c r="C45" i="71"/>
  <c r="C41" i="71"/>
  <c r="T41" i="71" s="1"/>
  <c r="P52" i="71"/>
  <c r="C29" i="71"/>
  <c r="T29" i="71" s="1"/>
  <c r="C25" i="71"/>
  <c r="T25" i="71" s="1"/>
  <c r="P50" i="71"/>
  <c r="O50" i="71"/>
  <c r="D25" i="71"/>
  <c r="M19" i="43" s="1"/>
  <c r="D29" i="71"/>
  <c r="D41"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5" i="43"/>
  <c r="S25" i="40"/>
  <c r="S18" i="36"/>
  <c r="U18" i="36"/>
  <c r="H25" i="40"/>
  <c r="J25" i="40"/>
  <c r="H29" i="39"/>
  <c r="AB29" i="39" s="1"/>
  <c r="J29" i="39"/>
  <c r="J18" i="36"/>
  <c r="H18" i="35"/>
  <c r="AB18" i="35" s="1"/>
  <c r="S18" i="35"/>
  <c r="J18" i="35"/>
  <c r="F77" i="37"/>
  <c r="G77" i="37" s="1"/>
  <c r="H21" i="37"/>
  <c r="F21" i="37"/>
  <c r="AA21" i="37" s="1"/>
  <c r="F84" i="34"/>
  <c r="H21" i="34"/>
  <c r="AB21" i="34" s="1"/>
  <c r="H21" i="33"/>
  <c r="U21" i="33" s="1"/>
  <c r="F21" i="33"/>
  <c r="S21" i="21"/>
  <c r="H1" i="69"/>
  <c r="AC25" i="40"/>
  <c r="W25" i="40"/>
  <c r="U29" i="39"/>
  <c r="AC29" i="39"/>
  <c r="W29" i="39"/>
  <c r="AB21" i="37"/>
  <c r="U21" i="37"/>
  <c r="S21" i="37"/>
  <c r="U21" i="34"/>
  <c r="AB21" i="33"/>
  <c r="AA21" i="33"/>
  <c r="S21" i="33"/>
  <c r="U18" i="35"/>
  <c r="AC18" i="35"/>
  <c r="W18" i="35"/>
  <c r="J21" i="37"/>
  <c r="W21" i="37" s="1"/>
  <c r="G84" i="34"/>
  <c r="J21" i="34"/>
  <c r="J21" i="33"/>
  <c r="W21" i="33" s="1"/>
  <c r="H21" i="21"/>
  <c r="F38" i="69"/>
  <c r="E37" i="69"/>
  <c r="F36" i="69"/>
  <c r="F35" i="69"/>
  <c r="F21" i="69"/>
  <c r="C21" i="69" s="1"/>
  <c r="F20" i="69"/>
  <c r="E10" i="69"/>
  <c r="E9" i="69"/>
  <c r="F7" i="69"/>
  <c r="C7" i="69" s="1"/>
  <c r="AC21" i="37"/>
  <c r="AC21" i="33"/>
  <c r="J21" i="21"/>
  <c r="F38" i="68"/>
  <c r="E37" i="68"/>
  <c r="F36" i="68"/>
  <c r="F35" i="68"/>
  <c r="F21" i="68"/>
  <c r="F20" i="68"/>
  <c r="E10" i="68"/>
  <c r="E9" i="68"/>
  <c r="F7" i="68"/>
  <c r="W21" i="21"/>
  <c r="AC21" i="21"/>
  <c r="Q72" i="67"/>
  <c r="Q59" i="67"/>
  <c r="Q58" i="67"/>
  <c r="Q51" i="67"/>
  <c r="J50" i="67"/>
  <c r="M47" i="67"/>
  <c r="J53" i="67" s="1"/>
  <c r="Q52" i="67" s="1"/>
  <c r="D46" i="67"/>
  <c r="F33" i="67"/>
  <c r="F61" i="67"/>
  <c r="F23" i="67"/>
  <c r="D24" i="67" s="1"/>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2" i="43"/>
  <c r="D63"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G5" i="3" s="1"/>
  <c r="B3"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4" i="52"/>
  <c r="B41" i="72" s="1"/>
  <c r="J11" i="39"/>
  <c r="W11" i="39"/>
  <c r="F11" i="39"/>
  <c r="AA11" i="39"/>
  <c r="S11" i="39"/>
  <c r="G4" i="4"/>
  <c r="I4" i="4"/>
  <c r="K5" i="4"/>
  <c r="B47" i="48" s="1"/>
  <c r="N2" i="43"/>
  <c r="AZ20" i="3"/>
  <c r="AZ24" i="3"/>
  <c r="AZ28" i="3"/>
  <c r="AZ32" i="3"/>
  <c r="BL549" i="3"/>
  <c r="AZ549" i="3" s="1"/>
  <c r="AZ502" i="3"/>
  <c r="AZ522"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G29" i="6" s="1"/>
  <c r="BK5" i="3"/>
  <c r="BI5" i="3"/>
  <c r="BG5" i="3"/>
  <c r="BE5" i="3"/>
  <c r="BC5" i="3"/>
  <c r="E8" i="6" s="1"/>
  <c r="E51" i="40" s="1"/>
  <c r="G17" i="3"/>
  <c r="BA17" i="3"/>
  <c r="BT5" i="3"/>
  <c r="AZ350" i="3"/>
  <c r="AZ356" i="3"/>
  <c r="AZ364" i="3"/>
  <c r="AZ368" i="3"/>
  <c r="BA15" i="3"/>
  <c r="BB5" i="3"/>
  <c r="BR5" i="3"/>
  <c r="G28" i="6" s="1"/>
  <c r="AZ384" i="3"/>
  <c r="AZ392" i="3"/>
  <c r="AZ396" i="3"/>
  <c r="AZ394" i="3"/>
  <c r="AZ499"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7" i="43"/>
  <c r="K9" i="1"/>
  <c r="M9" i="1" s="1"/>
  <c r="AE9" i="1"/>
  <c r="D93" i="9"/>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S22" i="31"/>
  <c r="R22" i="31" s="1"/>
  <c r="B21" i="31" s="1"/>
  <c r="J100" i="43"/>
  <c r="AB37" i="40"/>
  <c r="S35" i="40"/>
  <c r="U35"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S30" i="37"/>
  <c r="AC15" i="37"/>
  <c r="J17" i="37"/>
  <c r="W17"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c r="M20" i="67"/>
  <c r="F34" i="15"/>
  <c r="F62" i="15" s="1"/>
  <c r="G13" i="3"/>
  <c r="BA13" i="3"/>
  <c r="E10" i="6"/>
  <c r="BL17" i="3"/>
  <c r="AZ17" i="3" s="1"/>
  <c r="BL13" i="3"/>
  <c r="J56" i="9"/>
  <c r="J57" i="9" s="1"/>
  <c r="J59" i="9" s="1"/>
  <c r="J61" i="9" s="1"/>
  <c r="A24" i="51"/>
  <c r="B18" i="72" s="1"/>
  <c r="U29" i="34"/>
  <c r="E14" i="6"/>
  <c r="E5" i="6"/>
  <c r="D19" i="12" s="1"/>
  <c r="C19" i="12" s="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4" i="43"/>
  <c r="H53" i="43"/>
  <c r="H78"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C52" i="37"/>
  <c r="D52" i="37" s="1"/>
  <c r="E52" i="37" s="1"/>
  <c r="C48" i="35"/>
  <c r="D48" i="35" s="1"/>
  <c r="E48" i="35" s="1"/>
  <c r="F48" i="35" s="1"/>
  <c r="C4" i="12"/>
  <c r="H51" i="43"/>
  <c r="H76" i="43"/>
  <c r="H77" i="43"/>
  <c r="L20" i="6"/>
  <c r="B6" i="1"/>
  <c r="E6" i="1" s="1"/>
  <c r="S8" i="1"/>
  <c r="AR8" i="1" s="1"/>
  <c r="K11" i="1"/>
  <c r="M11" i="1" s="1"/>
  <c r="O11" i="1" s="1"/>
  <c r="AP6" i="1"/>
  <c r="B9" i="1"/>
  <c r="E9" i="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9" i="1"/>
  <c r="T13" i="1"/>
  <c r="C77" i="9"/>
  <c r="S7" i="1"/>
  <c r="E7" i="70"/>
  <c r="AA39" i="40"/>
  <c r="S39" i="40"/>
  <c r="S12" i="33"/>
  <c r="J32" i="39"/>
  <c r="W32" i="39" s="1"/>
  <c r="H32" i="39"/>
  <c r="AA32" i="39"/>
  <c r="S32" i="39"/>
  <c r="AB21" i="39"/>
  <c r="U21" i="39"/>
  <c r="AA21" i="39"/>
  <c r="S21" i="39"/>
  <c r="AC21" i="39"/>
  <c r="S26" i="35"/>
  <c r="U9" i="35"/>
  <c r="AB9" i="35"/>
  <c r="S9" i="35"/>
  <c r="W26" i="35"/>
  <c r="AB26" i="35"/>
  <c r="U26" i="35"/>
  <c r="AC17" i="37"/>
  <c r="S17" i="37"/>
  <c r="J19" i="37"/>
  <c r="G75" i="37"/>
  <c r="AA19" i="37"/>
  <c r="J23" i="37"/>
  <c r="AC23" i="37" s="1"/>
  <c r="G79" i="37"/>
  <c r="J10" i="37"/>
  <c r="W10" i="37" s="1"/>
  <c r="G63" i="37"/>
  <c r="H11" i="37"/>
  <c r="AB10" i="37"/>
  <c r="U10" i="37"/>
  <c r="G70" i="34"/>
  <c r="H70" i="34" s="1"/>
  <c r="I70" i="34" s="1"/>
  <c r="J70" i="34" s="1"/>
  <c r="K70" i="34" s="1"/>
  <c r="L70" i="34" s="1"/>
  <c r="M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S37" i="21"/>
  <c r="AB15" i="21"/>
  <c r="J23" i="21"/>
  <c r="F85" i="21"/>
  <c r="G85" i="21" s="1"/>
  <c r="H23" i="21"/>
  <c r="AB23" i="21" s="1"/>
  <c r="S13" i="21"/>
  <c r="D6" i="52"/>
  <c r="D121" i="9"/>
  <c r="D7" i="52"/>
  <c r="K120" i="9"/>
  <c r="AQ8" i="1"/>
  <c r="AP7" i="1"/>
  <c r="AB45" i="21"/>
  <c r="AC33" i="21"/>
  <c r="W33" i="21"/>
  <c r="S33" i="21"/>
  <c r="W32" i="21"/>
  <c r="AC32" i="21"/>
  <c r="AB9" i="21"/>
  <c r="U9" i="21"/>
  <c r="AA32" i="21"/>
  <c r="W9" i="21"/>
  <c r="AB32" i="21"/>
  <c r="AA10" i="21"/>
  <c r="S10" i="21"/>
  <c r="A18" i="62"/>
  <c r="B64" i="72" s="1"/>
  <c r="U32" i="39"/>
  <c r="AB32" i="39"/>
  <c r="AC32" i="39"/>
  <c r="W19" i="37"/>
  <c r="AC19" i="37"/>
  <c r="W23" i="37"/>
  <c r="AB11" i="37"/>
  <c r="U11" i="37"/>
  <c r="H63" i="37"/>
  <c r="I63" i="37" s="1"/>
  <c r="J63" i="37" s="1"/>
  <c r="K63" i="37" s="1"/>
  <c r="L63" i="37" s="1"/>
  <c r="M63" i="37" s="1"/>
  <c r="J11" i="37"/>
  <c r="W11" i="37" s="1"/>
  <c r="AC10" i="37"/>
  <c r="U11" i="34"/>
  <c r="AB11" i="34"/>
  <c r="W10" i="34"/>
  <c r="J11" i="34"/>
  <c r="AC36" i="33"/>
  <c r="U36" i="33"/>
  <c r="AB36" i="33"/>
  <c r="W27" i="33"/>
  <c r="AC27" i="33"/>
  <c r="W25" i="33"/>
  <c r="AC25" i="33"/>
  <c r="AA23" i="33"/>
  <c r="AB19" i="33"/>
  <c r="U19" i="33"/>
  <c r="AA17" i="33"/>
  <c r="S17" i="33"/>
  <c r="U17" i="33"/>
  <c r="U23" i="21"/>
  <c r="AC23" i="21"/>
  <c r="W23" i="21"/>
  <c r="F1" i="67"/>
  <c r="AC11" i="37"/>
  <c r="W11" i="34"/>
  <c r="AC11" i="34"/>
  <c r="R7" i="1"/>
  <c r="R8" i="1"/>
  <c r="AE7" i="1"/>
  <c r="AE8" i="1"/>
  <c r="H109" i="9"/>
  <c r="D124" i="9" s="1"/>
  <c r="D16" i="53"/>
  <c r="B34" i="72" s="1"/>
  <c r="F7" i="33"/>
  <c r="S7" i="33" s="1"/>
  <c r="H112" i="9"/>
  <c r="D21" i="53" s="1"/>
  <c r="B39" i="72" s="1"/>
  <c r="H111" i="9"/>
  <c r="D126" i="9" s="1"/>
  <c r="I14" i="74" s="1"/>
  <c r="B8" i="74" s="1"/>
  <c r="D19" i="53"/>
  <c r="B38" i="72" s="1"/>
  <c r="D59" i="9"/>
  <c r="M55" i="9"/>
  <c r="D20" i="53"/>
  <c r="B40" i="72" s="1"/>
  <c r="AD3" i="71"/>
  <c r="F34" i="68"/>
  <c r="C36" i="68" s="1"/>
  <c r="E9" i="76"/>
  <c r="AO12" i="1"/>
  <c r="E10" i="76"/>
  <c r="F16" i="15"/>
  <c r="M24" i="67"/>
  <c r="F20" i="31"/>
  <c r="M9" i="67"/>
  <c r="D2" i="36"/>
  <c r="F7" i="67"/>
  <c r="B11" i="76"/>
  <c r="C76" i="67"/>
  <c r="F38" i="67"/>
  <c r="D2" i="37"/>
  <c r="AO7" i="1"/>
  <c r="D2" i="34"/>
  <c r="F8" i="67"/>
  <c r="D2" i="21"/>
  <c r="J15" i="67"/>
  <c r="B12" i="76"/>
  <c r="B7" i="76"/>
  <c r="E12" i="76"/>
  <c r="F13" i="15"/>
  <c r="L47" i="67"/>
  <c r="AO11" i="1"/>
  <c r="E8" i="76"/>
  <c r="F37" i="15"/>
  <c r="F40" i="15"/>
  <c r="B10" i="76"/>
  <c r="E11" i="76"/>
  <c r="B9" i="76"/>
  <c r="F6" i="67"/>
  <c r="AO8" i="1"/>
  <c r="F6" i="15"/>
  <c r="AO10" i="1"/>
  <c r="B8" i="76"/>
  <c r="E2" i="69"/>
  <c r="F13" i="67"/>
  <c r="D2" i="35"/>
  <c r="E7" i="76"/>
  <c r="E13" i="76"/>
  <c r="L48" i="15"/>
  <c r="AO9" i="1"/>
  <c r="F8" i="15"/>
  <c r="F40" i="67"/>
  <c r="F36" i="67"/>
  <c r="F16" i="67"/>
  <c r="D2" i="33"/>
  <c r="AO13" i="1"/>
  <c r="B13" i="76"/>
  <c r="M28" i="15"/>
  <c r="F43" i="67"/>
  <c r="M6" i="15"/>
  <c r="M22" i="67"/>
  <c r="M27" i="67"/>
  <c r="C18" i="9" l="1"/>
  <c r="D18" i="9" s="1"/>
  <c r="C65" i="40"/>
  <c r="D63" i="40"/>
  <c r="AZ557" i="3"/>
  <c r="D29" i="43"/>
  <c r="D1" i="43" s="1"/>
  <c r="F19" i="6"/>
  <c r="E19" i="6" s="1"/>
  <c r="K6" i="1" s="1"/>
  <c r="E568" i="3"/>
  <c r="E244" i="3"/>
  <c r="E221" i="3"/>
  <c r="E204" i="3"/>
  <c r="E327" i="3"/>
  <c r="Z6" i="3"/>
  <c r="AO6" i="3"/>
  <c r="E486" i="3"/>
  <c r="E507" i="3"/>
  <c r="E422" i="3"/>
  <c r="E440" i="3"/>
  <c r="E490" i="3"/>
  <c r="E376" i="3"/>
  <c r="AH6" i="3"/>
  <c r="J6" i="3"/>
  <c r="E498" i="3"/>
  <c r="E419"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9" i="3"/>
  <c r="E453" i="3"/>
  <c r="E156" i="3"/>
  <c r="E252" i="3"/>
  <c r="E164" i="3"/>
  <c r="E576" i="3"/>
  <c r="AG6" i="3"/>
  <c r="E448" i="3"/>
  <c r="E469" i="3"/>
  <c r="E512" i="3"/>
  <c r="E408" i="3"/>
  <c r="E451" i="3"/>
  <c r="E360" i="3"/>
  <c r="E556" i="3"/>
  <c r="E497" i="3"/>
  <c r="E13" i="3"/>
  <c r="E494" i="3"/>
  <c r="E452" i="3"/>
  <c r="E471" i="3"/>
  <c r="E496" i="3"/>
  <c r="E433" i="3"/>
  <c r="E454" i="3"/>
  <c r="E475" i="3"/>
  <c r="E72" i="3"/>
  <c r="E106" i="3"/>
  <c r="E54" i="3"/>
  <c r="E73" i="3"/>
  <c r="E146" i="3"/>
  <c r="E203" i="3"/>
  <c r="E171" i="3"/>
  <c r="E256" i="3"/>
  <c r="E214" i="3"/>
  <c r="E274" i="3"/>
  <c r="E316" i="3"/>
  <c r="E331" i="3"/>
  <c r="E377" i="3"/>
  <c r="E317" i="3"/>
  <c r="E334" i="3"/>
  <c r="E384" i="3"/>
  <c r="E572" i="3"/>
  <c r="AM6" i="3"/>
  <c r="E30" i="3"/>
  <c r="E44" i="3"/>
  <c r="E109" i="3"/>
  <c r="E29" i="3"/>
  <c r="E480" i="3"/>
  <c r="E441" i="3"/>
  <c r="E484" i="3"/>
  <c r="E425" i="3"/>
  <c r="E467" i="3"/>
  <c r="E64" i="3"/>
  <c r="E46" i="3"/>
  <c r="E103" i="3"/>
  <c r="E160" i="3"/>
  <c r="E142" i="3"/>
  <c r="E163" i="3"/>
  <c r="E248" i="3"/>
  <c r="E209" i="3"/>
  <c r="E266" i="3"/>
  <c r="E307" i="3"/>
  <c r="E386" i="3"/>
  <c r="E354" i="3"/>
  <c r="E584" i="3"/>
  <c r="E66" i="3"/>
  <c r="E24" i="3"/>
  <c r="E48" i="3"/>
  <c r="E87" i="3"/>
  <c r="E127" i="3"/>
  <c r="E250" i="3"/>
  <c r="E284" i="3"/>
  <c r="E341" i="3"/>
  <c r="Y6" i="3"/>
  <c r="E68" i="3"/>
  <c r="E63" i="3"/>
  <c r="E81" i="3"/>
  <c r="E118" i="3"/>
  <c r="E264" i="3"/>
  <c r="E283" i="3"/>
  <c r="E309" i="3"/>
  <c r="E513" i="3"/>
  <c r="E21" i="3"/>
  <c r="E55" i="3"/>
  <c r="E111" i="3"/>
  <c r="E168" i="3"/>
  <c r="E150" i="3"/>
  <c r="E208" i="3"/>
  <c r="E279" i="3"/>
  <c r="E257" i="3"/>
  <c r="E292" i="3"/>
  <c r="E348" i="3"/>
  <c r="E363" i="3"/>
  <c r="E378" i="3"/>
  <c r="E349" i="3"/>
  <c r="E375" i="3"/>
  <c r="E389" i="3"/>
  <c r="E504" i="3"/>
  <c r="E544" i="3"/>
  <c r="E58" i="3"/>
  <c r="E76" i="3"/>
  <c r="E110" i="3"/>
  <c r="E59" i="3"/>
  <c r="E540" i="3"/>
  <c r="E462" i="3"/>
  <c r="E521" i="3"/>
  <c r="E446" i="3"/>
  <c r="E47" i="3"/>
  <c r="E98" i="3"/>
  <c r="E65" i="3"/>
  <c r="E138" i="3"/>
  <c r="E195" i="3"/>
  <c r="E200" i="3"/>
  <c r="E267" i="3"/>
  <c r="E249" i="3"/>
  <c r="E300" i="3"/>
  <c r="E371" i="3"/>
  <c r="E310" i="3"/>
  <c r="E492" i="3"/>
  <c r="E23" i="3"/>
  <c r="E84" i="3"/>
  <c r="E67" i="3"/>
  <c r="E33" i="3"/>
  <c r="E144" i="3"/>
  <c r="E184" i="3"/>
  <c r="E233" i="3"/>
  <c r="E355" i="3"/>
  <c r="E381" i="3"/>
  <c r="E51" i="3"/>
  <c r="E19" i="3"/>
  <c r="E154" i="3"/>
  <c r="E179" i="3"/>
  <c r="E222" i="3"/>
  <c r="E323" i="3"/>
  <c r="E373" i="3"/>
  <c r="E82" i="3"/>
  <c r="F12" i="21"/>
  <c r="J12" i="21"/>
  <c r="H12" i="21"/>
  <c r="AA9" i="33"/>
  <c r="S9" i="33"/>
  <c r="U12" i="33"/>
  <c r="AB12" i="33"/>
  <c r="AB35" i="33"/>
  <c r="U35" i="33"/>
  <c r="AA34" i="34"/>
  <c r="S34" i="34"/>
  <c r="AC34" i="35"/>
  <c r="W34" i="35"/>
  <c r="J12" i="36"/>
  <c r="H12" i="36"/>
  <c r="J24" i="36"/>
  <c r="H24" i="36"/>
  <c r="J39" i="37"/>
  <c r="H39" i="37"/>
  <c r="AC31" i="40"/>
  <c r="W31" i="40"/>
  <c r="J39" i="40"/>
  <c r="H39" i="40"/>
  <c r="BA551" i="3"/>
  <c r="AZ551" i="3" s="1"/>
  <c r="H7" i="33"/>
  <c r="J7" i="33"/>
  <c r="H110" i="9"/>
  <c r="D18" i="53" s="1"/>
  <c r="B35" i="72" s="1"/>
  <c r="AA23" i="21"/>
  <c r="U33" i="21"/>
  <c r="AA23" i="37"/>
  <c r="AR11" i="1"/>
  <c r="T11" i="1"/>
  <c r="AQ13" i="1"/>
  <c r="W17" i="21"/>
  <c r="AA11" i="34"/>
  <c r="S20" i="36"/>
  <c r="W27" i="40"/>
  <c r="H72" i="43"/>
  <c r="H56" i="43"/>
  <c r="H55" i="43"/>
  <c r="H70" i="43"/>
  <c r="H54" i="43"/>
  <c r="H88" i="43"/>
  <c r="H81" i="43"/>
  <c r="AR10" i="1"/>
  <c r="E11" i="6"/>
  <c r="E61" i="39" s="1"/>
  <c r="AZ13" i="3"/>
  <c r="S43" i="34"/>
  <c r="AA33" i="34"/>
  <c r="S37" i="37"/>
  <c r="S20" i="35"/>
  <c r="AB20" i="36"/>
  <c r="S30" i="40"/>
  <c r="AA32" i="40"/>
  <c r="AC36" i="40"/>
  <c r="AC34" i="33"/>
  <c r="AA39" i="34"/>
  <c r="H82" i="43"/>
  <c r="H48" i="43"/>
  <c r="S15" i="37"/>
  <c r="AA25" i="21"/>
  <c r="AZ585" i="3"/>
  <c r="W31" i="34"/>
  <c r="AA13" i="35"/>
  <c r="AA34" i="21"/>
  <c r="S34" i="21"/>
  <c r="AC33" i="33"/>
  <c r="W33" i="33"/>
  <c r="J26" i="33"/>
  <c r="F26" i="33"/>
  <c r="S12" i="34"/>
  <c r="AA12" i="34"/>
  <c r="AB34" i="35"/>
  <c r="U34" i="35"/>
  <c r="H23" i="35"/>
  <c r="J23" i="35"/>
  <c r="S31" i="36"/>
  <c r="AA31" i="36"/>
  <c r="F38" i="40"/>
  <c r="J38" i="40"/>
  <c r="H38" i="40"/>
  <c r="BL550" i="3"/>
  <c r="AZ550" i="3" s="1"/>
  <c r="AZ399" i="3"/>
  <c r="AZ404" i="3"/>
  <c r="AZ411" i="3"/>
  <c r="AZ414" i="3"/>
  <c r="AZ421" i="3"/>
  <c r="AZ423" i="3"/>
  <c r="BL15" i="3"/>
  <c r="AZ15" i="3" s="1"/>
  <c r="AZ5" i="3" s="1"/>
  <c r="E3" i="6" s="1"/>
  <c r="AZ426" i="3"/>
  <c r="AZ429" i="3"/>
  <c r="AZ431" i="3"/>
  <c r="AZ436" i="3"/>
  <c r="AZ438" i="3"/>
  <c r="AZ443" i="3"/>
  <c r="AZ451" i="3"/>
  <c r="AZ461" i="3"/>
  <c r="AZ463" i="3"/>
  <c r="AZ466" i="3"/>
  <c r="AZ468" i="3"/>
  <c r="AZ470" i="3"/>
  <c r="AZ472" i="3"/>
  <c r="AZ216" i="3"/>
  <c r="AZ221" i="3"/>
  <c r="AZ226" i="3"/>
  <c r="AZ230" i="3"/>
  <c r="AZ242" i="3"/>
  <c r="AZ246" i="3"/>
  <c r="AZ258" i="3"/>
  <c r="AZ262" i="3"/>
  <c r="AZ267" i="3"/>
  <c r="AZ278" i="3"/>
  <c r="AZ284" i="3"/>
  <c r="AZ292" i="3"/>
  <c r="AZ302" i="3"/>
  <c r="AZ113" i="3"/>
  <c r="AZ126" i="3"/>
  <c r="AZ129" i="3"/>
  <c r="AZ141" i="3"/>
  <c r="J67" i="43"/>
  <c r="D67" i="43"/>
  <c r="E59" i="43" s="1"/>
  <c r="B57" i="43" s="1"/>
  <c r="C24" i="43" s="1"/>
  <c r="D64" i="43"/>
  <c r="AC18" i="36"/>
  <c r="W18" i="36"/>
  <c r="AB25" i="40"/>
  <c r="U25" i="40"/>
  <c r="B86" i="43"/>
  <c r="C25" i="40"/>
  <c r="AA21" i="34"/>
  <c r="S21" i="34"/>
  <c r="C21" i="68"/>
  <c r="C40" i="68"/>
  <c r="U21" i="21"/>
  <c r="AB21" i="21"/>
  <c r="W21" i="34"/>
  <c r="AC21" i="34"/>
  <c r="C21" i="71"/>
  <c r="D16" i="71"/>
  <c r="C17" i="71"/>
  <c r="AZ193" i="3"/>
  <c r="AZ205" i="3"/>
  <c r="AZ23" i="3"/>
  <c r="AZ38" i="3"/>
  <c r="AZ48" i="3"/>
  <c r="AZ52" i="3"/>
  <c r="AZ64" i="3"/>
  <c r="AZ68" i="3"/>
  <c r="AZ108" i="3"/>
  <c r="F3" i="35"/>
  <c r="T45" i="71"/>
  <c r="D45" i="71"/>
  <c r="D51" i="71"/>
  <c r="O51" i="71"/>
  <c r="C63" i="71"/>
  <c r="D63" i="71" s="1"/>
  <c r="D64" i="71"/>
  <c r="D36" i="71"/>
  <c r="C37" i="71"/>
  <c r="X10" i="71"/>
  <c r="AA15" i="71"/>
  <c r="E19" i="71"/>
  <c r="E20" i="71" s="1"/>
  <c r="E21" i="71" s="1"/>
  <c r="U21" i="71" s="1"/>
  <c r="AA10" i="71"/>
  <c r="AB19" i="71"/>
  <c r="AB18" i="71"/>
  <c r="AA20" i="71"/>
  <c r="AA21" i="71"/>
  <c r="E32" i="71"/>
  <c r="E33" i="71" s="1"/>
  <c r="U33" i="71" s="1"/>
  <c r="AC12" i="43"/>
  <c r="AC10" i="43"/>
  <c r="AE12" i="43"/>
  <c r="AE10" i="43"/>
  <c r="AG12" i="43"/>
  <c r="AG10" i="43"/>
  <c r="AI12" i="43"/>
  <c r="AI10" i="43"/>
  <c r="AB6" i="71"/>
  <c r="AB7" i="71"/>
  <c r="Y16" i="71"/>
  <c r="Z16" i="71" s="1"/>
  <c r="Y3" i="71"/>
  <c r="Z3" i="71" s="1"/>
  <c r="X16" i="71"/>
  <c r="X17" i="71"/>
  <c r="X14" i="71"/>
  <c r="X12" i="71"/>
  <c r="AB17" i="71"/>
  <c r="AB14" i="71"/>
  <c r="AB10" i="71"/>
  <c r="AA23" i="71"/>
  <c r="AA22" i="71"/>
  <c r="X24" i="71"/>
  <c r="X20" i="71"/>
  <c r="C32" i="71"/>
  <c r="D32" i="71" s="1"/>
  <c r="D31" i="71"/>
  <c r="D61" i="43"/>
  <c r="B75" i="43"/>
  <c r="B66" i="43"/>
  <c r="C29" i="39"/>
  <c r="AA29" i="39"/>
  <c r="S29" i="39"/>
  <c r="E12" i="71"/>
  <c r="E11" i="71" s="1"/>
  <c r="V13" i="71"/>
  <c r="AA11" i="71"/>
  <c r="AA13" i="71"/>
  <c r="E24" i="71"/>
  <c r="E25" i="71" s="1"/>
  <c r="U25" i="71" s="1"/>
  <c r="C13" i="71"/>
  <c r="Y11" i="71"/>
  <c r="Z11" i="71" s="1"/>
  <c r="Y12" i="71"/>
  <c r="Z12" i="71" s="1"/>
  <c r="Y13" i="71"/>
  <c r="Z13" i="71" s="1"/>
  <c r="X11" i="71"/>
  <c r="X13" i="71"/>
  <c r="E15" i="71"/>
  <c r="E16" i="71" s="1"/>
  <c r="E17" i="71" s="1"/>
  <c r="U17" i="71" s="1"/>
  <c r="AA14" i="71"/>
  <c r="X15" i="71"/>
  <c r="AB15" i="71"/>
  <c r="AB11" i="71"/>
  <c r="AB13" i="71"/>
  <c r="AA19" i="71"/>
  <c r="Y20" i="71"/>
  <c r="Z20" i="71" s="1"/>
  <c r="Y18" i="71"/>
  <c r="Z18" i="71" s="1"/>
  <c r="B23" i="71"/>
  <c r="B24" i="71" s="1"/>
  <c r="B25" i="71" s="1"/>
  <c r="S25" i="71" s="1"/>
  <c r="X22" i="71"/>
  <c r="AB23" i="71"/>
  <c r="AB22" i="71"/>
  <c r="S53" i="71"/>
  <c r="B52" i="71"/>
  <c r="N53" i="71"/>
  <c r="T57" i="71"/>
  <c r="D57" i="71"/>
  <c r="T65" i="71"/>
  <c r="D65" i="71"/>
  <c r="L1" i="73"/>
  <c r="J1" i="73"/>
  <c r="Y7" i="71"/>
  <c r="Z7" i="71" s="1"/>
  <c r="Y9" i="71"/>
  <c r="Z9" i="71" s="1"/>
  <c r="Y10" i="71"/>
  <c r="Z10" i="71" s="1"/>
  <c r="AA9" i="71"/>
  <c r="AA6" i="71"/>
  <c r="AA7" i="71"/>
  <c r="AA3" i="71"/>
  <c r="AB9" i="71"/>
  <c r="Y8" i="71"/>
  <c r="Z8" i="71" s="1"/>
  <c r="AA8" i="71"/>
  <c r="AB8" i="71"/>
  <c r="X8" i="71"/>
  <c r="F7" i="71"/>
  <c r="X6" i="71"/>
  <c r="X5" i="71"/>
  <c r="Z12" i="43"/>
  <c r="Z10" i="43"/>
  <c r="AD12" i="43"/>
  <c r="AD10" i="43"/>
  <c r="AH12" i="43"/>
  <c r="AH10" i="43"/>
  <c r="T9" i="71"/>
  <c r="D9" i="71"/>
  <c r="U9" i="71" s="1"/>
  <c r="C8" i="71"/>
  <c r="X7" i="71"/>
  <c r="Y6" i="71"/>
  <c r="Z6" i="71" s="1"/>
  <c r="AA5" i="71"/>
  <c r="AB5" i="71"/>
  <c r="D22" i="67"/>
  <c r="F34" i="11"/>
  <c r="C6" i="43"/>
  <c r="K56" i="9"/>
  <c r="F31" i="15"/>
  <c r="P61" i="15"/>
  <c r="J53" i="15"/>
  <c r="F1" i="15" s="1"/>
  <c r="H74" i="43"/>
  <c r="H50" i="43"/>
  <c r="H75" i="43"/>
  <c r="F59" i="43"/>
  <c r="H66" i="43" s="1"/>
  <c r="C16" i="43"/>
  <c r="C94" i="9"/>
  <c r="C92" i="9"/>
  <c r="F31" i="12"/>
  <c r="C31" i="12" s="1"/>
  <c r="F28" i="15"/>
  <c r="C28" i="15" s="1"/>
  <c r="F30" i="11"/>
  <c r="D68" i="9"/>
  <c r="M18" i="67"/>
  <c r="F28" i="67"/>
  <c r="C28" i="67" s="1"/>
  <c r="F30" i="68"/>
  <c r="C30" i="68" s="1"/>
  <c r="F54" i="9"/>
  <c r="C24" i="12"/>
  <c r="M18" i="15"/>
  <c r="F32" i="15"/>
  <c r="F60" i="15" s="1"/>
  <c r="F30" i="69"/>
  <c r="C48" i="69" s="1"/>
  <c r="F32" i="67"/>
  <c r="F60" i="67" s="1"/>
  <c r="F52" i="9"/>
  <c r="C40" i="69"/>
  <c r="D23" i="67"/>
  <c r="T8" i="1"/>
  <c r="E261" i="3"/>
  <c r="E528" i="3"/>
  <c r="E347" i="3"/>
  <c r="E124" i="3"/>
  <c r="E536" i="3"/>
  <c r="E368" i="3"/>
  <c r="E196" i="3"/>
  <c r="E148" i="3"/>
  <c r="E180" i="3"/>
  <c r="E207" i="3"/>
  <c r="E271" i="3"/>
  <c r="E145" i="3"/>
  <c r="E107" i="3"/>
  <c r="E379" i="3"/>
  <c r="E585" i="3"/>
  <c r="U6" i="3"/>
  <c r="E515" i="3"/>
  <c r="E411" i="3"/>
  <c r="E472" i="3"/>
  <c r="E474" i="3"/>
  <c r="E481" i="3"/>
  <c r="E527" i="3"/>
  <c r="E406" i="3"/>
  <c r="E438" i="3"/>
  <c r="E424" i="3"/>
  <c r="E457" i="3"/>
  <c r="E465" i="3"/>
  <c r="E288" i="3"/>
  <c r="E344" i="3"/>
  <c r="E562" i="3"/>
  <c r="E587" i="3"/>
  <c r="W6" i="3"/>
  <c r="AE6" i="3"/>
  <c r="E571" i="3"/>
  <c r="E577" i="3"/>
  <c r="E537" i="3"/>
  <c r="E429" i="3"/>
  <c r="E450" i="3"/>
  <c r="E468"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61" i="3"/>
  <c r="AZ14" i="3"/>
  <c r="BA5" i="3"/>
  <c r="E27" i="6" s="1"/>
  <c r="F27" i="6"/>
  <c r="E56" i="39"/>
  <c r="E549" i="3"/>
  <c r="I6" i="3"/>
  <c r="E397" i="3"/>
  <c r="E280" i="3"/>
  <c r="AA6" i="3"/>
  <c r="E503" i="3"/>
  <c r="E183" i="3"/>
  <c r="E237" i="3"/>
  <c r="E304" i="3"/>
  <c r="E565" i="3"/>
  <c r="E213" i="3"/>
  <c r="E17" i="3"/>
  <c r="E302" i="3"/>
  <c r="E583" i="3"/>
  <c r="X6" i="3"/>
  <c r="E336" i="3"/>
  <c r="E246" i="3"/>
  <c r="E293" i="3"/>
  <c r="E314" i="3"/>
  <c r="E511" i="3"/>
  <c r="E16" i="3"/>
  <c r="AK6" i="3"/>
  <c r="E434" i="3"/>
  <c r="E306" i="3"/>
  <c r="E296" i="3"/>
  <c r="E262" i="3"/>
  <c r="E136" i="3"/>
  <c r="E236" i="3"/>
  <c r="E290" i="3"/>
  <c r="E161" i="3"/>
  <c r="E117" i="3"/>
  <c r="E149" i="3"/>
  <c r="E77" i="3"/>
  <c r="E212" i="3"/>
  <c r="E253" i="3"/>
  <c r="E167" i="3"/>
  <c r="E199" i="3"/>
  <c r="E141" i="3"/>
  <c r="E286" i="3"/>
  <c r="E312" i="3"/>
  <c r="E575" i="3"/>
  <c r="AD6" i="3"/>
  <c r="E499" i="3"/>
  <c r="E542" i="3"/>
  <c r="R6" i="3"/>
  <c r="E552" i="3"/>
  <c r="E502" i="3"/>
  <c r="E421" i="3"/>
  <c r="E442"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T9" i="1"/>
  <c r="E56" i="40"/>
  <c r="G30" i="6"/>
  <c r="G31" i="6" s="1"/>
  <c r="E28" i="6"/>
  <c r="K24" i="6" s="1"/>
  <c r="M24" i="6" s="1"/>
  <c r="I24" i="6" s="1"/>
  <c r="S24" i="6" s="1"/>
  <c r="L27" i="6"/>
  <c r="E12" i="6"/>
  <c r="F29" i="6"/>
  <c r="E15" i="6"/>
  <c r="BL5" i="3"/>
  <c r="F30" i="6"/>
  <c r="O6" i="1"/>
  <c r="P6" i="1" s="1"/>
  <c r="M7" i="1"/>
  <c r="H16" i="1"/>
  <c r="Q16" i="1"/>
  <c r="AR7" i="1"/>
  <c r="AQ7" i="1"/>
  <c r="T7" i="1"/>
  <c r="E64" i="39"/>
  <c r="E59" i="40"/>
  <c r="K20" i="6"/>
  <c r="M20" i="6" s="1"/>
  <c r="I20" i="6" s="1"/>
  <c r="S20" i="6" s="1"/>
  <c r="K14" i="1"/>
  <c r="K26" i="6"/>
  <c r="M26" i="6" s="1"/>
  <c r="I26" i="6" s="1"/>
  <c r="S26" i="6" s="1"/>
  <c r="D9" i="11"/>
  <c r="C9" i="11" s="1"/>
  <c r="D9" i="69"/>
  <c r="C9" i="69" s="1"/>
  <c r="C36" i="69"/>
  <c r="E13" i="6"/>
  <c r="F31" i="6"/>
  <c r="E29" i="6"/>
  <c r="K15" i="1" s="1"/>
  <c r="O12" i="1"/>
  <c r="P12" i="1" s="1"/>
  <c r="C36" i="11"/>
  <c r="P11" i="1"/>
  <c r="O9" i="1"/>
  <c r="P9" i="1" s="1"/>
  <c r="O8" i="1"/>
  <c r="K25" i="6"/>
  <c r="M25" i="6" s="1"/>
  <c r="I25" i="6" s="1"/>
  <c r="K21" i="6"/>
  <c r="M21" i="6" s="1"/>
  <c r="I21" i="6" s="1"/>
  <c r="C5" i="43"/>
  <c r="D5" i="43"/>
  <c r="H49" i="43"/>
  <c r="T35" i="4"/>
  <c r="A19" i="51" s="1"/>
  <c r="B14" i="72" s="1"/>
  <c r="A15" i="62"/>
  <c r="B61" i="72" s="1"/>
  <c r="G16" i="1"/>
  <c r="J10" i="39" s="1"/>
  <c r="A2" i="9"/>
  <c r="A118" i="9"/>
  <c r="D10" i="52"/>
  <c r="D125" i="9"/>
  <c r="D11" i="52" s="1"/>
  <c r="H14" i="74"/>
  <c r="B7" i="74" s="1"/>
  <c r="D12" i="52"/>
  <c r="D127" i="9"/>
  <c r="D13" i="52" s="1"/>
  <c r="D17" i="53"/>
  <c r="B36" i="72" s="1"/>
  <c r="AA7" i="33"/>
  <c r="R48" i="33" s="1"/>
  <c r="G48" i="35"/>
  <c r="H48" i="35" s="1"/>
  <c r="I48" i="35" s="1"/>
  <c r="J48" i="35" s="1"/>
  <c r="K48" i="35" s="1"/>
  <c r="L48" i="35" s="1"/>
  <c r="M48" i="35" s="1"/>
  <c r="N48" i="35" s="1"/>
  <c r="O48" i="35" s="1"/>
  <c r="F7" i="35"/>
  <c r="J7" i="35"/>
  <c r="F52" i="37"/>
  <c r="G52" i="37" s="1"/>
  <c r="H52" i="37" s="1"/>
  <c r="I52" i="37" s="1"/>
  <c r="J52" i="37" s="1"/>
  <c r="K52" i="37" s="1"/>
  <c r="L52" i="37" s="1"/>
  <c r="M52" i="37" s="1"/>
  <c r="N52" i="37" s="1"/>
  <c r="O52" i="37" s="1"/>
  <c r="H7" i="37"/>
  <c r="F7" i="37"/>
  <c r="F59" i="34"/>
  <c r="E46" i="36"/>
  <c r="F46" i="36" s="1"/>
  <c r="G46" i="36" s="1"/>
  <c r="H46" i="36" s="1"/>
  <c r="I46" i="36" s="1"/>
  <c r="J46" i="36" s="1"/>
  <c r="K46" i="36" s="1"/>
  <c r="L46" i="36" s="1"/>
  <c r="M46" i="36" s="1"/>
  <c r="N46" i="36" s="1"/>
  <c r="O46" i="36" s="1"/>
  <c r="W7" i="33"/>
  <c r="AC7" i="33"/>
  <c r="V48" i="33" s="1"/>
  <c r="I48" i="33" s="1"/>
  <c r="D58" i="21"/>
  <c r="C70" i="39"/>
  <c r="D68" i="39"/>
  <c r="C30" i="69"/>
  <c r="C74" i="9"/>
  <c r="C48" i="68"/>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C4" i="4" s="1"/>
  <c r="E22" i="49"/>
  <c r="E16" i="49"/>
  <c r="E11" i="49"/>
  <c r="B10" i="49"/>
  <c r="E6" i="49"/>
  <c r="E8" i="49"/>
  <c r="E5" i="49"/>
  <c r="B8" i="49"/>
  <c r="B5" i="49"/>
  <c r="E21" i="49"/>
  <c r="E4" i="49"/>
  <c r="B11" i="49"/>
  <c r="E4" i="4" s="1"/>
  <c r="B5" i="62" s="1"/>
  <c r="B73" i="72" s="1"/>
  <c r="B14" i="49"/>
  <c r="B16" i="49"/>
  <c r="E13" i="49"/>
  <c r="E15" i="49"/>
  <c r="E9" i="49"/>
  <c r="B22" i="49"/>
  <c r="F64" i="67"/>
  <c r="J57" i="15"/>
  <c r="J55" i="15" s="1"/>
  <c r="J58" i="15" s="1"/>
  <c r="Q50" i="15" s="1"/>
  <c r="I54" i="15"/>
  <c r="L56" i="15"/>
  <c r="F71" i="67"/>
  <c r="B10" i="70"/>
  <c r="F68" i="67"/>
  <c r="F66" i="67"/>
  <c r="L59" i="67"/>
  <c r="M59" i="67"/>
  <c r="N59" i="67"/>
  <c r="F68" i="15"/>
  <c r="F65" i="15"/>
  <c r="Q71" i="67"/>
  <c r="B13" i="70"/>
  <c r="B8" i="70"/>
  <c r="B20" i="31"/>
  <c r="B7" i="70"/>
  <c r="M7" i="67"/>
  <c r="F50" i="67"/>
  <c r="F51" i="67"/>
  <c r="B11" i="70"/>
  <c r="F51" i="15"/>
  <c r="B12" i="70"/>
  <c r="B9" i="70"/>
  <c r="K1" i="73"/>
  <c r="F31" i="67"/>
  <c r="M17" i="67"/>
  <c r="M17" i="15"/>
  <c r="F59" i="67"/>
  <c r="F59" i="15"/>
  <c r="D9" i="68"/>
  <c r="M28" i="67"/>
  <c r="M26" i="15"/>
  <c r="F42" i="15"/>
  <c r="L48" i="67"/>
  <c r="F9" i="67"/>
  <c r="C17" i="67"/>
  <c r="F36" i="15"/>
  <c r="M21" i="67"/>
  <c r="C14" i="67"/>
  <c r="M22" i="15"/>
  <c r="M23" i="15"/>
  <c r="F43" i="15"/>
  <c r="F7" i="15"/>
  <c r="L47" i="15"/>
  <c r="F26" i="15"/>
  <c r="J15" i="15"/>
  <c r="M8" i="67"/>
  <c r="M23" i="67"/>
  <c r="AE6" i="1"/>
  <c r="F35" i="67"/>
  <c r="F42" i="67"/>
  <c r="F9" i="15"/>
  <c r="M8" i="15"/>
  <c r="F41" i="67"/>
  <c r="M29" i="67"/>
  <c r="F26" i="67"/>
  <c r="M9" i="15"/>
  <c r="M29" i="15"/>
  <c r="C16" i="67"/>
  <c r="F38" i="15"/>
  <c r="F37" i="67"/>
  <c r="M6" i="67"/>
  <c r="M26" i="67"/>
  <c r="C76" i="15"/>
  <c r="M24" i="15"/>
  <c r="F63" i="67" l="1"/>
  <c r="C62" i="67" s="1"/>
  <c r="C34" i="67"/>
  <c r="F70" i="67"/>
  <c r="M7" i="15"/>
  <c r="J6" i="15" s="1"/>
  <c r="C6" i="15"/>
  <c r="F50" i="15"/>
  <c r="C49" i="15" s="1"/>
  <c r="F69" i="67"/>
  <c r="F65" i="67"/>
  <c r="Q71" i="15"/>
  <c r="C27" i="15"/>
  <c r="F71" i="15"/>
  <c r="C27" i="67"/>
  <c r="J57" i="67"/>
  <c r="J55" i="67" s="1"/>
  <c r="J58" i="67" s="1"/>
  <c r="Q50" i="67" s="1"/>
  <c r="L58" i="67"/>
  <c r="Q60" i="67" s="1"/>
  <c r="I54" i="67"/>
  <c r="L56" i="67"/>
  <c r="F66" i="15"/>
  <c r="F64" i="15"/>
  <c r="C6" i="67"/>
  <c r="L59" i="15"/>
  <c r="Q61" i="15" s="1"/>
  <c r="L58" i="15"/>
  <c r="Q60" i="15" s="1"/>
  <c r="N59" i="15"/>
  <c r="M59" i="15"/>
  <c r="J20" i="67"/>
  <c r="D3" i="33"/>
  <c r="C17" i="4"/>
  <c r="B4" i="52" s="1"/>
  <c r="B43" i="72" s="1"/>
  <c r="D3" i="37"/>
  <c r="D3" i="34"/>
  <c r="E6" i="6"/>
  <c r="J7" i="37"/>
  <c r="H7" i="35"/>
  <c r="B51" i="71"/>
  <c r="N52" i="71"/>
  <c r="C12" i="71"/>
  <c r="T13" i="71"/>
  <c r="D13" i="71"/>
  <c r="U13" i="71" s="1"/>
  <c r="T37" i="71"/>
  <c r="D37" i="71"/>
  <c r="T17" i="71"/>
  <c r="D17" i="71"/>
  <c r="T21" i="71"/>
  <c r="D21" i="71"/>
  <c r="U38" i="40"/>
  <c r="AB38" i="40"/>
  <c r="S38" i="40"/>
  <c r="AA38" i="40"/>
  <c r="U23" i="35"/>
  <c r="AB23" i="35"/>
  <c r="W26" i="33"/>
  <c r="AC26" i="33"/>
  <c r="AB7" i="33"/>
  <c r="T48" i="33" s="1"/>
  <c r="G48" i="33" s="1"/>
  <c r="G52" i="33" s="1"/>
  <c r="H52" i="33" s="1"/>
  <c r="U7" i="33"/>
  <c r="AB39" i="40"/>
  <c r="U39" i="40"/>
  <c r="U39" i="37"/>
  <c r="AB39" i="37"/>
  <c r="U24" i="36"/>
  <c r="AB24" i="36"/>
  <c r="AB12" i="36"/>
  <c r="U12" i="36"/>
  <c r="U12" i="21"/>
  <c r="AB12" i="21"/>
  <c r="S12" i="21"/>
  <c r="AA12" i="21"/>
  <c r="E63" i="40"/>
  <c r="D65" i="40"/>
  <c r="J6" i="67"/>
  <c r="K19" i="6"/>
  <c r="C7" i="71"/>
  <c r="D8" i="71"/>
  <c r="W38" i="40"/>
  <c r="AC38" i="40"/>
  <c r="AC23" i="35"/>
  <c r="W23" i="35"/>
  <c r="AA26" i="33"/>
  <c r="S26" i="33"/>
  <c r="W39" i="40"/>
  <c r="AC39" i="40"/>
  <c r="AC39" i="37"/>
  <c r="W39" i="37"/>
  <c r="AC24" i="36"/>
  <c r="W24" i="36"/>
  <c r="AC12" i="36"/>
  <c r="W12" i="36"/>
  <c r="AC12" i="21"/>
  <c r="W12" i="21"/>
  <c r="M6" i="1"/>
  <c r="B4" i="62"/>
  <c r="B71" i="72" s="1"/>
  <c r="K4" i="4"/>
  <c r="B46" i="48" s="1"/>
  <c r="B4" i="72" s="1"/>
  <c r="F7" i="36"/>
  <c r="AG6" i="1"/>
  <c r="Q52" i="15"/>
  <c r="C9" i="68"/>
  <c r="H59" i="43"/>
  <c r="H63" i="43"/>
  <c r="H61" i="43"/>
  <c r="H65" i="43"/>
  <c r="H67" i="43"/>
  <c r="H60" i="43"/>
  <c r="H62" i="43"/>
  <c r="H64" i="43"/>
  <c r="C48" i="11"/>
  <c r="C30" i="11"/>
  <c r="M19" i="6"/>
  <c r="I19" i="6" s="1"/>
  <c r="L18" i="9" s="1"/>
  <c r="S6" i="1"/>
  <c r="E6" i="70" s="1"/>
  <c r="E2" i="70" s="1"/>
  <c r="K22" i="6"/>
  <c r="M22" i="6" s="1"/>
  <c r="I22" i="6" s="1"/>
  <c r="K23" i="6"/>
  <c r="M23" i="6" s="1"/>
  <c r="I23" i="6" s="1"/>
  <c r="S23" i="6" s="1"/>
  <c r="AC6" i="3"/>
  <c r="S19" i="6"/>
  <c r="E6" i="3"/>
  <c r="K16" i="1"/>
  <c r="AY6" i="3"/>
  <c r="AY67" i="3" s="1"/>
  <c r="E57" i="40"/>
  <c r="E62" i="39"/>
  <c r="F10" i="40"/>
  <c r="AA10" i="40" s="1"/>
  <c r="E60" i="40"/>
  <c r="E65" i="39"/>
  <c r="D14" i="12"/>
  <c r="D3" i="21"/>
  <c r="D19" i="11"/>
  <c r="C19" i="11" s="1"/>
  <c r="C20" i="11" s="1"/>
  <c r="M18" i="9"/>
  <c r="B118" i="9" s="1"/>
  <c r="B14" i="74" s="1"/>
  <c r="B1" i="74" s="1"/>
  <c r="C8" i="74" s="1"/>
  <c r="D37" i="11"/>
  <c r="C37" i="11" s="1"/>
  <c r="M14" i="1"/>
  <c r="O14" i="1" s="1"/>
  <c r="P14" i="1" s="1"/>
  <c r="C34" i="69"/>
  <c r="P8" i="1"/>
  <c r="E58" i="40"/>
  <c r="E63" i="39"/>
  <c r="E66" i="39" s="1"/>
  <c r="E16" i="6"/>
  <c r="AY103" i="3"/>
  <c r="AY160" i="3"/>
  <c r="AY183" i="3"/>
  <c r="AY284" i="3"/>
  <c r="AY335" i="3"/>
  <c r="AY470" i="3"/>
  <c r="AY409" i="3"/>
  <c r="AY180" i="3"/>
  <c r="AY228" i="3"/>
  <c r="AY372" i="3"/>
  <c r="AY327" i="3"/>
  <c r="AY310" i="3"/>
  <c r="AY463" i="3"/>
  <c r="AY420" i="3"/>
  <c r="AY401" i="3"/>
  <c r="AY549" i="3"/>
  <c r="AY544" i="3"/>
  <c r="AY533" i="3"/>
  <c r="BE6" i="3"/>
  <c r="AY82" i="3"/>
  <c r="AY132" i="3"/>
  <c r="AY292" i="3"/>
  <c r="AY220" i="3"/>
  <c r="AY334" i="3"/>
  <c r="AY444" i="3"/>
  <c r="AY526" i="3"/>
  <c r="AY269" i="3"/>
  <c r="AY390" i="3"/>
  <c r="AY311" i="3"/>
  <c r="AY447" i="3"/>
  <c r="AY535" i="3"/>
  <c r="AY574" i="3"/>
  <c r="AY555"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98" i="3"/>
  <c r="AY163" i="3"/>
  <c r="AY319" i="3"/>
  <c r="AY497" i="3"/>
  <c r="AY212" i="3"/>
  <c r="AY478" i="3"/>
  <c r="AY573" i="3"/>
  <c r="AY89" i="3"/>
  <c r="AY53" i="3"/>
  <c r="AY36" i="3"/>
  <c r="AY182"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90" i="3"/>
  <c r="AY412" i="3"/>
  <c r="AY326" i="3"/>
  <c r="AY105" i="3"/>
  <c r="AY52" i="3"/>
  <c r="AY162" i="3"/>
  <c r="AY291" i="3"/>
  <c r="AY238" i="3"/>
  <c r="AY368" i="3"/>
  <c r="AY72"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75" i="3"/>
  <c r="AY43" i="3"/>
  <c r="AY436" i="3"/>
  <c r="AY100" i="3"/>
  <c r="AY20" i="3"/>
  <c r="AY173" i="3"/>
  <c r="AY286" i="3"/>
  <c r="AY227" i="3"/>
  <c r="AY507" i="3"/>
  <c r="AY88" i="3"/>
  <c r="AY29" i="3"/>
  <c r="AY161"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30" i="6"/>
  <c r="E31" i="6" s="1"/>
  <c r="F27" i="69"/>
  <c r="F28" i="12"/>
  <c r="C29" i="12" s="1"/>
  <c r="D28" i="12" s="1"/>
  <c r="F27" i="11"/>
  <c r="O7" i="1"/>
  <c r="O16" i="1" s="1"/>
  <c r="M16" i="1"/>
  <c r="S22" i="6"/>
  <c r="S21" i="6"/>
  <c r="S25" i="6"/>
  <c r="D10" i="11"/>
  <c r="C10" i="11" s="1"/>
  <c r="D20" i="12"/>
  <c r="C20" i="12" s="1"/>
  <c r="D10" i="69"/>
  <c r="J10" i="40"/>
  <c r="AC10" i="40" s="1"/>
  <c r="H10" i="40"/>
  <c r="U10" i="40" s="1"/>
  <c r="H10" i="39"/>
  <c r="AB10" i="39" s="1"/>
  <c r="F10" i="39"/>
  <c r="AA10" i="39" s="1"/>
  <c r="C7" i="74"/>
  <c r="S10" i="39"/>
  <c r="W10" i="39"/>
  <c r="AC10" i="39"/>
  <c r="E68" i="39"/>
  <c r="D70" i="39"/>
  <c r="E58" i="21"/>
  <c r="I52" i="33"/>
  <c r="J52" i="33" s="1"/>
  <c r="G53" i="33"/>
  <c r="H53" i="33" s="1"/>
  <c r="J7" i="36"/>
  <c r="H7" i="36"/>
  <c r="G59" i="34"/>
  <c r="U7" i="37"/>
  <c r="AB7" i="37"/>
  <c r="T42" i="37" s="1"/>
  <c r="G42" i="37" s="1"/>
  <c r="AA7" i="35"/>
  <c r="R38" i="35" s="1"/>
  <c r="S7" i="35"/>
  <c r="E48" i="33"/>
  <c r="R49" i="33"/>
  <c r="W10" i="40"/>
  <c r="S10" i="40"/>
  <c r="S7" i="36"/>
  <c r="AA7" i="36"/>
  <c r="R36" i="36" s="1"/>
  <c r="AA7" i="37"/>
  <c r="R42" i="37" s="1"/>
  <c r="S7" i="37"/>
  <c r="AC7" i="37"/>
  <c r="V42" i="37" s="1"/>
  <c r="I42" i="37" s="1"/>
  <c r="W7" i="37"/>
  <c r="W7" i="35"/>
  <c r="AC7" i="35"/>
  <c r="V38" i="35" s="1"/>
  <c r="I38" i="35" s="1"/>
  <c r="U7" i="35"/>
  <c r="AB7" i="35"/>
  <c r="T38" i="35" s="1"/>
  <c r="G38" i="35" s="1"/>
  <c r="P25" i="43"/>
  <c r="C49" i="67"/>
  <c r="C18" i="67"/>
  <c r="C15" i="67"/>
  <c r="Q73" i="15"/>
  <c r="Q61" i="67"/>
  <c r="Q74" i="67"/>
  <c r="F27" i="68"/>
  <c r="D10" i="68"/>
  <c r="D5" i="73"/>
  <c r="F5" i="73"/>
  <c r="F6" i="73"/>
  <c r="C17" i="15"/>
  <c r="F4" i="73"/>
  <c r="D3" i="73"/>
  <c r="D6" i="73"/>
  <c r="F7" i="73"/>
  <c r="D4" i="73"/>
  <c r="M27" i="15"/>
  <c r="C16" i="15"/>
  <c r="D7" i="73"/>
  <c r="F3" i="73"/>
  <c r="F41" i="15"/>
  <c r="Q74" i="15" l="1"/>
  <c r="Q73" i="67"/>
  <c r="E20" i="43"/>
  <c r="I1" i="73"/>
  <c r="B39" i="1" s="1"/>
  <c r="D12" i="71"/>
  <c r="C11" i="71"/>
  <c r="D11" i="71" s="1"/>
  <c r="N50" i="71"/>
  <c r="N51" i="71"/>
  <c r="AY373" i="3"/>
  <c r="AY270" i="3"/>
  <c r="AY134" i="3"/>
  <c r="AY193" i="3"/>
  <c r="AY84" i="3"/>
  <c r="AY540" i="3"/>
  <c r="AY379" i="3"/>
  <c r="AY489" i="3"/>
  <c r="AY18" i="3"/>
  <c r="AY586" i="3"/>
  <c r="AY511" i="3"/>
  <c r="BD6" i="3"/>
  <c r="AY429" i="3"/>
  <c r="AY448" i="3"/>
  <c r="AY490" i="3"/>
  <c r="AY338" i="3"/>
  <c r="AY354" i="3"/>
  <c r="AY391" i="3"/>
  <c r="AY224" i="3"/>
  <c r="AY241" i="3"/>
  <c r="AY277" i="3"/>
  <c r="AY128" i="3"/>
  <c r="AY148" i="3"/>
  <c r="AY184" i="3"/>
  <c r="AY38" i="3"/>
  <c r="AY55" i="3"/>
  <c r="AY91" i="3"/>
  <c r="BL6" i="3"/>
  <c r="AY560" i="3"/>
  <c r="AY558" i="3"/>
  <c r="AY437"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BM6" i="3"/>
  <c r="AY427" i="3"/>
  <c r="AY446" i="3"/>
  <c r="AY488" i="3"/>
  <c r="AY332" i="3"/>
  <c r="AY349" i="3"/>
  <c r="AY210" i="3"/>
  <c r="AY290" i="3"/>
  <c r="AY181" i="3"/>
  <c r="BB6" i="3"/>
  <c r="AY384" i="3"/>
  <c r="AY255" i="3"/>
  <c r="AY141" i="3"/>
  <c r="AY198" i="3"/>
  <c r="AY69" i="3"/>
  <c r="AY557" i="3"/>
  <c r="AY229" i="3"/>
  <c r="AY387"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86" i="3"/>
  <c r="AY57" i="3"/>
  <c r="BI6" i="3"/>
  <c r="AY365" i="3"/>
  <c r="AY211" i="3"/>
  <c r="AY254" i="3"/>
  <c r="AY271" i="3"/>
  <c r="AY117" i="3"/>
  <c r="AY157" i="3"/>
  <c r="AY178" i="3"/>
  <c r="AY25" i="3"/>
  <c r="AY68" i="3"/>
  <c r="AY85" i="3"/>
  <c r="AY539" i="3"/>
  <c r="AY417" i="3"/>
  <c r="AY343" i="3"/>
  <c r="AY116" i="3"/>
  <c r="AY455" i="3"/>
  <c r="AY237" i="3"/>
  <c r="AY171"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O6" i="3"/>
  <c r="AY562" i="3"/>
  <c r="AY404" i="3"/>
  <c r="AY481" i="3"/>
  <c r="AY355" i="3"/>
  <c r="AY244" i="3"/>
  <c r="AY199" i="3"/>
  <c r="AY425" i="3"/>
  <c r="AY486" i="3"/>
  <c r="AY350" i="3"/>
  <c r="AY147" i="3"/>
  <c r="AY31" i="3"/>
  <c r="AY191" i="3"/>
  <c r="AY553" i="3"/>
  <c r="AY541" i="3"/>
  <c r="AY569" i="3"/>
  <c r="BK6" i="3"/>
  <c r="AY513" i="3"/>
  <c r="AY433" i="3"/>
  <c r="AY452" i="3"/>
  <c r="AY465" i="3"/>
  <c r="AY342" i="3"/>
  <c r="AY358" i="3"/>
  <c r="AY395" i="3"/>
  <c r="AY245" i="3"/>
  <c r="AY106" i="3"/>
  <c r="AY428" i="3"/>
  <c r="AY318" i="3"/>
  <c r="AY209" i="3"/>
  <c r="AY261" i="3"/>
  <c r="AY289" i="3"/>
  <c r="AY50" i="3"/>
  <c r="K27" i="6"/>
  <c r="I27" i="6"/>
  <c r="M27" i="6"/>
  <c r="D7" i="71"/>
  <c r="C6" i="71"/>
  <c r="F63" i="40"/>
  <c r="E65" i="40"/>
  <c r="F69" i="15"/>
  <c r="AQ6" i="1"/>
  <c r="T6" i="1"/>
  <c r="S16" i="1"/>
  <c r="AR6" i="1"/>
  <c r="S27" i="6"/>
  <c r="AY217" i="3"/>
  <c r="AY260" i="3"/>
  <c r="AY300" i="3"/>
  <c r="AY26" i="3"/>
  <c r="AY529" i="3"/>
  <c r="AY441" i="3"/>
  <c r="AY460" i="3"/>
  <c r="AY473" i="3"/>
  <c r="AY303" i="3"/>
  <c r="AY363" i="3"/>
  <c r="AY252" i="3"/>
  <c r="AY204" i="3"/>
  <c r="AY123" i="3"/>
  <c r="AY74" i="3"/>
  <c r="AY139" i="3"/>
  <c r="AY196" i="3"/>
  <c r="AB10" i="40"/>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AY366" i="3"/>
  <c r="P7" i="1"/>
  <c r="P16" i="1" s="1"/>
  <c r="C11" i="12" s="1"/>
  <c r="C15" i="12" s="1"/>
  <c r="D17" i="12"/>
  <c r="C17" i="12" s="1"/>
  <c r="C14" i="12"/>
  <c r="U10" i="39"/>
  <c r="N16" i="1"/>
  <c r="C34" i="11"/>
  <c r="L16" i="1"/>
  <c r="C47" i="11"/>
  <c r="D45" i="11" s="1"/>
  <c r="C29" i="11"/>
  <c r="D27" i="11" s="1"/>
  <c r="C28" i="11"/>
  <c r="C27" i="11" s="1"/>
  <c r="C29" i="68"/>
  <c r="D27" i="68" s="1"/>
  <c r="C47" i="68"/>
  <c r="D45" i="68" s="1"/>
  <c r="C47" i="69"/>
  <c r="D45" i="69" s="1"/>
  <c r="C29" i="69"/>
  <c r="D27" i="69" s="1"/>
  <c r="H20" i="6"/>
  <c r="D19" i="6"/>
  <c r="D26" i="6"/>
  <c r="C18" i="4"/>
  <c r="D8" i="6"/>
  <c r="D23" i="6"/>
  <c r="D14" i="6"/>
  <c r="D12" i="6"/>
  <c r="D11" i="6"/>
  <c r="D13" i="6"/>
  <c r="D28" i="6"/>
  <c r="E61" i="40"/>
  <c r="M19" i="9"/>
  <c r="C118" i="9" s="1"/>
  <c r="C14" i="74" s="1"/>
  <c r="B2" i="74" s="1"/>
  <c r="D25" i="6"/>
  <c r="D15" i="6"/>
  <c r="D22" i="6"/>
  <c r="D21" i="6"/>
  <c r="D24" i="6"/>
  <c r="D20" i="6"/>
  <c r="R20" i="6" s="1"/>
  <c r="D5" i="6"/>
  <c r="D9" i="6"/>
  <c r="D10" i="6"/>
  <c r="D29" i="6"/>
  <c r="H19" i="6"/>
  <c r="L19" i="9" s="1"/>
  <c r="H26" i="6"/>
  <c r="H24" i="6"/>
  <c r="C38" i="69"/>
  <c r="C35" i="69"/>
  <c r="C10" i="69"/>
  <c r="C8" i="69" s="1"/>
  <c r="C5" i="69" s="1"/>
  <c r="D19" i="69"/>
  <c r="C10" i="68"/>
  <c r="C8" i="68" s="1"/>
  <c r="D19" i="68"/>
  <c r="G42" i="35"/>
  <c r="H42" i="35" s="1"/>
  <c r="G43" i="35"/>
  <c r="H43" i="35" s="1"/>
  <c r="I42" i="35"/>
  <c r="J42" i="35" s="1"/>
  <c r="E36" i="36"/>
  <c r="R37" i="36"/>
  <c r="E53" i="33"/>
  <c r="F53" i="33" s="1"/>
  <c r="E52" i="33"/>
  <c r="F52" i="33" s="1"/>
  <c r="E38" i="35"/>
  <c r="I43" i="35" s="1"/>
  <c r="J43" i="35" s="1"/>
  <c r="R39" i="35"/>
  <c r="H59" i="34"/>
  <c r="I59" i="34" s="1"/>
  <c r="J59" i="34" s="1"/>
  <c r="K59" i="34" s="1"/>
  <c r="L59" i="34" s="1"/>
  <c r="M59" i="34" s="1"/>
  <c r="N59" i="34" s="1"/>
  <c r="O59" i="34" s="1"/>
  <c r="F7" i="34"/>
  <c r="J7" i="34"/>
  <c r="AC7" i="36"/>
  <c r="V36" i="36" s="1"/>
  <c r="I36" i="36" s="1"/>
  <c r="W7" i="36"/>
  <c r="I46" i="37"/>
  <c r="J46" i="37" s="1"/>
  <c r="E42" i="37"/>
  <c r="R43" i="37"/>
  <c r="C49" i="33"/>
  <c r="B2" i="33" s="1"/>
  <c r="B3" i="33" s="1"/>
  <c r="C48" i="33"/>
  <c r="G46" i="37"/>
  <c r="H46" i="37" s="1"/>
  <c r="G47" i="37"/>
  <c r="H47" i="37" s="1"/>
  <c r="H7" i="34"/>
  <c r="AB7" i="36"/>
  <c r="T36" i="36" s="1"/>
  <c r="G36" i="36" s="1"/>
  <c r="U7" i="36"/>
  <c r="I53" i="33"/>
  <c r="J53" i="33" s="1"/>
  <c r="F58" i="21"/>
  <c r="F68" i="39"/>
  <c r="E70" i="39"/>
  <c r="C19" i="67"/>
  <c r="C20" i="67" s="1"/>
  <c r="C26" i="67" s="1"/>
  <c r="C34" i="68"/>
  <c r="G1" i="73"/>
  <c r="C14" i="15"/>
  <c r="B40" i="1" l="1"/>
  <c r="F24" i="15" s="1"/>
  <c r="C24" i="15" s="1"/>
  <c r="C15" i="15"/>
  <c r="C18" i="15"/>
  <c r="T16" i="1"/>
  <c r="C5" i="71"/>
  <c r="D5" i="71" s="1"/>
  <c r="M20" i="43" s="1"/>
  <c r="C19" i="43" s="1"/>
  <c r="D6" i="71"/>
  <c r="H22" i="6"/>
  <c r="R22" i="6" s="1"/>
  <c r="D6" i="6"/>
  <c r="H23" i="6"/>
  <c r="R23" i="6" s="1"/>
  <c r="H21" i="6"/>
  <c r="R21" i="6" s="1"/>
  <c r="H25" i="6"/>
  <c r="M11" i="15"/>
  <c r="J10" i="15" s="1"/>
  <c r="J5" i="15" s="1"/>
  <c r="F11" i="15"/>
  <c r="F11" i="67"/>
  <c r="M11" i="67"/>
  <c r="J10" i="67" s="1"/>
  <c r="J5" i="67" s="1"/>
  <c r="R25" i="6"/>
  <c r="F65" i="40"/>
  <c r="G63" i="40"/>
  <c r="P17" i="43"/>
  <c r="N17" i="43"/>
  <c r="G20" i="43" s="1"/>
  <c r="M17" i="43"/>
  <c r="O17" i="43"/>
  <c r="C12" i="12"/>
  <c r="C16" i="12" s="1"/>
  <c r="C18" i="12"/>
  <c r="H27" i="6"/>
  <c r="D30" i="6"/>
  <c r="D16" i="6"/>
  <c r="C4" i="52"/>
  <c r="B45" i="72" s="1"/>
  <c r="A10" i="51"/>
  <c r="B9" i="72" s="1"/>
  <c r="A7" i="51"/>
  <c r="B7" i="72" s="1"/>
  <c r="D27" i="6"/>
  <c r="D31" i="6" s="1"/>
  <c r="R19" i="6"/>
  <c r="C35" i="68"/>
  <c r="C38" i="68"/>
  <c r="C38" i="11"/>
  <c r="C35" i="11"/>
  <c r="R24" i="6"/>
  <c r="D8" i="74"/>
  <c r="D7" i="74"/>
  <c r="R26" i="6"/>
  <c r="F50" i="11"/>
  <c r="F50" i="69"/>
  <c r="F50" i="68"/>
  <c r="C19" i="68"/>
  <c r="D37" i="68"/>
  <c r="C37" i="68" s="1"/>
  <c r="C19" i="69"/>
  <c r="D37" i="69"/>
  <c r="C37" i="69" s="1"/>
  <c r="C33" i="69" s="1"/>
  <c r="C39" i="69" s="1"/>
  <c r="C46" i="69" s="1"/>
  <c r="C45" i="69" s="1"/>
  <c r="G40" i="36"/>
  <c r="H40" i="36" s="1"/>
  <c r="G41" i="36"/>
  <c r="H41" i="36" s="1"/>
  <c r="E47" i="37"/>
  <c r="F47" i="37" s="1"/>
  <c r="E46" i="37"/>
  <c r="F46" i="37" s="1"/>
  <c r="I47" i="37"/>
  <c r="J47" i="37" s="1"/>
  <c r="I41" i="36"/>
  <c r="J41" i="36" s="1"/>
  <c r="I40" i="36"/>
  <c r="J40" i="36" s="1"/>
  <c r="S7" i="34"/>
  <c r="AA7" i="34"/>
  <c r="R49" i="34" s="1"/>
  <c r="C38" i="35"/>
  <c r="C39" i="35"/>
  <c r="B2" i="35" s="1"/>
  <c r="B3" i="35" s="1"/>
  <c r="C36" i="36"/>
  <c r="C37" i="36"/>
  <c r="B2" i="36" s="1"/>
  <c r="B3" i="36" s="1"/>
  <c r="G68" i="39"/>
  <c r="F70" i="39"/>
  <c r="G58" i="21"/>
  <c r="U7" i="34"/>
  <c r="AB7" i="34"/>
  <c r="T49" i="34" s="1"/>
  <c r="G49" i="34" s="1"/>
  <c r="C42" i="37"/>
  <c r="C43" i="37"/>
  <c r="B2" i="37" s="1"/>
  <c r="B3" i="37" s="1"/>
  <c r="AC7" i="34"/>
  <c r="V49" i="34" s="1"/>
  <c r="I49" i="34" s="1"/>
  <c r="W7" i="34"/>
  <c r="E43" i="35"/>
  <c r="F43" i="35" s="1"/>
  <c r="E42" i="35"/>
  <c r="F42" i="35" s="1"/>
  <c r="E40" i="36"/>
  <c r="F40" i="36" s="1"/>
  <c r="E41" i="36"/>
  <c r="F41" i="36" s="1"/>
  <c r="F22" i="11" l="1"/>
  <c r="C23" i="11" s="1"/>
  <c r="F25" i="12"/>
  <c r="C26" i="12" s="1"/>
  <c r="D25" i="12" s="1"/>
  <c r="F22" i="68"/>
  <c r="C44" i="68" s="1"/>
  <c r="D41" i="68" s="1"/>
  <c r="F24" i="67"/>
  <c r="F22" i="69"/>
  <c r="C43" i="69" s="1"/>
  <c r="C20" i="69"/>
  <c r="C28" i="69" s="1"/>
  <c r="C27" i="69" s="1"/>
  <c r="C24" i="11"/>
  <c r="C19" i="15"/>
  <c r="C20" i="15" s="1"/>
  <c r="J24" i="67"/>
  <c r="J18" i="67"/>
  <c r="J26" i="67"/>
  <c r="J29" i="67" s="1"/>
  <c r="C10" i="15"/>
  <c r="C5" i="15" s="1"/>
  <c r="C33" i="15" s="1"/>
  <c r="C53" i="15"/>
  <c r="C48" i="15" s="1"/>
  <c r="E41" i="43"/>
  <c r="C41" i="43" s="1"/>
  <c r="C20" i="43"/>
  <c r="G65" i="40"/>
  <c r="H63" i="40"/>
  <c r="C10" i="67"/>
  <c r="C5" i="67" s="1"/>
  <c r="C53" i="67"/>
  <c r="C48" i="67" s="1"/>
  <c r="J18" i="15"/>
  <c r="J24" i="15"/>
  <c r="C21" i="12"/>
  <c r="C22" i="12" s="1"/>
  <c r="C30" i="12" s="1"/>
  <c r="C28" i="12" s="1"/>
  <c r="C24" i="68"/>
  <c r="R27" i="6"/>
  <c r="R6" i="1"/>
  <c r="C33" i="68"/>
  <c r="C33" i="11"/>
  <c r="C39" i="11" s="1"/>
  <c r="I6" i="6"/>
  <c r="G3" i="43" s="1"/>
  <c r="I5" i="6"/>
  <c r="H68" i="39"/>
  <c r="G70" i="39"/>
  <c r="G54" i="34"/>
  <c r="H54" i="34" s="1"/>
  <c r="G53" i="34"/>
  <c r="H53" i="34" s="1"/>
  <c r="I53" i="34"/>
  <c r="J53" i="34" s="1"/>
  <c r="H58" i="21"/>
  <c r="R50" i="34"/>
  <c r="E49" i="34"/>
  <c r="I54" i="34" s="1"/>
  <c r="J54" i="34" s="1"/>
  <c r="J19" i="15"/>
  <c r="M21" i="15"/>
  <c r="F35" i="15"/>
  <c r="C26" i="68" l="1"/>
  <c r="D22" i="68" s="1"/>
  <c r="C42" i="69"/>
  <c r="C41" i="69" s="1"/>
  <c r="C25" i="11"/>
  <c r="C22" i="11" s="1"/>
  <c r="C26" i="11"/>
  <c r="D22" i="11" s="1"/>
  <c r="C44" i="11"/>
  <c r="D41" i="11" s="1"/>
  <c r="C27" i="12"/>
  <c r="C25" i="12" s="1"/>
  <c r="C32" i="12" s="1"/>
  <c r="B2" i="12" s="1"/>
  <c r="B3" i="12" s="1"/>
  <c r="C25" i="69"/>
  <c r="C24" i="67"/>
  <c r="C23" i="67"/>
  <c r="C23" i="69"/>
  <c r="C44" i="69"/>
  <c r="D41" i="69" s="1"/>
  <c r="C26" i="69"/>
  <c r="D22" i="69" s="1"/>
  <c r="C24" i="69"/>
  <c r="C26" i="15"/>
  <c r="C23" i="15"/>
  <c r="G101" i="43"/>
  <c r="F22" i="43"/>
  <c r="F101" i="43"/>
  <c r="E22" i="43"/>
  <c r="D101" i="43"/>
  <c r="I101" i="43"/>
  <c r="AJ11" i="43"/>
  <c r="AJ13" i="43" s="1"/>
  <c r="AF11" i="43"/>
  <c r="AF13" i="43" s="1"/>
  <c r="AB11" i="43"/>
  <c r="AB13" i="43" s="1"/>
  <c r="Z7" i="43"/>
  <c r="AG11" i="43"/>
  <c r="AG13" i="43" s="1"/>
  <c r="AC11" i="43"/>
  <c r="AC13" i="43" s="1"/>
  <c r="Y11" i="43"/>
  <c r="Y13" i="43" s="1"/>
  <c r="J22" i="43"/>
  <c r="G22" i="43"/>
  <c r="N104" i="46"/>
  <c r="B113" i="43"/>
  <c r="J101" i="43"/>
  <c r="L101" i="43"/>
  <c r="K101" i="43"/>
  <c r="N101" i="43"/>
  <c r="H22" i="43"/>
  <c r="M101" i="43"/>
  <c r="E101" i="43"/>
  <c r="AH11" i="43"/>
  <c r="AH13" i="43" s="1"/>
  <c r="AD11" i="43"/>
  <c r="AD13" i="43" s="1"/>
  <c r="Z11" i="43"/>
  <c r="Z13" i="43" s="1"/>
  <c r="AI11" i="43"/>
  <c r="AI13" i="43" s="1"/>
  <c r="AE11" i="43"/>
  <c r="AE13" i="43" s="1"/>
  <c r="AA11" i="43"/>
  <c r="AA13" i="43" s="1"/>
  <c r="H101" i="43"/>
  <c r="C101" i="43"/>
  <c r="C32" i="67"/>
  <c r="C38" i="67"/>
  <c r="C38" i="43"/>
  <c r="C39" i="43"/>
  <c r="C38" i="15"/>
  <c r="C32" i="15"/>
  <c r="C66" i="67"/>
  <c r="C60" i="67"/>
  <c r="I63" i="40"/>
  <c r="H65" i="40"/>
  <c r="T14" i="43"/>
  <c r="V14" i="43" s="1"/>
  <c r="C34" i="43"/>
  <c r="T11" i="43"/>
  <c r="V11" i="43" s="1"/>
  <c r="T10" i="43"/>
  <c r="V10" i="43" s="1"/>
  <c r="T12" i="43"/>
  <c r="V12" i="43" s="1"/>
  <c r="T9" i="43"/>
  <c r="V9" i="43" s="1"/>
  <c r="C33" i="43"/>
  <c r="T15" i="43"/>
  <c r="V15" i="43" s="1"/>
  <c r="T16" i="43"/>
  <c r="V16" i="43" s="1"/>
  <c r="C37" i="43"/>
  <c r="T13" i="43"/>
  <c r="V13" i="43" s="1"/>
  <c r="C35" i="43"/>
  <c r="T8" i="43"/>
  <c r="V8" i="43" s="1"/>
  <c r="C36" i="43"/>
  <c r="C60" i="15"/>
  <c r="C66" i="15"/>
  <c r="J20" i="15"/>
  <c r="J17" i="15" s="1"/>
  <c r="F63" i="15"/>
  <c r="C62" i="15" s="1"/>
  <c r="C34" i="15"/>
  <c r="R16" i="1"/>
  <c r="C39" i="68"/>
  <c r="C43" i="68" s="1"/>
  <c r="C42" i="68"/>
  <c r="C42" i="11"/>
  <c r="C46" i="11"/>
  <c r="C45" i="11" s="1"/>
  <c r="C43" i="11"/>
  <c r="E54" i="34"/>
  <c r="F54" i="34" s="1"/>
  <c r="E53" i="34"/>
  <c r="F53" i="34" s="1"/>
  <c r="I58" i="21"/>
  <c r="C50" i="34"/>
  <c r="B2" i="34" s="1"/>
  <c r="B3" i="34" s="1"/>
  <c r="C49" i="34"/>
  <c r="I68" i="39"/>
  <c r="H70" i="39"/>
  <c r="C61" i="15"/>
  <c r="C49" i="69" l="1"/>
  <c r="C51" i="69" s="1"/>
  <c r="C31" i="11"/>
  <c r="C31" i="15"/>
  <c r="C29" i="67"/>
  <c r="C13" i="67" s="1"/>
  <c r="C22" i="69"/>
  <c r="C31" i="69" s="1"/>
  <c r="J14" i="67"/>
  <c r="C29" i="15"/>
  <c r="J14" i="15" s="1"/>
  <c r="E36" i="43"/>
  <c r="G36" i="43"/>
  <c r="I36" i="43" s="1"/>
  <c r="E33" i="43"/>
  <c r="G33" i="43"/>
  <c r="I33" i="43" s="1"/>
  <c r="E34" i="43"/>
  <c r="G34" i="43"/>
  <c r="I34" i="43" s="1"/>
  <c r="I65" i="40"/>
  <c r="J63" i="40"/>
  <c r="G38" i="43"/>
  <c r="I38" i="43" s="1"/>
  <c r="E38" i="43"/>
  <c r="I107" i="43"/>
  <c r="I109" i="43"/>
  <c r="I106" i="43"/>
  <c r="I104" i="43"/>
  <c r="I105" i="43"/>
  <c r="I103" i="43"/>
  <c r="I102" i="43"/>
  <c r="D22" i="43"/>
  <c r="E35" i="43"/>
  <c r="G35" i="43"/>
  <c r="I35" i="43" s="1"/>
  <c r="E37" i="43"/>
  <c r="G37" i="43"/>
  <c r="I37" i="43" s="1"/>
  <c r="E39" i="43"/>
  <c r="G39" i="43"/>
  <c r="I39" i="43" s="1"/>
  <c r="H107" i="43"/>
  <c r="H105" i="43"/>
  <c r="H104" i="43"/>
  <c r="H103" i="43"/>
  <c r="H102" i="43"/>
  <c r="H106" i="43"/>
  <c r="H109" i="43"/>
  <c r="M104" i="43"/>
  <c r="M105" i="43"/>
  <c r="M106" i="43"/>
  <c r="M103" i="43"/>
  <c r="M107" i="43"/>
  <c r="M102" i="43"/>
  <c r="M109" i="43"/>
  <c r="N103" i="43"/>
  <c r="N107" i="43"/>
  <c r="N105" i="43"/>
  <c r="N109" i="43"/>
  <c r="N106" i="43"/>
  <c r="N102" i="43"/>
  <c r="N104" i="43"/>
  <c r="L105" i="43"/>
  <c r="L102" i="43"/>
  <c r="L106" i="43"/>
  <c r="L107" i="43"/>
  <c r="L109" i="43"/>
  <c r="L103" i="43"/>
  <c r="L104" i="43"/>
  <c r="B115" i="43"/>
  <c r="C115" i="43" s="1"/>
  <c r="I118" i="43"/>
  <c r="J118" i="43" s="1"/>
  <c r="K118" i="43" s="1"/>
  <c r="L118" i="43" s="1"/>
  <c r="M118" i="43" s="1"/>
  <c r="D115" i="43"/>
  <c r="E115" i="43" s="1"/>
  <c r="F115" i="43" s="1"/>
  <c r="G115" i="43" s="1"/>
  <c r="H115" i="43" s="1"/>
  <c r="I117" i="43"/>
  <c r="J117" i="43" s="1"/>
  <c r="K117" i="43" s="1"/>
  <c r="L117" i="43" s="1"/>
  <c r="M117" i="43" s="1"/>
  <c r="I115" i="43"/>
  <c r="J115" i="43" s="1"/>
  <c r="K115" i="43" s="1"/>
  <c r="L115" i="43" s="1"/>
  <c r="M115" i="43" s="1"/>
  <c r="G118" i="43"/>
  <c r="H118" i="43" s="1"/>
  <c r="I116" i="43"/>
  <c r="J116" i="43" s="1"/>
  <c r="K116" i="43" s="1"/>
  <c r="L116" i="43" s="1"/>
  <c r="M116" i="43" s="1"/>
  <c r="D117" i="43"/>
  <c r="E117" i="43" s="1"/>
  <c r="F117" i="43" s="1"/>
  <c r="G117" i="43" s="1"/>
  <c r="H117" i="43" s="1"/>
  <c r="B117" i="43"/>
  <c r="C117" i="43" s="1"/>
  <c r="D118" i="43"/>
  <c r="E118" i="43" s="1"/>
  <c r="F118" i="43" s="1"/>
  <c r="B116" i="43"/>
  <c r="C116" i="43" s="1"/>
  <c r="D116" i="43"/>
  <c r="E116" i="43" s="1"/>
  <c r="F116" i="43" s="1"/>
  <c r="G116" i="43" s="1"/>
  <c r="H116" i="43" s="1"/>
  <c r="B118" i="43"/>
  <c r="C118" i="43" s="1"/>
  <c r="D105" i="43"/>
  <c r="D102" i="43"/>
  <c r="D103" i="43"/>
  <c r="D107" i="43"/>
  <c r="D109" i="43"/>
  <c r="D106" i="43"/>
  <c r="D104" i="43"/>
  <c r="F107" i="43"/>
  <c r="F103" i="43"/>
  <c r="F104" i="43"/>
  <c r="F105" i="43"/>
  <c r="F106" i="43"/>
  <c r="F102" i="43"/>
  <c r="F109" i="43"/>
  <c r="G107" i="43"/>
  <c r="G105" i="43"/>
  <c r="G103" i="43"/>
  <c r="G106" i="43"/>
  <c r="G102" i="43"/>
  <c r="G109" i="43"/>
  <c r="G104" i="43"/>
  <c r="C106" i="43"/>
  <c r="C102" i="43"/>
  <c r="C107" i="43"/>
  <c r="C104" i="43"/>
  <c r="C109" i="43"/>
  <c r="C105" i="43"/>
  <c r="C103" i="43"/>
  <c r="E107" i="43"/>
  <c r="E109" i="43"/>
  <c r="E103" i="43"/>
  <c r="E104" i="43"/>
  <c r="E102" i="43"/>
  <c r="E105" i="43"/>
  <c r="E106" i="43"/>
  <c r="K104" i="43"/>
  <c r="K103" i="43"/>
  <c r="K109" i="43"/>
  <c r="K107" i="43"/>
  <c r="K106" i="43"/>
  <c r="K102" i="43"/>
  <c r="K105" i="43"/>
  <c r="J107" i="43"/>
  <c r="J105" i="43"/>
  <c r="J109" i="43"/>
  <c r="J106" i="43"/>
  <c r="J104" i="43"/>
  <c r="J102" i="43"/>
  <c r="J103" i="43"/>
  <c r="C59" i="15"/>
  <c r="C41" i="68"/>
  <c r="C41" i="11"/>
  <c r="C49" i="11" s="1"/>
  <c r="C51" i="11" s="1"/>
  <c r="C52" i="11" s="1"/>
  <c r="B2" i="11" s="1"/>
  <c r="B3" i="11" s="1"/>
  <c r="C46" i="68"/>
  <c r="C45" i="68" s="1"/>
  <c r="C49" i="68" s="1"/>
  <c r="C51" i="68" s="1"/>
  <c r="J68" i="39"/>
  <c r="I70" i="39"/>
  <c r="J58" i="21"/>
  <c r="C52" i="69" l="1"/>
  <c r="B2" i="69" s="1"/>
  <c r="B3" i="69" s="1"/>
  <c r="C33" i="67"/>
  <c r="C31" i="67" s="1"/>
  <c r="J19" i="67"/>
  <c r="J17" i="67" s="1"/>
  <c r="Q49" i="67"/>
  <c r="C36" i="67"/>
  <c r="C57" i="67"/>
  <c r="C61" i="67" s="1"/>
  <c r="C59" i="67" s="1"/>
  <c r="J59" i="67"/>
  <c r="J60" i="67" s="1"/>
  <c r="L46" i="67" s="1"/>
  <c r="J13" i="67"/>
  <c r="J23" i="67" s="1"/>
  <c r="J22" i="67"/>
  <c r="C75" i="67"/>
  <c r="Q70" i="67"/>
  <c r="C37" i="67"/>
  <c r="C56" i="67"/>
  <c r="C65" i="67" s="1"/>
  <c r="C57" i="15"/>
  <c r="C64" i="15" s="1"/>
  <c r="C13" i="15"/>
  <c r="J59" i="15"/>
  <c r="J60" i="15" s="1"/>
  <c r="C36" i="15"/>
  <c r="Q49" i="15"/>
  <c r="J13" i="15"/>
  <c r="J23" i="15" s="1"/>
  <c r="J22" i="15"/>
  <c r="K63" i="40"/>
  <c r="J65" i="40"/>
  <c r="S2" i="43"/>
  <c r="T2" i="43" s="1"/>
  <c r="V2" i="43" s="1"/>
  <c r="S3" i="43"/>
  <c r="T3" i="43" s="1"/>
  <c r="V3" i="43" s="1"/>
  <c r="S5" i="43"/>
  <c r="T5" i="43" s="1"/>
  <c r="V5" i="43" s="1"/>
  <c r="S6" i="43"/>
  <c r="T6" i="43" s="1"/>
  <c r="V6" i="43" s="1"/>
  <c r="C23" i="43"/>
  <c r="C21" i="43" s="1"/>
  <c r="S4" i="43"/>
  <c r="T4" i="43" s="1"/>
  <c r="V4" i="43" s="1"/>
  <c r="S7" i="43"/>
  <c r="T7" i="43" s="1"/>
  <c r="V7" i="43" s="1"/>
  <c r="D113" i="43"/>
  <c r="C56" i="11"/>
  <c r="C57" i="11" s="1"/>
  <c r="K68" i="39"/>
  <c r="J70" i="39"/>
  <c r="K58" i="21"/>
  <c r="L57" i="15"/>
  <c r="L60" i="15" s="1"/>
  <c r="Q48" i="67" l="1"/>
  <c r="C57" i="69"/>
  <c r="C56" i="69" s="1"/>
  <c r="C64" i="67"/>
  <c r="C58" i="67" s="1"/>
  <c r="C67" i="67" s="1"/>
  <c r="C68" i="67" s="1"/>
  <c r="C71" i="67" s="1"/>
  <c r="C30" i="67"/>
  <c r="C39" i="67" s="1"/>
  <c r="C40" i="67" s="1"/>
  <c r="J16" i="67"/>
  <c r="J25" i="67" s="1"/>
  <c r="C56" i="15"/>
  <c r="C65" i="15" s="1"/>
  <c r="C58" i="15" s="1"/>
  <c r="C67" i="15" s="1"/>
  <c r="C68" i="15" s="1"/>
  <c r="C71" i="15" s="1"/>
  <c r="Q70" i="15"/>
  <c r="C37" i="15"/>
  <c r="C30" i="15" s="1"/>
  <c r="C39" i="15" s="1"/>
  <c r="C75" i="15"/>
  <c r="J16" i="15"/>
  <c r="J25" i="15" s="1"/>
  <c r="J26" i="15" s="1"/>
  <c r="J29" i="15" s="1"/>
  <c r="L46" i="15"/>
  <c r="Q48" i="15"/>
  <c r="C29" i="43"/>
  <c r="K65" i="40"/>
  <c r="L63" i="40"/>
  <c r="L58" i="21"/>
  <c r="L68" i="39"/>
  <c r="K70" i="39"/>
  <c r="Q57" i="15"/>
  <c r="Q66" i="15"/>
  <c r="L51" i="15"/>
  <c r="L51" i="67"/>
  <c r="Q69" i="67" l="1"/>
  <c r="Q68" i="67" s="1"/>
  <c r="C80" i="67"/>
  <c r="C79" i="67" s="1"/>
  <c r="C45" i="67"/>
  <c r="C46" i="67" s="1"/>
  <c r="Q47" i="67"/>
  <c r="Q53" i="67" s="1"/>
  <c r="C83" i="67"/>
  <c r="C82" i="67" s="1"/>
  <c r="D2" i="67"/>
  <c r="C43" i="67"/>
  <c r="Q56" i="67"/>
  <c r="Q65" i="67"/>
  <c r="L57" i="67"/>
  <c r="L60" i="67" s="1"/>
  <c r="Q67" i="67"/>
  <c r="Q67" i="15"/>
  <c r="Q69" i="15"/>
  <c r="Q68" i="15" s="1"/>
  <c r="C40" i="15"/>
  <c r="C46" i="15" s="1"/>
  <c r="C80" i="15"/>
  <c r="C79" i="15" s="1"/>
  <c r="M63" i="40"/>
  <c r="L65" i="40"/>
  <c r="C30" i="43"/>
  <c r="E30" i="43" s="1"/>
  <c r="C27" i="43" s="1"/>
  <c r="E29" i="43"/>
  <c r="C26" i="43" s="1"/>
  <c r="M68" i="39"/>
  <c r="L70" i="39"/>
  <c r="M58" i="21"/>
  <c r="N58" i="21" s="1"/>
  <c r="O58" i="21" s="1"/>
  <c r="H7" i="21"/>
  <c r="E2" i="68"/>
  <c r="E6" i="76"/>
  <c r="B2" i="67" l="1"/>
  <c r="B3" i="67"/>
  <c r="Q66" i="67"/>
  <c r="Q75" i="67" s="1"/>
  <c r="Q57" i="67"/>
  <c r="Q62" i="67" s="1"/>
  <c r="B2" i="15"/>
  <c r="Q65" i="15"/>
  <c r="Q75" i="15" s="1"/>
  <c r="Q56" i="15"/>
  <c r="Q62" i="15" s="1"/>
  <c r="Q47" i="15"/>
  <c r="Q53" i="15" s="1"/>
  <c r="C43" i="15"/>
  <c r="C83" i="15"/>
  <c r="C82" i="15" s="1"/>
  <c r="E2" i="76"/>
  <c r="B2" i="43"/>
  <c r="M65" i="40"/>
  <c r="N63" i="40"/>
  <c r="AB7" i="21"/>
  <c r="T48" i="21" s="1"/>
  <c r="G48" i="21" s="1"/>
  <c r="U7" i="21"/>
  <c r="J7" i="21"/>
  <c r="F7" i="21"/>
  <c r="N68" i="39"/>
  <c r="M70" i="39"/>
  <c r="D19" i="9"/>
  <c r="AO6" i="1"/>
  <c r="B6" i="76"/>
  <c r="B6" i="70" l="1"/>
  <c r="B2" i="70" s="1"/>
  <c r="B3" i="70" s="1"/>
  <c r="D21" i="9"/>
  <c r="D102" i="9"/>
  <c r="B3" i="15"/>
  <c r="B2" i="76"/>
  <c r="B3" i="76" s="1"/>
  <c r="O63" i="40"/>
  <c r="O65" i="40" s="1"/>
  <c r="H7" i="40" s="1"/>
  <c r="N65" i="40"/>
  <c r="F7" i="40" s="1"/>
  <c r="C6" i="68"/>
  <c r="C7" i="68" s="1"/>
  <c r="C5" i="68" s="1"/>
  <c r="B3" i="43"/>
  <c r="J7" i="40"/>
  <c r="S7" i="40"/>
  <c r="AA7" i="40"/>
  <c r="R42" i="40" s="1"/>
  <c r="O68" i="39"/>
  <c r="O70" i="39" s="1"/>
  <c r="N70" i="39"/>
  <c r="AC7" i="21"/>
  <c r="V48" i="21" s="1"/>
  <c r="I48" i="21" s="1"/>
  <c r="W7" i="21"/>
  <c r="S7" i="21"/>
  <c r="AA7" i="21"/>
  <c r="R48" i="21" s="1"/>
  <c r="G53" i="21"/>
  <c r="H53" i="21" s="1"/>
  <c r="G52" i="21"/>
  <c r="H52" i="21" s="1"/>
  <c r="D20" i="9"/>
  <c r="D103" i="9" l="1"/>
  <c r="AC7" i="40"/>
  <c r="V42" i="40" s="1"/>
  <c r="I42" i="40" s="1"/>
  <c r="I46" i="40" s="1"/>
  <c r="J46" i="40" s="1"/>
  <c r="W7" i="40"/>
  <c r="C20" i="68"/>
  <c r="C25" i="68" s="1"/>
  <c r="C23" i="68"/>
  <c r="U7" i="40"/>
  <c r="AB7" i="40"/>
  <c r="T42" i="40" s="1"/>
  <c r="G42" i="40" s="1"/>
  <c r="R43" i="40"/>
  <c r="E42" i="40"/>
  <c r="E48" i="21"/>
  <c r="I53" i="21" s="1"/>
  <c r="J53" i="21" s="1"/>
  <c r="R49" i="21"/>
  <c r="I52" i="21"/>
  <c r="J52" i="21" s="1"/>
  <c r="F7" i="39"/>
  <c r="H7" i="39"/>
  <c r="J7" i="39"/>
  <c r="C28" i="68" l="1"/>
  <c r="C27" i="68" s="1"/>
  <c r="C22" i="68"/>
  <c r="G47" i="40"/>
  <c r="H47" i="40" s="1"/>
  <c r="G46" i="40"/>
  <c r="H46" i="40" s="1"/>
  <c r="I47" i="40"/>
  <c r="J47" i="40" s="1"/>
  <c r="E46" i="40"/>
  <c r="F46" i="40" s="1"/>
  <c r="E47" i="40"/>
  <c r="F47" i="40" s="1"/>
  <c r="C42" i="40"/>
  <c r="C43" i="40"/>
  <c r="AB7" i="39"/>
  <c r="T47" i="39" s="1"/>
  <c r="G47" i="39" s="1"/>
  <c r="U7" i="39"/>
  <c r="C48" i="21"/>
  <c r="C49" i="21"/>
  <c r="B2" i="21" s="1"/>
  <c r="B3" i="21" s="1"/>
  <c r="AC7" i="39"/>
  <c r="V47" i="39" s="1"/>
  <c r="I47" i="39" s="1"/>
  <c r="W7" i="39"/>
  <c r="S7" i="39"/>
  <c r="AA7" i="39"/>
  <c r="R47" i="39" s="1"/>
  <c r="E52" i="21"/>
  <c r="F52" i="21" s="1"/>
  <c r="E53" i="21"/>
  <c r="F53" i="21" s="1"/>
  <c r="C31" i="68" l="1"/>
  <c r="C52" i="68" s="1"/>
  <c r="B2" i="68"/>
  <c r="C57" i="68"/>
  <c r="C56" i="68"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E47" i="39"/>
  <c r="I52" i="39" s="1"/>
  <c r="J52" i="39" s="1"/>
  <c r="R48" i="39"/>
  <c r="I51" i="39"/>
  <c r="J51" i="39" s="1"/>
  <c r="G51" i="39"/>
  <c r="H51" i="39" s="1"/>
  <c r="G52" i="39"/>
  <c r="H52" i="39" s="1"/>
  <c r="C19" i="9"/>
  <c r="C102" i="9" l="1"/>
  <c r="G19" i="9"/>
  <c r="D22" i="9"/>
  <c r="C21" i="9"/>
  <c r="C48" i="39"/>
  <c r="C47" i="39"/>
  <c r="E52" i="39"/>
  <c r="F52" i="39" s="1"/>
  <c r="E51" i="39"/>
  <c r="F51" i="39" s="1"/>
  <c r="B3" i="68"/>
  <c r="D35" i="9"/>
  <c r="C20" i="9"/>
  <c r="D34" i="9"/>
  <c r="G20" i="9" l="1"/>
  <c r="C103"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C35" i="9"/>
  <c r="F118" i="9" s="1"/>
  <c r="C34" i="9" l="1"/>
  <c r="D118" i="9" s="1"/>
  <c r="D119" i="9" s="1"/>
  <c r="D5" i="52" s="1"/>
  <c r="B49" i="72" s="1"/>
  <c r="G118" i="9"/>
  <c r="G4" i="52" s="1"/>
  <c r="B52" i="72" s="1"/>
  <c r="F4" i="52"/>
  <c r="B51" i="72" s="1"/>
  <c r="F119" i="9"/>
  <c r="F5" i="52" s="1"/>
  <c r="B53" i="72" s="1"/>
  <c r="H101" i="9"/>
  <c r="D14" i="74"/>
  <c r="C104" i="9"/>
  <c r="I118" i="9"/>
  <c r="H4" i="52"/>
  <c r="H119" i="9"/>
  <c r="H5" i="52" s="1"/>
  <c r="D4" i="52" l="1"/>
  <c r="B47" i="72" s="1"/>
  <c r="C105" i="9"/>
  <c r="I4" i="52"/>
  <c r="H102" i="9"/>
  <c r="D7" i="53" s="1"/>
  <c r="B21" i="72" s="1"/>
  <c r="E118" i="9"/>
  <c r="E4" i="52" s="1"/>
  <c r="B48" i="72" s="1"/>
  <c r="D5" i="53"/>
  <c r="M48" i="9"/>
  <c r="H107" i="9"/>
  <c r="D45" i="9"/>
  <c r="E14" i="74"/>
  <c r="B5" i="74"/>
  <c r="F14" i="74"/>
  <c r="C5" i="74" l="1"/>
  <c r="D5" i="74"/>
  <c r="D52" i="9"/>
  <c r="C72" i="9"/>
  <c r="C93" i="9"/>
  <c r="C86" i="9" s="1"/>
  <c r="D53" i="9"/>
  <c r="C64" i="9"/>
  <c r="C63" i="9" s="1"/>
  <c r="C67" i="9" s="1"/>
  <c r="C68" i="9" s="1"/>
  <c r="D54" i="9" s="1"/>
  <c r="C85" i="9"/>
  <c r="D55" i="9"/>
  <c r="M53" i="9" s="1"/>
  <c r="C78" i="9"/>
  <c r="C73" i="9" s="1"/>
  <c r="H108" i="9"/>
  <c r="D15" i="53" s="1"/>
  <c r="B31" i="72" s="1"/>
  <c r="D13" i="53"/>
  <c r="M49" i="9"/>
  <c r="D122" i="9"/>
  <c r="D6" i="53"/>
  <c r="B22" i="72" s="1"/>
  <c r="B20" i="72"/>
  <c r="L68" i="9" l="1"/>
  <c r="M68" i="9" s="1"/>
  <c r="L63" i="9"/>
  <c r="M63" i="9" s="1"/>
  <c r="L64" i="9"/>
  <c r="M64" i="9" s="1"/>
  <c r="L66" i="9"/>
  <c r="M66" i="9" s="1"/>
  <c r="L65" i="9"/>
  <c r="M65" i="9" s="1"/>
  <c r="L67" i="9"/>
  <c r="M67" i="9" s="1"/>
  <c r="D8" i="52"/>
  <c r="G14" i="74"/>
  <c r="B6" i="74" s="1"/>
  <c r="D123" i="9"/>
  <c r="D9" i="52" s="1"/>
  <c r="D14" i="53"/>
  <c r="B32" i="72" s="1"/>
  <c r="B30" i="72"/>
  <c r="C95" i="9"/>
  <c r="C79" i="9"/>
  <c r="M69" i="9" l="1"/>
  <c r="N69" i="9" s="1"/>
  <c r="C80" i="9"/>
  <c r="E80" i="9" s="1"/>
  <c r="E81" i="9" s="1"/>
  <c r="C96" i="9"/>
  <c r="E96" i="9" s="1"/>
  <c r="E97"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<sst xmlns="http://schemas.openxmlformats.org/spreadsheetml/2006/main" count="7409" uniqueCount="3151">
  <si>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</si>
  <si>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</si>
  <si>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</si>
  <si>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</si>
  <si>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</si>
  <si>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</si>
  <si>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</si>
  <si>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</si>
  <si>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</si>
  <si>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</si>
  <si>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</si>
  <si>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</si>
  <si>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</si>
  <si>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</si>
  <si>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</si>
  <si>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</si>
  <si>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</si>
  <si>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</si>
  <si>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</si>
  <si>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</si>
  <si>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</si>
  <si>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</si>
  <si>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</si>
  <si>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</si>
  <si>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</si>
  <si>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</si>
  <si>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</si>
  <si>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</si>
  <si>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</si>
  <si>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</si>
  <si>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</si>
  <si>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</si>
  <si>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</si>
  <si>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</si>
  <si>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</si>
  <si>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</si>
  <si>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</si>
  <si>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</si>
  <si>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</si>
  <si>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</si>
  <si>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</si>
  <si>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</si>
  <si>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</si>
  <si>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</si>
  <si>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</si>
  <si>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</si>
  <si>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</si>
  <si>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</si>
  <si>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</si>
  <si>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</si>
  <si>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</si>
  <si>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</si>
  <si>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</si>
  <si>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</si>
  <si>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</si>
  <si>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</si>
  <si>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</si>
  <si>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</si>
  <si>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</si>
  <si>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</si>
  <si>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</si>
  <si>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</si>
  <si>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</si>
  <si>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</si>
  <si>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</si>
  <si>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</si>
  <si>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</si>
  <si>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</si>
  <si>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</si>
  <si>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</si>
  <si>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</si>
  <si>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</si>
  <si>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</si>
  <si>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</si>
  <si>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</si>
  <si>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</si>
  <si>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</si>
  <si>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</si>
  <si>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</si>
  <si>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</si>
  <si>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</si>
  <si>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</si>
  <si>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</si>
  <si>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</si>
  <si>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</si>
  <si>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</si>
  <si>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</si>
  <si>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</si>
  <si>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</si>
  <si>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</si>
  <si>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</si>
  <si>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</si>
  <si>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</si>
  <si>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</si>
  <si>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</si>
  <si>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</si>
  <si>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</si>
  <si>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</si>
  <si>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</si>
  <si>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</si>
  <si>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</si>
  <si>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</si>
  <si>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</si>
  <si>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</si>
  <si>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</si>
  <si>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</si>
  <si>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</si>
  <si>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</si>
  <si>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</si>
  <si>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</si>
  <si>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</si>
  <si>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</si>
  <si>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</si>
  <si>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</si>
  <si>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</si>
  <si>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</si>
  <si>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</si>
  <si>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</si>
  <si>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</si>
  <si>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</si>
  <si>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</si>
  <si>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</si>
  <si>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</si>
  <si>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</si>
  <si>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</si>
  <si>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</si>
  <si>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</si>
  <si>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</si>
  <si>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</si>
  <si>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</si>
  <si>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</si>
  <si>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</si>
  <si>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</si>
  <si>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</si>
  <si>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</si>
  <si>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</si>
  <si>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</si>
  <si>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</si>
  <si>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</si>
  <si>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</si>
  <si>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</si>
  <si>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</si>
  <si>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</si>
  <si>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</si>
  <si>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</si>
  <si>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</si>
  <si>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</si>
  <si>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</si>
  <si>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</si>
  <si>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</si>
  <si>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</si>
  <si>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</si>
  <si>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</si>
  <si>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</si>
  <si>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</si>
  <si>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</si>
  <si>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</si>
  <si>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</si>
  <si>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</si>
  <si>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</si>
  <si>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</si>
  <si>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</si>
  <si>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</si>
  <si>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</si>
  <si>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</si>
  <si>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</si>
  <si>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</si>
  <si>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</si>
  <si>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</si>
  <si>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</si>
  <si>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</si>
  <si>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</si>
  <si>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</si>
  <si>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</si>
  <si>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</si>
  <si>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</si>
  <si>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</si>
  <si>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</si>
  <si>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</si>
  <si>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</si>
  <si>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</si>
  <si>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</si>
  <si>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</si>
  <si>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</si>
  <si>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</si>
  <si>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</si>
  <si>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</si>
  <si>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</si>
  <si>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</si>
  <si>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</si>
  <si>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</si>
  <si>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</si>
  <si>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</si>
  <si>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</si>
  <si>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</si>
  <si>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</si>
  <si>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</si>
  <si>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</si>
  <si>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</si>
  <si>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</si>
  <si>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</si>
  <si>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</si>
  <si>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</si>
  <si>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</si>
  <si>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</si>
  <si>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</si>
  <si>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</si>
  <si>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</si>
  <si>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</si>
  <si>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</si>
  <si>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</si>
  <si>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</si>
  <si>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</si>
  <si>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</si>
  <si>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</si>
  <si>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</si>
  <si>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</si>
  <si>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</si>
  <si>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</si>
  <si>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</si>
  <si>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</si>
  <si>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</si>
  <si>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</si>
  <si>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</si>
  <si>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</si>
  <si>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</si>
  <si>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</si>
  <si>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</si>
  <si>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</si>
  <si>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</si>
  <si>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</si>
  <si>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</si>
  <si>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</si>
  <si>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</si>
  <si>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</si>
  <si>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</si>
  <si>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</si>
  <si>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</si>
  <si>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</si>
  <si>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</si>
  <si>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</si>
  <si>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</si>
  <si>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</si>
  <si>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</si>
  <si>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</si>
  <si>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</si>
  <si>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</si>
  <si>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</si>
  <si>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</si>
  <si>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</si>
  <si>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</si>
  <si>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</si>
  <si>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</si>
  <si>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</si>
  <si>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</si>
  <si>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</si>
  <si>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</si>
  <si>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</si>
  <si>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</si>
  <si>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</si>
  <si>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</si>
  <si>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</si>
  <si>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</si>
  <si>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</si>
  <si>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</si>
  <si>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</si>
  <si>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</si>
  <si>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</si>
  <si>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</si>
  <si>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</si>
  <si>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</si>
  <si>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</si>
  <si>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</si>
  <si>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</si>
  <si>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</si>
  <si>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</si>
  <si>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</si>
  <si>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</si>
  <si>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</si>
  <si>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</si>
  <si>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</si>
  <si>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</si>
  <si>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</si>
  <si>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</si>
  <si>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</si>
  <si>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</si>
  <si>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</si>
  <si>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</si>
  <si>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</si>
  <si>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</si>
  <si>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</si>
  <si>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</si>
  <si>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</si>
  <si>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</si>
  <si>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</si>
  <si>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</si>
  <si>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</si>
  <si>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</si>
  <si>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</si>
  <si>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</si>
  <si>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</si>
  <si>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</si>
  <si>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</si>
  <si>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</si>
  <si>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</si>
  <si>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</si>
  <si>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</si>
  <si>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</si>
  <si>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</si>
  <si>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</si>
  <si>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</si>
  <si>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</si>
  <si>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</si>
  <si>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</si>
  <si>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</si>
  <si>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</si>
  <si>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</si>
  <si>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</si>
  <si>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</si>
  <si>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</si>
  <si>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</si>
  <si>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</si>
  <si>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</si>
  <si>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</si>
  <si>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</si>
  <si>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</si>
  <si>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</si>
  <si>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</si>
  <si>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</si>
  <si>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</si>
  <si>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</si>
  <si>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</si>
  <si>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</si>
  <si>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</si>
  <si>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</si>
  <si>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</si>
  <si>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</si>
  <si>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</si>
  <si>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</si>
  <si>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</si>
  <si>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</si>
  <si>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</si>
  <si>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</si>
  <si>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</si>
  <si>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</si>
  <si>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</si>
  <si>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</si>
  <si>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</si>
  <si>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</si>
  <si>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</si>
  <si>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</si>
  <si>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</si>
  <si>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</si>
  <si>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</si>
  <si>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</si>
  <si>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</si>
  <si>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</si>
  <si>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</si>
  <si>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</si>
  <si>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</si>
  <si>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</si>
  <si>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</si>
  <si>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</si>
  <si>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</si>
  <si>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</si>
  <si>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</si>
  <si>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</si>
  <si>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</si>
  <si>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</si>
  <si>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</si>
  <si>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</si>
  <si>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</si>
  <si>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</si>
  <si>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</si>
  <si>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</si>
  <si>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</si>
  <si>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</si>
  <si>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</si>
  <si>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</si>
  <si>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</si>
  <si>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</si>
  <si>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</si>
  <si>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</si>
  <si>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</si>
  <si>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</si>
  <si>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</si>
  <si>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</si>
  <si>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</si>
  <si>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</si>
  <si>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</si>
  <si>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</si>
  <si>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</si>
  <si>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</si>
  <si>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</si>
  <si>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</si>
  <si>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</si>
  <si>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</si>
  <si>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</si>
  <si>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</si>
  <si>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</si>
  <si>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</si>
  <si>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</si>
  <si>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</si>
  <si>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</si>
  <si>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</si>
  <si>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</si>
  <si>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</si>
  <si>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</si>
  <si>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</si>
  <si>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</si>
  <si>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</si>
  <si>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</si>
  <si>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</si>
  <si>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</si>
  <si>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</si>
  <si>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</si>
  <si>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</si>
  <si>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</si>
  <si>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</si>
  <si>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</si>
  <si>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</si>
  <si>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</si>
  <si>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</si>
  <si>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</si>
  <si>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</si>
  <si>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</si>
  <si>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</si>
  <si>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</si>
  <si>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</si>
  <si>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</si>
  <si>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</si>
  <si>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</si>
  <si>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</si>
  <si>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</si>
  <si>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</si>
  <si>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</si>
  <si>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</si>
  <si>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</si>
  <si>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</si>
  <si>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</si>
  <si>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</si>
  <si>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</si>
  <si>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</si>
  <si>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</si>
  <si>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</si>
  <si>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</si>
  <si>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</si>
  <si>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</si>
  <si>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</si>
  <si>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</si>
  <si>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</si>
  <si>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</si>
  <si>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</si>
  <si>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</si>
  <si>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</si>
  <si>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</si>
  <si>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</si>
  <si>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</si>
  <si>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</si>
  <si>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</si>
  <si>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</si>
  <si>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</si>
  <si>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</si>
  <si>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</si>
  <si>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</si>
  <si>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</si>
  <si>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</si>
  <si>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</si>
  <si>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</si>
  <si>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</si>
  <si>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</si>
  <si>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</si>
  <si>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</si>
  <si>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</si>
  <si>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</si>
  <si>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</si>
  <si>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</si>
  <si>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</si>
  <si>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</si>
  <si>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</si>
  <si>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</si>
  <si>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</si>
  <si>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</si>
  <si>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</si>
  <si>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</si>
  <si>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</si>
  <si>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</si>
  <si>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</si>
  <si>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</si>
  <si>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</si>
  <si>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</si>
  <si>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</si>
  <si>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</si>
  <si>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</si>
  <si>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</si>
  <si>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</si>
  <si>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</si>
  <si>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</si>
  <si>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</si>
  <si>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</si>
  <si>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</si>
  <si>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</si>
  <si>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</si>
  <si>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</si>
  <si>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</si>
  <si>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</si>
  <si>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</si>
  <si>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</si>
  <si>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</si>
  <si>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</si>
  <si>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</si>
  <si>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</si>
  <si>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</si>
  <si>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</si>
  <si>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</si>
  <si>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</si>
  <si>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</si>
  <si>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</si>
  <si>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</si>
  <si>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</si>
  <si>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</si>
  <si>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</si>
  <si>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</si>
  <si>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</si>
  <si>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</si>
  <si>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</si>
  <si>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</si>
  <si>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</si>
  <si>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</si>
  <si>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</si>
  <si>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</si>
  <si>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</si>
  <si>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</si>
  <si>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</si>
  <si>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</si>
  <si>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</si>
  <si>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</si>
  <si>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</si>
  <si>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</si>
  <si>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</si>
  <si>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</si>
  <si>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</si>
  <si>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</si>
  <si>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</si>
  <si>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</si>
  <si>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</si>
  <si>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</si>
  <si>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</si>
  <si>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</si>
  <si>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</si>
  <si>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</si>
  <si>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</si>
  <si>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</si>
  <si>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</si>
  <si>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</si>
  <si>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</si>
  <si>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</si>
  <si>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</si>
  <si>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</si>
  <si>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</si>
  <si>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</si>
  <si>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</si>
  <si>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</si>
  <si>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</si>
  <si>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</si>
  <si>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</si>
  <si>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</si>
  <si>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</si>
  <si>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</si>
  <si>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</si>
  <si>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</si>
  <si>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</si>
  <si>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</si>
  <si>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</si>
  <si>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</si>
  <si>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</si>
  <si>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</si>
  <si>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</si>
  <si>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</si>
  <si>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</si>
  <si>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</si>
  <si>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</si>
  <si>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</si>
  <si>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</si>
  <si>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</si>
  <si>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</si>
  <si>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</si>
  <si>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</si>
  <si>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</si>
  <si>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</si>
  <si>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</si>
  <si>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</si>
  <si>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</si>
  <si>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</si>
  <si>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</si>
  <si>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</si>
  <si>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</si>
  <si>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</si>
  <si>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</si>
  <si>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</si>
  <si>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</si>
  <si>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</si>
  <si>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</si>
  <si>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</si>
  <si>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</si>
  <si>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</si>
  <si>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</si>
  <si>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</si>
  <si>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</si>
  <si>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</si>
  <si>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</si>
  <si>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</si>
  <si>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</si>
  <si>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</si>
  <si>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</si>
  <si>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</si>
  <si>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</si>
  <si>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</si>
  <si>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</si>
  <si>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</si>
  <si>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</si>
  <si>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</si>
  <si>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</si>
  <si>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</si>
  <si>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</si>
  <si>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</si>
  <si>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</si>
  <si>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</si>
  <si>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</si>
  <si>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</si>
  <si>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</si>
  <si>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</si>
  <si>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</si>
  <si>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</si>
  <si>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</si>
  <si>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</si>
  <si>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</si>
  <si>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</si>
  <si>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</si>
  <si>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</si>
  <si>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</si>
  <si>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</si>
  <si>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</si>
  <si>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</si>
  <si>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</si>
  <si>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</si>
  <si>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</si>
  <si>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</si>
  <si>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</si>
  <si>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</si>
  <si>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</si>
  <si>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</si>
  <si>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</si>
  <si>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</si>
  <si>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</si>
  <si>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</si>
  <si>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</si>
  <si>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</si>
  <si>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</si>
  <si>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</si>
  <si>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</si>
  <si>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</si>
  <si>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</si>
  <si>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</si>
  <si>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</si>
  <si>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</si>
  <si>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</si>
  <si>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</si>
  <si>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</si>
  <si>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</si>
  <si>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</si>
  <si>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</si>
  <si>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</si>
  <si>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</si>
  <si>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</si>
  <si>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</si>
  <si>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</si>
  <si>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</si>
  <si>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</si>
  <si>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</si>
  <si>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</si>
  <si>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</si>
  <si>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</si>
  <si>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</si>
  <si>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</si>
  <si>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</si>
  <si>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</si>
  <si>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</si>
  <si>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</si>
  <si>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</si>
  <si>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</si>
  <si>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</si>
  <si>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</si>
  <si>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</si>
  <si>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</si>
  <si>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</si>
  <si>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</si>
  <si>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</si>
  <si>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</si>
  <si>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</si>
  <si>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</si>
  <si>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</si>
  <si>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</si>
  <si>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</si>
  <si>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</si>
  <si>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</si>
  <si>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</si>
  <si>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</si>
  <si>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</si>
  <si>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</si>
  <si>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</si>
  <si>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</si>
  <si>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</si>
  <si>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</si>
  <si>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</si>
  <si>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</si>
  <si>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</si>
  <si>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</si>
  <si>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</si>
  <si>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</si>
  <si>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</si>
  <si>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</si>
  <si>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</si>
  <si>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</si>
  <si>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</si>
  <si>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</si>
  <si>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</si>
  <si>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</si>
  <si>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</si>
  <si>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</si>
  <si>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</si>
  <si>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</si>
  <si>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</si>
  <si>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</si>
  <si>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</si>
  <si>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</si>
  <si>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</si>
  <si>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</si>
  <si>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</si>
  <si>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</si>
  <si>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</si>
  <si>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</si>
  <si>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</si>
  <si>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</si>
  <si>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</si>
  <si>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</si>
  <si>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</si>
  <si>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</si>
  <si>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</si>
  <si>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</si>
  <si>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</si>
  <si>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</si>
  <si>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</si>
  <si>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</si>
  <si>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</si>
  <si>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</si>
  <si>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</si>
  <si>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</si>
  <si>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</si>
  <si>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</si>
  <si>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</si>
  <si>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</si>
  <si>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</si>
  <si>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</si>
  <si>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</si>
  <si>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</si>
  <si>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</si>
  <si>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</si>
  <si>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</si>
  <si>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</si>
  <si>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</si>
  <si>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</si>
  <si>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</si>
  <si>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</si>
  <si>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</si>
  <si>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</si>
  <si>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</si>
  <si>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</si>
  <si>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</si>
  <si>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</si>
  <si>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</si>
  <si>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</si>
  <si>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</si>
  <si>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</si>
  <si>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</si>
  <si>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</si>
  <si>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</si>
  <si>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</si>
  <si>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</si>
  <si>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</si>
  <si>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</si>
  <si>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</si>
  <si>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</si>
  <si>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</si>
  <si>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</si>
  <si>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</si>
  <si>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</si>
  <si>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</si>
  <si>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</si>
  <si>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</si>
  <si>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</si>
  <si>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</si>
  <si>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</si>
  <si>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</si>
  <si>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</si>
  <si>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</si>
  <si>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</si>
  <si>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</si>
  <si>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</si>
  <si>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</si>
  <si>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</si>
  <si>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</si>
  <si>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</si>
  <si>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</si>
  <si>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</si>
  <si>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</si>
  <si>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</si>
  <si>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</si>
  <si>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</si>
  <si>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</si>
  <si>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</si>
  <si>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</si>
  <si>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</si>
  <si>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</si>
  <si>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</si>
  <si>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</si>
  <si>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</si>
  <si>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</si>
  <si>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</si>
  <si>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</si>
  <si>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</si>
  <si>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</si>
  <si>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</si>
  <si>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</si>
  <si>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</si>
  <si>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</si>
  <si>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</si>
  <si>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</si>
  <si>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</si>
  <si>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</si>
  <si>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</si>
  <si>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</si>
  <si>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</si>
  <si>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</si>
  <si>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</si>
  <si>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</si>
  <si>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</si>
  <si>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</si>
  <si>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</si>
  <si>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</si>
  <si>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</si>
  <si>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</si>
  <si>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</si>
  <si>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</si>
  <si>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</si>
  <si>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</si>
  <si>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</si>
  <si>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</si>
  <si>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</si>
  <si>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</si>
  <si>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</si>
  <si>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</si>
  <si>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</si>
  <si>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</si>
  <si>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</si>
  <si>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</si>
  <si>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</si>
  <si>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</si>
  <si>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</si>
  <si>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</si>
  <si>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</si>
  <si>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</si>
  <si>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</si>
  <si>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</si>
  <si>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</si>
  <si>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</si>
  <si>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</si>
  <si>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</si>
  <si>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</si>
  <si>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</si>
  <si>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</si>
  <si>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</si>
  <si>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</si>
  <si>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</si>
  <si>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</si>
  <si>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</si>
  <si>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</si>
  <si>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</si>
  <si>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</si>
  <si>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</si>
  <si>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</si>
  <si>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</si>
  <si>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</si>
  <si>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</si>
  <si>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</si>
  <si>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</si>
  <si>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</si>
  <si>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</si>
  <si>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</si>
  <si>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</si>
  <si>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</si>
  <si>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</si>
  <si>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</si>
  <si>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</si>
  <si>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</si>
  <si>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</si>
  <si>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</si>
  <si>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</si>
  <si>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</si>
  <si>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</si>
  <si>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</si>
  <si>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</si>
  <si>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</si>
  <si>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</si>
  <si>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</si>
  <si>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</si>
  <si>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</si>
  <si>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</si>
  <si>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</si>
  <si>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</si>
  <si>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</si>
  <si>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</si>
  <si>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</si>
  <si>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</si>
  <si>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</si>
  <si>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</si>
  <si>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</si>
  <si>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</si>
  <si>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</si>
  <si>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</si>
  <si>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</si>
  <si>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</si>
  <si>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</si>
  <si>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</si>
  <si>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</si>
  <si>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</si>
  <si>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</si>
  <si>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</si>
  <si>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</si>
  <si>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</si>
  <si>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</si>
  <si>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</si>
  <si>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</si>
  <si>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</si>
  <si>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</si>
  <si>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</si>
  <si>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</si>
  <si>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</si>
  <si>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</si>
  <si>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</si>
  <si>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</si>
  <si>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</si>
  <si>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</si>
  <si>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</si>
  <si>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</si>
  <si>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</si>
  <si>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</si>
  <si>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</si>
  <si>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</si>
  <si>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</si>
  <si>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</si>
  <si>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</si>
  <si>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</si>
  <si>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</si>
  <si>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</si>
  <si>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</si>
  <si>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</si>
  <si>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</si>
  <si>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</si>
  <si>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</si>
  <si>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</si>
  <si>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</si>
  <si>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</si>
  <si>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</si>
  <si>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</si>
  <si>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</si>
  <si>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</si>
  <si>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</si>
  <si>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</si>
  <si>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</si>
  <si>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</si>
  <si>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</si>
  <si>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</si>
  <si>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</si>
  <si>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</si>
  <si>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</si>
  <si>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</si>
  <si>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</si>
  <si>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</si>
  <si>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</si>
  <si>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</si>
  <si>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</si>
  <si>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</si>
  <si>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</si>
  <si>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</si>
  <si>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</si>
  <si>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</si>
  <si>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</si>
  <si>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</si>
  <si>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</si>
  <si>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</si>
  <si>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</si>
  <si>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</si>
  <si>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</si>
  <si>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</si>
  <si>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</si>
  <si>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</si>
  <si>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</si>
  <si>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</si>
  <si>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</si>
  <si>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</si>
  <si>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</si>
  <si>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</si>
  <si>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</si>
  <si>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</si>
  <si>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</si>
  <si>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</si>
  <si>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</si>
  <si>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</si>
  <si>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</si>
  <si>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</si>
  <si>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</si>
  <si>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</si>
  <si>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</si>
  <si>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</si>
  <si>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</si>
  <si>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</si>
  <si>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</si>
  <si>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</si>
  <si>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</si>
  <si>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</si>
  <si>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</si>
  <si>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</si>
  <si>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</si>
  <si>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</si>
  <si>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</si>
  <si>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</si>
  <si>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</si>
  <si>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</si>
  <si>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</si>
  <si>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</si>
  <si>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</si>
  <si>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</si>
  <si>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</si>
  <si>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</si>
  <si>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</si>
  <si>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</si>
  <si>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</si>
  <si>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</si>
  <si>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</si>
  <si>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</si>
  <si>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</si>
  <si>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</si>
  <si>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</si>
  <si>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</si>
  <si>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</si>
  <si>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</si>
  <si>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</si>
  <si>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</si>
  <si>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</si>
  <si>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</si>
  <si>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</si>
  <si>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</si>
  <si>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</si>
  <si>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</si>
  <si>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</si>
  <si>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</si>
  <si>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</si>
  <si>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</si>
  <si>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</si>
  <si>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</si>
  <si>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</si>
  <si>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</si>
  <si>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</si>
  <si>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</si>
  <si>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</si>
  <si>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</si>
  <si>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</si>
  <si>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</si>
  <si>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</si>
  <si>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</si>
  <si>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</si>
  <si>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</si>
  <si>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</si>
  <si>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</si>
  <si>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</si>
  <si>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</si>
  <si>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</si>
  <si>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</si>
  <si>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</si>
  <si>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</si>
  <si>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</si>
  <si>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</si>
  <si>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</si>
  <si>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</si>
  <si>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</si>
  <si>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</si>
  <si>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</si>
  <si>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</si>
  <si>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</si>
  <si>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</si>
  <si>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</si>
  <si>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</si>
  <si>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</si>
  <si>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</si>
  <si>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</si>
  <si>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</si>
  <si>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</si>
  <si>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</si>
  <si>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</si>
  <si>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</si>
  <si>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</si>
  <si>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</si>
  <si>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</si>
  <si>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</si>
  <si>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</si>
  <si>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</si>
  <si>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</si>
  <si>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</si>
  <si>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</si>
  <si>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</si>
  <si>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</si>
  <si>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</si>
  <si>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</si>
  <si>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</si>
  <si>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</si>
  <si>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</si>
  <si>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</si>
  <si>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</si>
  <si>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</si>
  <si>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</si>
  <si>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</si>
  <si>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</si>
  <si>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</si>
  <si>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</si>
  <si>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</si>
  <si>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</si>
  <si>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</si>
  <si>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</si>
  <si>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</si>
  <si>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</si>
  <si>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</si>
  <si>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</si>
  <si>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</si>
  <si>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</si>
  <si>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</si>
  <si>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</si>
  <si>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</si>
  <si>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</si>
  <si>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</si>
  <si>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</si>
  <si>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</si>
  <si>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</si>
  <si>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</si>
  <si>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</si>
  <si>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</si>
  <si>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</si>
  <si>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</si>
  <si>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</si>
  <si>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</si>
  <si>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</si>
  <si>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</si>
  <si>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</si>
  <si>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</si>
  <si>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</si>
  <si>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</si>
  <si>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</si>
  <si>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</si>
  <si>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</si>
  <si>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</si>
  <si>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</si>
  <si>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</si>
  <si>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</si>
  <si>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</si>
  <si>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</si>
  <si>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</si>
  <si>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</si>
  <si>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</si>
  <si>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</si>
  <si>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</si>
  <si>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</si>
  <si>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</si>
  <si>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</si>
  <si>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</si>
  <si>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</si>
  <si>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</si>
  <si>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</si>
  <si>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</si>
  <si>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</si>
  <si>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</si>
  <si>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</si>
  <si>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</si>
  <si>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</si>
  <si>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</si>
  <si>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</si>
  <si>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</si>
  <si>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</si>
  <si>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</si>
  <si>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</si>
  <si>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</si>
  <si>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</si>
  <si>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</si>
  <si>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</si>
  <si>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</si>
  <si>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</si>
  <si>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</si>
  <si>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</si>
  <si>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</si>
  <si>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</si>
  <si>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</si>
  <si>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</si>
  <si>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</si>
  <si>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</si>
  <si>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</si>
  <si>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</si>
  <si>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</si>
  <si>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</si>
  <si>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</si>
  <si>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</si>
  <si>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</si>
  <si>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</si>
  <si>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</si>
  <si>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</si>
  <si>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</si>
  <si>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</si>
  <si>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</si>
  <si>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</si>
  <si>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</si>
  <si>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</si>
  <si>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</si>
  <si>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</si>
  <si>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</si>
  <si>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</si>
  <si>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</si>
  <si>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</si>
  <si>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</si>
  <si>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</si>
  <si>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</si>
  <si>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</si>
  <si>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</si>
  <si>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</si>
  <si>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</si>
  <si>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</si>
  <si>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</si>
  <si>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</si>
  <si>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</si>
  <si>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</si>
  <si>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</si>
  <si>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</si>
  <si>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</si>
  <si>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</si>
  <si>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</si>
  <si>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</si>
  <si>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</si>
  <si>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</si>
  <si>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</si>
  <si>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</si>
  <si>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</si>
  <si>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</si>
  <si>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</si>
  <si>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</si>
  <si>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</si>
  <si>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</si>
  <si>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</si>
  <si>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</si>
  <si>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</si>
  <si>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</si>
  <si>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</si>
  <si>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</si>
  <si>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</si>
  <si>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</si>
  <si>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</si>
  <si>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</si>
  <si>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</si>
  <si>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</si>
  <si>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</si>
  <si>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</si>
  <si>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</si>
  <si>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</si>
  <si>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</si>
  <si>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</si>
  <si>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</si>
  <si>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</si>
  <si>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</si>
  <si>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</si>
  <si>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</si>
  <si>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</si>
  <si>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</si>
  <si>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</si>
  <si>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</si>
  <si>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</si>
  <si>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</si>
  <si>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</si>
  <si>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</si>
  <si>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</si>
  <si>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</si>
  <si>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</si>
  <si>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</si>
  <si>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</si>
  <si>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</si>
  <si>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</si>
  <si>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</si>
  <si>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</si>
  <si>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</si>
  <si>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</si>
  <si>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</si>
  <si>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</si>
  <si>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</si>
  <si>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</si>
  <si>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</si>
  <si>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</si>
  <si>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</si>
  <si>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</si>
  <si>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</si>
  <si>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</si>
  <si>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</si>
  <si>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</si>
  <si>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</si>
  <si>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</si>
  <si>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</si>
  <si>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</si>
  <si>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</si>
  <si>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</si>
  <si>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</si>
  <si>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</si>
  <si>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</si>
  <si>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</si>
  <si>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</si>
  <si>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</si>
  <si>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</si>
  <si>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</si>
  <si>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</si>
  <si>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</si>
  <si>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</si>
  <si>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</si>
  <si>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</si>
  <si>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</si>
  <si>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</si>
  <si>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</si>
  <si>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</si>
  <si>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</si>
  <si>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</si>
  <si>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</si>
  <si>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</si>
  <si>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</si>
  <si>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</si>
  <si>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</si>
  <si>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</si>
  <si>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</si>
  <si>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</si>
  <si>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</si>
  <si>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</si>
  <si>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</si>
  <si>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</si>
  <si>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</si>
  <si>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</si>
  <si>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</si>
  <si>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</si>
  <si>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</si>
  <si>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</si>
  <si>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</si>
  <si>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</si>
  <si>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</si>
  <si>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</si>
  <si>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</si>
  <si>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</si>
  <si>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</si>
  <si>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</si>
  <si>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</si>
  <si>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</si>
  <si>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</si>
  <si>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</si>
  <si>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</si>
  <si>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</si>
  <si>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</si>
  <si>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</si>
  <si>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</si>
  <si>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</si>
  <si>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</si>
  <si>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</si>
  <si>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</si>
  <si>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</si>
  <si>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</si>
  <si>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</si>
  <si>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</si>
  <si>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</si>
  <si>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</si>
  <si>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</si>
  <si>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</si>
  <si>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</si>
  <si>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</si>
  <si>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</si>
  <si>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</si>
  <si>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</si>
  <si>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</si>
  <si>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</si>
  <si>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</si>
  <si>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</si>
  <si>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</si>
  <si>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</si>
  <si>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</si>
  <si>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</si>
  <si>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</si>
  <si>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</si>
  <si>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</si>
  <si>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</si>
  <si>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</si>
  <si>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</si>
  <si>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</si>
  <si>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</si>
  <si>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</si>
  <si>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</si>
  <si>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</si>
  <si>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</si>
  <si>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</si>
  <si>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</si>
  <si>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</si>
  <si>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</si>
  <si>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</si>
  <si>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</si>
  <si>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</si>
  <si>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</si>
  <si>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</si>
  <si>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</si>
  <si>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</si>
  <si>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</si>
  <si>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</si>
  <si>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</si>
  <si>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</si>
  <si>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</si>
  <si>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</si>
  <si>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</si>
  <si>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</si>
  <si>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</si>
  <si>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</si>
  <si>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</si>
  <si>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</si>
  <si>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</si>
  <si>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</si>
  <si>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</si>
  <si>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</si>
  <si>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</si>
  <si>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</si>
  <si>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</si>
  <si>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</si>
  <si>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</si>
  <si>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</si>
  <si>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</si>
  <si>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</si>
  <si>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</si>
  <si>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</si>
  <si>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</si>
  <si>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</si>
  <si>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</si>
  <si>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</si>
  <si>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</si>
  <si>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</si>
  <si>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</si>
  <si>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</si>
  <si>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</si>
  <si>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</si>
  <si>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</si>
  <si>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</si>
  <si>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</si>
  <si>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</si>
  <si>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</si>
  <si>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</si>
  <si>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</si>
  <si>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</si>
  <si>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</si>
  <si>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</si>
  <si>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</si>
  <si>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</si>
  <si>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</si>
  <si>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</si>
  <si>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</si>
  <si>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</si>
  <si>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</si>
  <si>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</si>
  <si>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</si>
  <si>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</si>
  <si>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</si>
  <si>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</si>
  <si>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</si>
  <si>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</si>
  <si>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</si>
  <si>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</si>
  <si>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</si>
  <si>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</si>
  <si>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</si>
  <si>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</si>
  <si>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</si>
  <si>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</si>
  <si>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</si>
  <si>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</si>
  <si>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</si>
  <si>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</si>
  <si>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</si>
  <si>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</si>
  <si>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</si>
  <si>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</si>
  <si>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</si>
  <si>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</si>
  <si>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</si>
  <si>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</si>
  <si>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</si>
  <si>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</si>
  <si>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</si>
  <si>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</si>
  <si>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</si>
  <si>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</si>
  <si>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</si>
  <si>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</si>
  <si>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</si>
  <si>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</si>
  <si>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</si>
  <si>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</si>
  <si>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</si>
  <si>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</si>
  <si>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</si>
  <si>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</si>
  <si>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</si>
  <si>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</si>
  <si>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</si>
  <si>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</si>
  <si>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</si>
  <si>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</si>
  <si>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</si>
  <si>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</si>
  <si>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</si>
  <si>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</si>
  <si>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</si>
  <si>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</si>
  <si>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</si>
  <si>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</si>
  <si>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</si>
  <si>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</si>
  <si>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</si>
  <si>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</si>
  <si>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</si>
  <si>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</si>
  <si>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</si>
  <si>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</si>
  <si>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</si>
  <si>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</si>
  <si>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</si>
  <si>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</si>
  <si>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</si>
  <si>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</si>
  <si>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</si>
  <si>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</si>
  <si>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</si>
  <si>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</si>
  <si>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</si>
  <si>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</si>
  <si>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</si>
  <si>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</si>
  <si>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</si>
  <si>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</si>
  <si>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</si>
  <si>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</si>
  <si>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</si>
  <si>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</si>
  <si>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</si>
  <si>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</si>
  <si>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</si>
  <si>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</si>
  <si>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</si>
  <si>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</si>
  <si>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</si>
  <si>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</si>
  <si>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</si>
  <si>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</si>
  <si>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</si>
  <si>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</si>
  <si>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</si>
  <si>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</si>
  <si>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</si>
  <si>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</si>
  <si>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</si>
  <si>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</si>
  <si>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</si>
  <si>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</si>
  <si>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</si>
  <si>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</si>
  <si>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</si>
  <si>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</si>
  <si>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</si>
  <si>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</si>
  <si>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</si>
  <si>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</si>
  <si>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</si>
  <si>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</si>
  <si>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</si>
  <si>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</si>
  <si>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</si>
  <si>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</si>
  <si>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</si>
  <si>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</si>
  <si>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</si>
  <si>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</si>
  <si>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</si>
  <si>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</si>
  <si>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</si>
  <si>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</si>
  <si>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</si>
  <si>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</si>
  <si>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</si>
  <si>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</si>
  <si>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</si>
  <si>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</si>
  <si>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</si>
  <si>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</si>
  <si>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</si>
  <si>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</si>
  <si>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</si>
  <si>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</si>
  <si>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</si>
  <si>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</si>
  <si>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</si>
  <si>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</si>
  <si>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</si>
  <si>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</si>
  <si>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</si>
  <si>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</si>
  <si>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</si>
  <si>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</si>
  <si>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</si>
  <si>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</si>
  <si>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</si>
  <si>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</si>
  <si>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</si>
  <si>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</si>
  <si>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</si>
  <si>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</si>
  <si>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</si>
  <si>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</si>
  <si>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</si>
  <si>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</si>
  <si>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</si>
  <si>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</si>
  <si>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</si>
  <si>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</si>
  <si>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</si>
  <si>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</si>
  <si>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</si>
  <si>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</si>
  <si>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</si>
  <si>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</si>
  <si>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</si>
  <si>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</si>
  <si>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</si>
  <si>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</si>
  <si>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</si>
  <si>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</si>
  <si>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</si>
  <si>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</si>
  <si>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</si>
  <si>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</si>
  <si>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</si>
  <si>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</si>
  <si>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</si>
  <si>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</si>
  <si>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</si>
  <si>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</si>
  <si>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</si>
  <si>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</si>
  <si>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</si>
  <si>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</si>
  <si>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</si>
  <si>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</si>
  <si>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</si>
  <si>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</si>
  <si>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</si>
  <si>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</si>
  <si>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</si>
  <si>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</si>
  <si>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</si>
  <si>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</si>
  <si>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</si>
  <si>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</si>
  <si>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</si>
  <si>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</si>
  <si>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</si>
  <si>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</si>
  <si>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</si>
  <si>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</si>
  <si>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</si>
  <si>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</si>
  <si>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</si>
  <si>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</si>
  <si>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</si>
  <si>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</si>
  <si>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</si>
  <si>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</si>
  <si>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</si>
  <si>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</si>
  <si>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</si>
  <si>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</si>
  <si>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</si>
  <si>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</si>
  <si>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</si>
  <si>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</si>
  <si>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</si>
  <si>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</si>
  <si>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</si>
  <si>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</si>
  <si>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</si>
  <si>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</si>
  <si>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</si>
  <si>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</si>
  <si>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</si>
  <si>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</si>
  <si>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</si>
  <si>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</si>
  <si>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</si>
  <si>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</si>
  <si>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</si>
  <si>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</si>
  <si>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</si>
  <si>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</si>
  <si>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</si>
  <si>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</si>
  <si>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</si>
  <si>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</si>
  <si>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</si>
  <si>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</si>
  <si>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</si>
  <si>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</si>
  <si>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</si>
  <si>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</si>
  <si>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</si>
  <si>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</si>
  <si>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</si>
  <si>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</si>
  <si>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</si>
  <si>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</si>
  <si>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</si>
  <si>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</si>
  <si>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</si>
  <si>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</si>
  <si>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</si>
  <si>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</si>
  <si>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</si>
  <si>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</si>
  <si>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</si>
  <si>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</si>
  <si>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</si>
  <si>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</si>
  <si>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</si>
  <si>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</si>
  <si>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</si>
  <si>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</si>
  <si>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</si>
  <si>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</si>
  <si>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</si>
  <si>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</si>
  <si>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</si>
  <si>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</si>
  <si>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</si>
  <si>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</si>
  <si>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</si>
  <si>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</si>
  <si>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</si>
  <si>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</si>
  <si>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</si>
  <si>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</si>
  <si>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</si>
  <si>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</si>
  <si>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</si>
  <si>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</si>
  <si>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</si>
  <si>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</si>
  <si>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</si>
  <si>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</si>
  <si>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</si>
  <si>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</si>
  <si>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</si>
  <si>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</si>
  <si>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</si>
  <si>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</si>
  <si>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</si>
  <si>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</si>
  <si>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</si>
  <si>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</si>
  <si>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</si>
  <si>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</si>
  <si>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</si>
  <si>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</si>
  <si>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</si>
  <si>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</si>
  <si>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</si>
  <si>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</si>
  <si>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</si>
  <si>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</si>
  <si>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</si>
  <si>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</si>
  <si>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</si>
  <si>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</si>
  <si>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</si>
  <si>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</si>
  <si>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</si>
  <si>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</si>
  <si>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</si>
  <si>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</si>
  <si>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</si>
  <si>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</si>
  <si>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</si>
  <si>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</si>
  <si>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</si>
  <si>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</si>
  <si>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</si>
  <si>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</si>
  <si>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</si>
  <si>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</si>
  <si>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</si>
  <si>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</si>
  <si>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</si>
  <si>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</si>
  <si>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</si>
  <si>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</si>
  <si>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</si>
  <si>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</si>
  <si>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</si>
  <si>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</si>
  <si>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</si>
  <si>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</si>
  <si>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</si>
  <si>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</si>
  <si>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</si>
  <si>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</si>
  <si>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</si>
  <si>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</si>
  <si>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</si>
  <si>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</si>
  <si>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</si>
  <si>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</si>
  <si>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</si>
  <si>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</si>
  <si>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</si>
  <si>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</si>
  <si>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</si>
  <si>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</si>
  <si>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</si>
  <si>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</si>
  <si>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</si>
  <si>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</si>
  <si>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</si>
  <si>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</si>
  <si>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</si>
  <si>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</si>
  <si>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</si>
  <si>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</si>
  <si>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</si>
  <si>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</si>
  <si>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</si>
  <si>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</si>
  <si>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</si>
  <si>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</si>
  <si>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</si>
  <si>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</si>
  <si>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</si>
  <si>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</si>
  <si>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</si>
  <si>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</si>
  <si>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</si>
  <si>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</si>
  <si>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</si>
  <si>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</si>
  <si>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</si>
  <si>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</si>
  <si>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</si>
  <si>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</si>
  <si>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</si>
  <si>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</si>
  <si>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</si>
  <si>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</si>
  <si>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</si>
  <si>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</si>
  <si>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</si>
  <si>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</si>
  <si>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</si>
  <si>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</si>
  <si>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</si>
  <si>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</si>
  <si>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</si>
  <si>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</si>
  <si>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</si>
  <si>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</si>
  <si>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</si>
  <si>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</si>
  <si>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</si>
  <si>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</si>
  <si>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</si>
  <si>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</si>
  <si>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</si>
  <si>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</si>
  <si>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</si>
  <si>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</si>
  <si>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</si>
  <si>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</si>
  <si>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</si>
  <si>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</si>
  <si>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</si>
  <si>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</si>
  <si>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</si>
  <si>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</si>
  <si>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</si>
  <si>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</si>
  <si>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</si>
  <si>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</si>
  <si>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</si>
  <si>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</si>
  <si>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</si>
  <si>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</si>
  <si>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</si>
  <si>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</si>
  <si>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</si>
  <si>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</si>
  <si>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</si>
  <si>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</si>
  <si>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</si>
  <si>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</si>
  <si>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</si>
  <si>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</si>
  <si>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</si>
  <si>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</si>
  <si>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</si>
  <si>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</si>
  <si>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</si>
  <si>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</si>
  <si>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</si>
  <si>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</si>
  <si>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</si>
  <si>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</si>
  <si>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</si>
  <si>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</si>
  <si>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</si>
  <si>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</si>
  <si>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</si>
  <si>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</si>
  <si>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</si>
  <si>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</si>
  <si>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</si>
  <si>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</si>
  <si>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</si>
  <si>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</si>
  <si>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</si>
  <si>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</si>
  <si>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</si>
  <si>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</si>
  <si>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</si>
  <si>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</si>
  <si>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</si>
  <si>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</si>
  <si>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</si>
  <si>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</si>
  <si>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</si>
  <si>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</si>
  <si>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</si>
  <si>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</si>
  <si>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</si>
  <si>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</si>
  <si>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</si>
  <si>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</si>
  <si>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</si>
  <si>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</si>
  <si>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</si>
  <si>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</si>
  <si>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</si>
  <si>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</si>
  <si>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</si>
  <si>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</si>
  <si>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</si>
  <si>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</si>
  <si>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</si>
  <si>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</si>
  <si>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</si>
  <si>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</si>
  <si>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</si>
  <si>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</si>
  <si>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</si>
  <si>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</si>
  <si>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</si>
  <si>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</si>
  <si>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</si>
  <si>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</si>
  <si>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</si>
  <si>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</si>
  <si>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</si>
  <si>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</si>
  <si>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</si>
  <si>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</si>
  <si>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</si>
  <si>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</si>
  <si>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</si>
  <si>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</si>
  <si>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</si>
  <si>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</si>
  <si>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</si>
  <si>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</si>
  <si>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</si>
  <si>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</si>
  <si>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</si>
  <si>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</si>
  <si>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</si>
  <si>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</si>
  <si>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</si>
  <si>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</si>
  <si>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</si>
  <si>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</si>
  <si>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</si>
  <si>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</si>
  <si>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</si>
  <si>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</si>
  <si>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</si>
  <si>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</si>
  <si>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</si>
  <si>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</si>
  <si>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</si>
  <si>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</si>
  <si>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</si>
  <si>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</si>
  <si>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</si>
  <si>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</si>
  <si>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</si>
  <si>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</si>
  <si>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</si>
  <si>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</si>
  <si>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</si>
  <si>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</si>
  <si>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</si>
  <si>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</si>
  <si>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</si>
  <si>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</si>
  <si>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</si>
  <si>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</si>
  <si>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</si>
  <si>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</si>
  <si>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</si>
  <si>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</si>
  <si>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</si>
  <si>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</si>
  <si>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</si>
  <si>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</si>
  <si>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</si>
  <si>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</si>
  <si>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</si>
  <si>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</si>
  <si>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</si>
  <si>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</si>
  <si>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</si>
  <si>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</si>
  <si>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</si>
  <si>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</si>
  <si>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</si>
  <si>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</si>
  <si>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</si>
  <si>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</si>
  <si>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</si>
  <si>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</si>
  <si>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</si>
  <si>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</si>
  <si>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</si>
  <si>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</si>
  <si>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</si>
  <si>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</si>
  <si>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</si>
  <si>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</si>
  <si>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</si>
  <si>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</si>
  <si>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</si>
  <si>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</si>
  <si>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</si>
  <si>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</si>
  <si>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</si>
  <si>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</si>
  <si>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</si>
  <si>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</si>
  <si>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</si>
  <si>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</si>
  <si>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</si>
  <si>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</si>
  <si>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</si>
  <si>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</si>
  <si>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</si>
  <si>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</si>
  <si>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</si>
  <si>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</si>
  <si>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</si>
  <si>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</si>
  <si>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</si>
  <si>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</si>
  <si>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</si>
  <si>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</si>
  <si>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</si>
  <si>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</si>
  <si>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</si>
  <si>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</si>
  <si>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</si>
  <si>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</si>
  <si>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</si>
  <si>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</si>
  <si>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</si>
  <si>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</si>
  <si>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</si>
  <si>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</si>
  <si>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</si>
  <si>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</si>
  <si>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</si>
  <si>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</si>
  <si>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</si>
  <si>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</si>
  <si>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</si>
  <si>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</si>
  <si>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</si>
  <si>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</si>
  <si>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</si>
  <si>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</si>
  <si>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</si>
  <si>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</si>
  <si>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</si>
  <si>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</si>
  <si>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</si>
  <si>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</si>
  <si>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</si>
  <si>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</si>
  <si>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</si>
  <si>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</si>
  <si>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</si>
  <si>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</si>
  <si>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</si>
  <si>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</si>
  <si>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</si>
  <si>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</si>
  <si>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</si>
  <si>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</si>
  <si>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</si>
  <si>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</si>
  <si>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</si>
  <si>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</si>
  <si>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</si>
  <si>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</si>
  <si>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</si>
  <si>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</si>
  <si>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</si>
  <si>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</si>
  <si>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</si>
  <si>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</si>
  <si>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</si>
  <si>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</si>
  <si>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</si>
  <si>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</si>
  <si>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</si>
  <si>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</si>
  <si>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</si>
  <si>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</si>
  <si>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</si>
  <si>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</si>
  <si>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</si>
  <si>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</si>
  <si>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</si>
  <si>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</si>
  <si>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</si>
  <si>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</si>
  <si>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</si>
  <si>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</si>
  <si>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</si>
  <si>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</si>
  <si>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</si>
  <si>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</si>
  <si>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</si>
  <si>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</si>
  <si>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</si>
  <si>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</si>
  <si>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</si>
  <si>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</si>
  <si>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</si>
  <si>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</si>
  <si>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</si>
  <si>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</si>
  <si>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</si>
  <si>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</si>
  <si>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</si>
  <si>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</si>
  <si>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</si>
  <si>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</si>
  <si>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</si>
  <si>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</si>
  <si>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</si>
  <si>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</si>
  <si>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</si>
  <si>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</si>
  <si>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</si>
  <si>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</si>
  <si>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</si>
  <si>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</si>
  <si>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</si>
  <si>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</si>
  <si>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</si>
  <si>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</si>
  <si>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</si>
  <si>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</si>
  <si>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</si>
  <si>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</si>
  <si>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</si>
  <si>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</si>
  <si>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</si>
  <si>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</si>
  <si>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</si>
  <si>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</si>
  <si>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</si>
  <si>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</si>
  <si>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</si>
  <si>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</si>
  <si>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</si>
  <si>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</si>
  <si>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</si>
  <si>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</si>
  <si>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</si>
  <si>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</si>
  <si>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</si>
  <si>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</si>
  <si>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</si>
  <si>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</si>
  <si>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</si>
  <si>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</si>
  <si>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</si>
  <si>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</si>
  <si>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</si>
  <si>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</si>
  <si>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</si>
  <si>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</si>
  <si>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</si>
  <si>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</si>
  <si>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</si>
  <si>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</si>
  <si>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</si>
  <si>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</si>
  <si>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</si>
  <si>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</si>
  <si>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</si>
  <si>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</si>
  <si>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</si>
  <si>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</si>
  <si>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</si>
  <si>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</si>
  <si>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</si>
  <si>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</si>
  <si>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</si>
  <si>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</si>
  <si>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</si>
  <si>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</si>
  <si>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</si>
  <si>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</si>
  <si>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</si>
  <si>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</si>
  <si>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</si>
  <si>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</si>
  <si>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</si>
  <si>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</si>
  <si>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</si>
  <si>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</si>
  <si>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</si>
  <si>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</si>
  <si>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</si>
  <si>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</si>
  <si>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</si>
  <si>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</si>
  <si>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</si>
  <si>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</si>
  <si>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</si>
  <si>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</si>
  <si>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</si>
  <si>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</si>
  <si>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</si>
  <si>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</si>
  <si>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</si>
  <si>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</si>
  <si>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</si>
  <si>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</si>
  <si>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</si>
  <si>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</si>
  <si>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</si>
  <si>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</si>
  <si>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</si>
  <si>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</si>
  <si>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</si>
  <si>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</si>
  <si>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</si>
  <si>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</si>
  <si>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</si>
  <si>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</si>
  <si>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</si>
  <si>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</si>
  <si>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</si>
  <si>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</si>
  <si>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</si>
  <si>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</si>
  <si>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</si>
  <si>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</si>
  <si>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</si>
  <si>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</si>
  <si>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</si>
  <si>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</si>
  <si>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</si>
  <si>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</si>
  <si>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</si>
  <si>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</si>
  <si>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</si>
  <si>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</si>
  <si>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</si>
  <si>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</si>
  <si>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</si>
  <si>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</si>
  <si>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</si>
  <si>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</si>
  <si>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</si>
  <si>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</si>
  <si>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</si>
  <si>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</si>
  <si>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</si>
  <si>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</si>
  <si>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</si>
  <si>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</si>
  <si>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</si>
  <si>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</si>
  <si>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</si>
  <si>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</si>
  <si>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</si>
  <si>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</si>
  <si>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</si>
  <si>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</si>
  <si>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</si>
  <si>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</si>
  <si>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</si>
  <si>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</si>
  <si>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</si>
  <si>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</si>
  <si>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</si>
  <si>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</si>
  <si>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</si>
  <si>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</si>
  <si>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</si>
  <si>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</si>
  <si>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</si>
  <si>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</si>
  <si>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</si>
  <si>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</si>
  <si>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</si>
  <si>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</si>
  <si>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</si>
  <si>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</si>
  <si>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</si>
  <si>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</si>
  <si>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</si>
  <si>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</si>
  <si>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</si>
  <si>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</si>
  <si>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</si>
  <si>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</si>
  <si>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</si>
  <si>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</si>
  <si>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</si>
  <si>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</si>
  <si>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</si>
  <si>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</si>
  <si>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</si>
  <si>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</si>
  <si>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</si>
  <si>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</si>
  <si>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</si>
  <si>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</si>
  <si>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</si>
  <si>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</si>
  <si>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</si>
  <si>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</si>
  <si>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</si>
  <si>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</si>
  <si>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</si>
  <si>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</si>
  <si>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</si>
  <si>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</si>
  <si>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</si>
  <si>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</si>
  <si>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</si>
  <si>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</si>
  <si>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</si>
  <si>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</si>
  <si>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</si>
  <si>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</si>
  <si>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</si>
  <si>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</si>
  <si>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</si>
  <si>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</si>
  <si>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</si>
  <si>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</si>
  <si>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</si>
  <si>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</si>
  <si>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</si>
  <si>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</si>
  <si>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</si>
  <si>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</si>
  <si>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</si>
  <si>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</si>
  <si>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</si>
  <si>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</si>
  <si>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</si>
  <si>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</si>
  <si>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</si>
  <si>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</si>
  <si>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</si>
  <si>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</si>
  <si>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</si>
  <si>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</si>
  <si>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</si>
  <si>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</si>
  <si>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</si>
  <si>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</si>
  <si>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</si>
  <si>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</si>
  <si>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</si>
  <si>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</si>
  <si>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</si>
  <si>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</si>
  <si>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</si>
  <si>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</si>
  <si>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</si>
  <si>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</si>
  <si>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</si>
  <si>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</si>
  <si>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</si>
  <si>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</si>
  <si>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</si>
  <si>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</si>
  <si>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</si>
  <si>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</si>
  <si>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</si>
  <si>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</si>
  <si>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</si>
  <si>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</si>
  <si>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</si>
  <si>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</si>
  <si>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</si>
  <si>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</si>
  <si>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</si>
  <si>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</si>
  <si>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</si>
  <si>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</si>
  <si>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</si>
  <si>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</si>
  <si>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</si>
  <si>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</si>
  <si>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</si>
  <si>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</si>
  <si>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</si>
  <si>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</si>
  <si>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</si>
  <si>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</si>
  <si>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</si>
  <si>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</si>
  <si>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</si>
  <si>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</si>
  <si>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</si>
  <si>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</si>
  <si>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</si>
  <si>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</si>
  <si>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</si>
  <si>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</si>
  <si>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</si>
  <si>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</si>
  <si>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</si>
  <si>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</si>
  <si>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</si>
  <si>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</si>
  <si>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</si>
  <si>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</si>
  <si>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</si>
  <si>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</si>
  <si>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</si>
  <si>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</si>
  <si>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</si>
  <si>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</si>
  <si>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</si>
  <si>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</si>
  <si>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</si>
  <si>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</si>
  <si>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</si>
  <si>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</si>
  <si>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</si>
  <si>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</si>
  <si>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</si>
  <si>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</si>
  <si>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</si>
  <si>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</si>
  <si>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</si>
  <si>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</si>
  <si>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</si>
  <si>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</si>
  <si>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</si>
  <si>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</si>
  <si>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</si>
  <si>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</si>
  <si>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</si>
  <si>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</si>
  <si>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</si>
  <si>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</si>
  <si>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</si>
  <si>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</si>
  <si>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</si>
  <si>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</si>
  <si>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</si>
  <si>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</si>
  <si>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</si>
  <si>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</si>
  <si>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</si>
  <si>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</si>
  <si>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</si>
  <si>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</si>
  <si>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</si>
  <si>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</si>
  <si>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</si>
  <si>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</si>
  <si>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</si>
  <si>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</si>
  <si>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</si>
  <si>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</si>
  <si>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</si>
  <si>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</si>
  <si>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</si>
  <si>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</si>
  <si>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</si>
  <si>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</si>
  <si>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</si>
  <si>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</si>
  <si>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</si>
  <si>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</si>
  <si>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</si>
  <si>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</si>
  <si>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</si>
  <si>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</si>
  <si>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</si>
  <si>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</si>
  <si>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</si>
  <si>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</si>
  <si>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</si>
  <si>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</si>
  <si>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</si>
  <si>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</si>
  <si>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</si>
  <si>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</si>
  <si>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</si>
  <si>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</si>
  <si>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</si>
  <si>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</si>
  <si>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</si>
  <si>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</si>
  <si>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</si>
  <si>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</si>
  <si>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</si>
  <si>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</si>
  <si>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</si>
  <si>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</si>
  <si>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</si>
  <si>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</si>
  <si>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</si>
  <si>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</si>
  <si>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</si>
  <si>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</si>
  <si>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</si>
  <si>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</si>
  <si>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</si>
  <si>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</si>
  <si>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</si>
  <si>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</si>
  <si>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</si>
  <si>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</si>
  <si>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</si>
  <si>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</si>
  <si>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</si>
  <si>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</si>
  <si>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</si>
  <si>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</si>
  <si>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</si>
  <si>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</si>
  <si>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</si>
  <si>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</si>
  <si>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</si>
  <si>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</si>
  <si>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</si>
  <si>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</si>
  <si>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</si>
  <si>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</si>
  <si>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</si>
  <si>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</si>
  <si>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</si>
  <si>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</si>
  <si>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</si>
  <si>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</si>
  <si>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</si>
  <si>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</si>
  <si>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</si>
  <si>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</si>
  <si>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</si>
  <si>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</si>
  <si>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</si>
  <si>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</si>
  <si>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</si>
  <si>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</si>
  <si>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</si>
  <si>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</si>
  <si>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</si>
  <si>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</si>
  <si>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</si>
  <si>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</si>
  <si>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</si>
  <si>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</si>
  <si>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</si>
  <si>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</si>
  <si>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</si>
  <si>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</si>
  <si>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</si>
  <si>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</si>
  <si>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</si>
  <si>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</si>
  <si>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</si>
  <si>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</si>
  <si>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</si>
  <si>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</si>
  <si>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</si>
  <si>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</si>
  <si>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</si>
  <si>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</si>
  <si>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</si>
  <si>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</si>
  <si>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</si>
  <si>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</si>
  <si>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</si>
  <si>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</si>
  <si>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</si>
  <si>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</si>
  <si>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</si>
  <si>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</si>
  <si>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</si>
  <si>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</si>
  <si>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</si>
  <si>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</si>
  <si>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</si>
  <si>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</si>
  <si>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</si>
  <si>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</si>
  <si>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</si>
  <si>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</si>
  <si>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</si>
  <si>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</si>
  <si>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</si>
  <si>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</si>
  <si>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</si>
  <si>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</si>
  <si>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</si>
  <si>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</si>
  <si>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</si>
  <si>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</si>
  <si>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</si>
  <si>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</si>
  <si>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</si>
  <si>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</si>
  <si>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</si>
  <si>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</si>
  <si>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</si>
  <si>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</si>
  <si>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</si>
  <si>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</si>
  <si>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</si>
  <si>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</si>
  <si>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</si>
  <si>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</si>
  <si>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</si>
  <si>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</si>
  <si>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</si>
  <si>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</si>
  <si>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</si>
  <si>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</si>
  <si>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</si>
  <si>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</si>
  <si>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</si>
  <si>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</si>
  <si>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</si>
  <si>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</si>
  <si>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</si>
  <si>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</si>
  <si>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</si>
  <si>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</si>
  <si>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</si>
  <si>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</si>
  <si>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</si>
  <si>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</si>
  <si>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</si>
  <si>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</si>
  <si>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</si>
  <si>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</si>
  <si>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</si>
  <si>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</si>
  <si>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</si>
  <si>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</si>
  <si>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</si>
  <si>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</si>
  <si>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</si>
  <si>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</si>
  <si>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</si>
  <si>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</si>
  <si>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</si>
  <si>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</si>
  <si>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</si>
  <si>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</si>
  <si>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</si>
  <si>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</si>
  <si>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</si>
  <si>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</si>
  <si>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</si>
  <si>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</si>
  <si>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</si>
  <si>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</si>
  <si>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</si>
  <si>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</si>
  <si>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</si>
  <si>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</si>
  <si>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</si>
  <si>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</si>
  <si>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</si>
  <si>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</si>
  <si>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</si>
  <si>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</si>
  <si>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</si>
  <si>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</si>
  <si>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</si>
  <si>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</si>
  <si>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</si>
  <si>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</si>
  <si>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</si>
  <si>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</si>
  <si>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</si>
  <si>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</si>
  <si>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</si>
  <si>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</si>
  <si>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</si>
  <si>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</si>
  <si>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</si>
  <si>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</si>
  <si>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</si>
  <si>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</si>
  <si>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</si>
  <si>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</si>
  <si>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</si>
  <si>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</si>
  <si>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</si>
  <si>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</si>
  <si>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</si>
  <si>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</si>
  <si>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</si>
  <si>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</si>
  <si>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</si>
  <si>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</si>
  <si>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</si>
  <si>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</si>
  <si>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</si>
  <si>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</si>
  <si>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</si>
  <si>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</si>
  <si>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</si>
  <si>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</si>
  <si>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</si>
  <si>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</si>
  <si>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</si>
  <si>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</si>
  <si>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</si>
  <si>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</si>
  <si>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</si>
  <si>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</si>
  <si>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</si>
  <si>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</si>
  <si>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</si>
  <si>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</si>
  <si>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</si>
  <si>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</si>
  <si>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</si>
  <si>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</si>
  <si>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</si>
  <si>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</si>
  <si>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</si>
  <si>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</si>
  <si>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</si>
  <si>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</si>
  <si>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</si>
  <si>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</si>
  <si>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</si>
  <si>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</si>
  <si>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</si>
  <si>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</si>
  <si>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</si>
  <si>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</si>
  <si>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</si>
  <si>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</si>
  <si>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</si>
  <si>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</si>
  <si>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</si>
  <si>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</si>
  <si>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</si>
  <si>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</si>
  <si>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</si>
  <si>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</si>
  <si>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</si>
  <si>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</si>
  <si>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</si>
  <si>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</si>
  <si>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</si>
  <si>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</si>
  <si>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</si>
  <si>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</si>
  <si>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</si>
  <si>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</si>
  <si>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</si>
  <si>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</si>
  <si>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</si>
  <si>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</si>
  <si>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</si>
  <si>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</si>
  <si>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</si>
  <si>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</si>
  <si>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</si>
  <si>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</si>
  <si>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</si>
  <si>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</si>
  <si>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</si>
  <si>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</si>
  <si>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</si>
  <si>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</si>
  <si>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</si>
  <si>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</si>
  <si>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</si>
  <si>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</si>
  <si>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</si>
  <si>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</si>
  <si>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</si>
  <si>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</si>
  <si>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</si>
  <si>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</si>
  <si>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</si>
  <si>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</si>
  <si>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</si>
  <si>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</si>
  <si>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</si>
  <si>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</si>
  <si>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</si>
  <si>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</si>
  <si>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</si>
  <si>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</si>
  <si>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</si>
  <si>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</si>
  <si>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</si>
  <si>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</si>
  <si>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</si>
  <si>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</si>
  <si>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</si>
  <si>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</si>
  <si>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</si>
  <si>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</si>
  <si>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</si>
  <si>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</si>
  <si>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</si>
  <si>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</si>
  <si>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</si>
  <si>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</si>
  <si>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</si>
  <si>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</si>
  <si>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</si>
  <si>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</si>
  <si>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</si>
  <si>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</si>
  <si>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</si>
  <si>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</si>
  <si>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</si>
  <si>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</si>
  <si>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</si>
  <si>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</si>
  <si>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</si>
  <si>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</si>
  <si>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</si>
  <si>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</si>
  <si>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</si>
  <si>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</si>
  <si>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</si>
  <si>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</si>
  <si>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</si>
  <si>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</si>
  <si>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</si>
  <si>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</si>
  <si>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</si>
  <si>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</si>
  <si>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</si>
  <si>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</si>
  <si>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</si>
  <si>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</si>
  <si>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</si>
  <si>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</si>
  <si>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</si>
  <si>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</si>
  <si>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</si>
  <si>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</si>
  <si>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</si>
  <si>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</si>
  <si>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</si>
  <si>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</si>
  <si>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</si>
  <si>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</si>
  <si>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</si>
  <si>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</si>
  <si>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</si>
  <si>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</si>
  <si>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</si>
  <si>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</si>
  <si>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</si>
  <si>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</si>
  <si>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</si>
  <si>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</si>
  <si>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</si>
  <si>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</si>
  <si>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</si>
  <si>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</si>
  <si>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</si>
  <si>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</si>
  <si>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</si>
  <si>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</si>
  <si>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</si>
  <si>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</si>
  <si>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</si>
  <si>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</si>
  <si>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</si>
  <si>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</si>
  <si>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</si>
  <si>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</si>
  <si>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</si>
  <si>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</si>
  <si>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</si>
  <si>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</si>
  <si>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</si>
  <si>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</si>
  <si>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</si>
  <si>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</si>
  <si>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</si>
  <si>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</si>
  <si>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</si>
  <si>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</si>
  <si>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</si>
  <si>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</si>
  <si>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</si>
  <si>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</si>
  <si>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</si>
  <si>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</si>
  <si>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</si>
  <si>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</si>
  <si>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</si>
  <si>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</si>
  <si>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</si>
  <si>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</si>
  <si>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</si>
  <si>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</si>
  <si>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</si>
  <si>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</si>
  <si>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</si>
  <si>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</si>
  <si>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</si>
  <si>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</si>
  <si>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</si>
  <si>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</si>
  <si>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</si>
  <si>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</si>
  <si>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</si>
  <si>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</si>
  <si>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</si>
  <si>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</si>
  <si>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</si>
  <si>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</si>
  <si>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</si>
  <si>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</si>
  <si>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</si>
  <si>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</si>
  <si>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</si>
  <si>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</si>
  <si>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</si>
  <si>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</si>
  <si>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</si>
  <si>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</si>
  <si>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</si>
  <si>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</si>
  <si>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</si>
  <si>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</si>
  <si>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</si>
  <si>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</si>
  <si>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</si>
  <si>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</si>
  <si>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</si>
  <si>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</si>
  <si>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</si>
  <si>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</si>
  <si>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</si>
  <si>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</si>
  <si>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</si>
  <si>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</si>
  <si>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</si>
  <si>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</si>
  <si>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</si>
  <si>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</si>
  <si>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</si>
  <si>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</si>
  <si>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</si>
  <si>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</si>
  <si>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</si>
  <si>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</si>
  <si>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</si>
  <si>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</si>
  <si>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</si>
  <si>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</si>
  <si>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</si>
  <si>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</si>
  <si>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</si>
  <si>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</si>
  <si>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</si>
  <si>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</si>
  <si>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</si>
  <si>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</si>
  <si>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</si>
  <si>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</si>
  <si>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</si>
  <si>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</si>
  <si>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</si>
  <si>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</si>
  <si>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</si>
  <si>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</si>
  <si>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</si>
  <si>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</si>
  <si>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</si>
  <si>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</si>
  <si>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</si>
  <si>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北京博华东方教育投资管理咨询有限公司</t>
    <phoneticPr fontId="6" type="noConversion"/>
  </si>
  <si>
    <t>抵押</t>
  </si>
  <si>
    <t>房地产抵押价值</t>
  </si>
  <si>
    <t>北京市</t>
  </si>
  <si>
    <t>企业</t>
  </si>
  <si>
    <t>出让</t>
  </si>
  <si>
    <t>否</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</si>
  <si>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00064</t>
    </r>
    <r>
      <rPr>
        <sz val="12"/>
        <color theme="9" tint="-0.249977111117893"/>
        <rFont val="宋体"/>
        <family val="3"/>
        <charset val="134"/>
      </rPr>
      <t>号</t>
    </r>
    <r>
      <rPr>
        <sz val="12"/>
        <color theme="9" tint="-0.249977111117893"/>
        <rFont val="Arial"/>
        <family val="2"/>
      </rPr>
      <t>]</t>
    </r>
    <phoneticPr fontId="6" type="noConversion"/>
  </si>
  <si>
    <t>现房</t>
  </si>
  <si>
    <t>土地</t>
  </si>
  <si>
    <t>通路</t>
  </si>
  <si>
    <t>通电</t>
  </si>
  <si>
    <t>通讯</t>
  </si>
  <si>
    <t>通上水</t>
  </si>
  <si>
    <t>通下水</t>
  </si>
  <si>
    <t>办公项目</t>
  </si>
  <si>
    <t>无</t>
  </si>
  <si>
    <r>
      <t>1</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</si>
  <si>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</si>
  <si>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</si>
  <si>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r>
      <t>6</t>
    </r>
    <r>
      <rPr>
        <sz val="10"/>
        <color indexed="8"/>
        <rFont val="宋体"/>
        <family val="3"/>
        <charset val="134"/>
      </rPr>
      <t>幢</t>
    </r>
    <phoneticPr fontId="3" type="noConversion"/>
  </si>
  <si>
    <r>
      <t>8</t>
    </r>
    <r>
      <rPr>
        <sz val="10"/>
        <color indexed="8"/>
        <rFont val="宋体"/>
        <family val="3"/>
        <charset val="134"/>
      </rPr>
      <t>幢</t>
    </r>
    <phoneticPr fontId="3" type="noConversion"/>
  </si>
  <si>
    <t>是</t>
  </si>
  <si>
    <t>地上</t>
  </si>
  <si>
    <t>宿舍</t>
  </si>
  <si>
    <t>食堂</t>
  </si>
  <si>
    <t>办公楼</t>
  </si>
  <si>
    <t>整体</t>
  </si>
  <si>
    <t>整体</t>
    <phoneticPr fontId="7" type="noConversion"/>
  </si>
  <si>
    <t>成新度</t>
  </si>
  <si>
    <t>收益法</t>
  </si>
  <si>
    <t>科教用地</t>
  </si>
  <si>
    <t>五通一平</t>
  </si>
  <si>
    <t>一致</t>
  </si>
  <si>
    <t>容积率修正</t>
  </si>
  <si>
    <t>按公示增长率计算</t>
  </si>
  <si>
    <t>已包含在土地取得成本中</t>
  </si>
  <si>
    <t>砖混</t>
  </si>
  <si>
    <t>非生产用房</t>
  </si>
  <si>
    <t>收益还原</t>
  </si>
  <si>
    <t>全部缴纳</t>
  </si>
  <si>
    <t>押一</t>
  </si>
  <si>
    <t>按租金收入计税</t>
  </si>
  <si>
    <t>成本法</t>
  </si>
  <si>
    <t>顺义区京顺路99号1幢等5幢办公用房</t>
    <phoneticPr fontId="6" type="noConversion"/>
  </si>
  <si>
    <t>一般</t>
  </si>
  <si>
    <t>较差</t>
  </si>
  <si>
    <t>较好</t>
  </si>
  <si>
    <t>建筑面积</t>
  </si>
  <si>
    <t>土地面积</t>
  </si>
  <si>
    <t>建筑物价值</t>
  </si>
  <si>
    <t>成本比率</t>
  </si>
  <si>
    <t>建筑名称</t>
  </si>
  <si>
    <t>建筑面积（平方米）</t>
  </si>
  <si>
    <t>租赁面积   （平米）</t>
    <phoneticPr fontId="143" type="noConversion"/>
  </si>
  <si>
    <t>租赁单位</t>
    <phoneticPr fontId="143" type="noConversion"/>
  </si>
  <si>
    <t>租期   （年）</t>
    <phoneticPr fontId="143" type="noConversion"/>
  </si>
  <si>
    <t>递增方式</t>
    <phoneticPr fontId="143" type="noConversion"/>
  </si>
  <si>
    <t>A、B座教学楼</t>
    <phoneticPr fontId="143" type="noConversion"/>
  </si>
  <si>
    <t>传智播客</t>
    <phoneticPr fontId="143" type="noConversion"/>
  </si>
  <si>
    <t>10年</t>
    <phoneticPr fontId="143" type="noConversion"/>
  </si>
  <si>
    <t>1-5年为1.1；6-10年为1.3</t>
    <phoneticPr fontId="143" type="noConversion"/>
  </si>
  <si>
    <t>顺天府学</t>
    <phoneticPr fontId="143" type="noConversion"/>
  </si>
  <si>
    <t>20年</t>
    <phoneticPr fontId="143" type="noConversion"/>
  </si>
  <si>
    <t>1-5年为1.2；6-10年为1.4；11-15年为1.6；16-20为1.8</t>
    <phoneticPr fontId="143" type="noConversion"/>
  </si>
  <si>
    <t>男生宿舍楼</t>
    <phoneticPr fontId="143" type="noConversion"/>
  </si>
  <si>
    <t>深圳天房      （传智播客关联）</t>
    <phoneticPr fontId="143" type="noConversion"/>
  </si>
  <si>
    <t>1-5年为1；6-8年为1.2；    9-10为1.3</t>
    <phoneticPr fontId="143" type="noConversion"/>
  </si>
  <si>
    <t>10年</t>
  </si>
  <si>
    <t>1-5年为1；6-8年为1.2；    9-10为1.3</t>
  </si>
  <si>
    <t>1号学生宿舍楼</t>
    <phoneticPr fontId="143" type="noConversion"/>
  </si>
  <si>
    <t>建美溢春园林  （传智播客关联）</t>
  </si>
  <si>
    <t>食堂综合楼</t>
    <phoneticPr fontId="143" type="noConversion"/>
  </si>
  <si>
    <t>兴明元</t>
    <phoneticPr fontId="143" type="noConversion"/>
  </si>
  <si>
    <t xml:space="preserve">1-5年为1.2；6-10年为1.4 </t>
    <phoneticPr fontId="143" type="noConversion"/>
  </si>
  <si>
    <t>女生宿舍楼</t>
  </si>
  <si>
    <t>顺天府学</t>
  </si>
  <si>
    <t>20年</t>
  </si>
  <si>
    <t>1-5年为1.2；6-10年为1.4；11-15年为1.6；16-20为1.8</t>
  </si>
  <si>
    <t>1-5年租金（元/平米.天）</t>
    <phoneticPr fontId="143" type="noConversion"/>
  </si>
  <si>
    <t>6-10年租金（元/平米.天）</t>
    <phoneticPr fontId="143" type="noConversion"/>
  </si>
  <si>
    <t>6-8年租金（元/平米.天）</t>
    <phoneticPr fontId="143" type="noConversion"/>
  </si>
  <si>
    <t>9-10年租金（元/平米.天）</t>
    <phoneticPr fontId="143" type="noConversion"/>
  </si>
  <si>
    <t>11-15年租金（元/平米.天）</t>
    <phoneticPr fontId="143" type="noConversion"/>
  </si>
  <si>
    <t>——</t>
    <phoneticPr fontId="143" type="noConversion"/>
  </si>
  <si>
    <t>16-20年租金（元/平米.天）</t>
    <phoneticPr fontId="143" type="noConversion"/>
  </si>
  <si>
    <t>租约期内平均日租金（元/平米.天）</t>
    <phoneticPr fontId="143" type="noConversion"/>
  </si>
  <si>
    <t>租约期内租金合计（万元）</t>
    <phoneticPr fontId="143" type="noConversion"/>
  </si>
  <si>
    <t>建筑面积合计</t>
    <phoneticPr fontId="143" type="noConversion"/>
  </si>
  <si>
    <t>合计租金（万元）</t>
    <phoneticPr fontId="143" type="noConversion"/>
  </si>
  <si>
    <t>平均日租金</t>
    <phoneticPr fontId="143" type="noConversion"/>
  </si>
  <si>
    <t>证载楼号</t>
    <phoneticPr fontId="143" type="noConversion"/>
  </si>
  <si>
    <r>
      <t>36.69</t>
    </r>
    <r>
      <rPr>
        <sz val="12"/>
        <color theme="9" tint="-0.249977111117893"/>
        <rFont val="宋体"/>
        <family val="3"/>
        <charset val="134"/>
      </rPr>
      <t>年</t>
    </r>
    <phoneticPr fontId="6" type="noConversion"/>
  </si>
  <si>
    <t>教学实验楼、食堂、宿舍楼</t>
    <phoneticPr fontId="6" type="noConversion"/>
  </si>
  <si>
    <t xml:space="preserve">上海浦东发展银行股份有限公司北京世纪城支行
</t>
    <phoneticPr fontId="6" type="noConversion"/>
  </si>
  <si>
    <t xml:space="preserve">2019-1-0159-P01DYGJ1 </t>
    <phoneticPr fontId="6" type="noConversion"/>
  </si>
  <si>
    <t>吴薇</t>
  </si>
  <si>
    <t>崔锴</t>
  </si>
  <si>
    <t>正常</t>
    <phoneticPr fontId="6" type="noConversion"/>
  </si>
  <si>
    <t>否</t>
    <phoneticPr fontId="6" type="noConversion"/>
  </si>
  <si>
    <t>估价对象容积率</t>
  </si>
  <si>
    <t>项目全部</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</si>
  <si>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</si>
  <si>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270876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</si>
  <si>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Ⅸ-顺1</t>
  </si>
  <si>
    <t>8年租约，</t>
    <phoneticPr fontId="143" type="noConversion"/>
  </si>
  <si>
    <t>租期内年平均增长率（%）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</si>
</sst>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2"/>
      <color rgb="FF000000"/>
      <name val="仿宋"/>
      <family val="3"/>
      <charset val="134"/>
    </font>
    <font>
      <sz val="12"/>
      <color rgb="FF000000"/>
      <name val="仿宋"/>
      <family val="3"/>
      <charset val="134"/>
    </font>
    <font>
      <sz val="11"/>
      <color theme="1"/>
      <name val="宋体"/>
      <family val="3"/>
      <charset val="134"/>
      <scheme val="minor"/>
    </font>
    <font>
      <sz val="12"/>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254" fillId="0" borderId="9" xfId="0" applyFont="1" applyBorder="1" applyAlignment="1">
      <alignment horizontal="center" vertical="center" wrapText="1"/>
    </xf>
    <xf numFmtId="0" fontId="254" fillId="0" borderId="9" xfId="0" applyFont="1" applyFill="1" applyBorder="1" applyAlignment="1">
      <alignment horizontal="center" vertical="center" wrapText="1"/>
    </xf>
    <xf numFmtId="179" fontId="254" fillId="0" borderId="9" xfId="0" applyNumberFormat="1" applyFont="1" applyFill="1" applyBorder="1" applyAlignment="1">
      <alignment horizontal="center" vertical="center" wrapText="1"/>
    </xf>
    <xf numFmtId="0" fontId="254" fillId="0" borderId="10" xfId="0" applyFont="1" applyFill="1" applyBorder="1" applyAlignment="1">
      <alignment horizontal="center" vertical="center" wrapText="1"/>
    </xf>
    <xf numFmtId="0" fontId="255" fillId="17" borderId="1" xfId="0" applyFont="1" applyFill="1" applyBorder="1" applyAlignment="1">
      <alignment horizontal="center" vertical="center" wrapText="1"/>
    </xf>
    <xf numFmtId="179" fontId="255" fillId="17" borderId="1" xfId="0" applyNumberFormat="1" applyFont="1" applyFill="1" applyBorder="1" applyAlignment="1">
      <alignment horizontal="center" vertical="center" wrapText="1"/>
    </xf>
    <xf numFmtId="0" fontId="0" fillId="17" borderId="24" xfId="0" applyFill="1" applyBorder="1" applyAlignment="1">
      <alignment horizontal="left" vertical="center" wrapText="1"/>
    </xf>
    <xf numFmtId="0" fontId="255" fillId="17" borderId="2" xfId="0" applyFont="1" applyFill="1" applyBorder="1" applyAlignment="1">
      <alignment horizontal="center" vertical="center" wrapText="1"/>
    </xf>
    <xf numFmtId="179" fontId="255" fillId="17" borderId="2" xfId="0" applyNumberFormat="1" applyFont="1" applyFill="1" applyBorder="1" applyAlignment="1">
      <alignment horizontal="center" vertical="center" wrapText="1"/>
    </xf>
    <xf numFmtId="0" fontId="0" fillId="17" borderId="8" xfId="0" applyFont="1" applyFill="1" applyBorder="1" applyAlignment="1">
      <alignment horizontal="left" vertical="center" wrapText="1"/>
    </xf>
    <xf numFmtId="0" fontId="255" fillId="17" borderId="15" xfId="0" applyFont="1" applyFill="1" applyBorder="1" applyAlignment="1">
      <alignment horizontal="center" vertical="center" wrapText="1"/>
    </xf>
    <xf numFmtId="197" fontId="0" fillId="0" borderId="0" xfId="0" applyNumberFormat="1">
      <alignment vertical="center"/>
    </xf>
    <xf numFmtId="179" fontId="0" fillId="0" borderId="0" xfId="0" applyNumberFormat="1">
      <alignment vertical="center"/>
    </xf>
    <xf numFmtId="197" fontId="0" fillId="0" borderId="0" xfId="0" applyNumberFormat="1" applyAlignment="1">
      <alignment horizontal="center" vertical="center"/>
    </xf>
    <xf numFmtId="197" fontId="47" fillId="0" borderId="3" xfId="0" applyNumberFormat="1" applyFont="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17" borderId="2"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99" fillId="17" borderId="24" xfId="0" applyFont="1" applyFill="1" applyBorder="1" applyAlignment="1">
      <alignment horizontal="left" vertical="center" wrapText="1"/>
    </xf>
    <xf numFmtId="176" fontId="0" fillId="0" borderId="0" xfId="0" applyNumberFormat="1">
      <alignment vertical="center"/>
    </xf>
    <xf numFmtId="176" fontId="254" fillId="0" borderId="9" xfId="0" applyNumberFormat="1" applyFont="1" applyFill="1" applyBorder="1" applyAlignment="1">
      <alignment horizontal="center" vertical="center" wrapText="1"/>
    </xf>
    <xf numFmtId="176" fontId="255" fillId="17" borderId="2" xfId="17" applyNumberFormat="1" applyFont="1" applyFill="1" applyBorder="1" applyAlignment="1">
      <alignment horizontal="center" vertical="center" wrapText="1"/>
    </xf>
    <xf numFmtId="176" fontId="0" fillId="0" borderId="0" xfId="0" applyNumberFormat="1" applyAlignment="1">
      <alignment horizontal="center" vertical="center"/>
    </xf>
    <xf numFmtId="197" fontId="47" fillId="0" borderId="23" xfId="0" applyNumberFormat="1" applyFont="1" applyBorder="1" applyAlignment="1" applyProtection="1">
      <alignment vertical="center"/>
      <protection locked="0"/>
    </xf>
    <xf numFmtId="178" fontId="257" fillId="5" borderId="1" xfId="0"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17" borderId="13"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55" fillId="17" borderId="15" xfId="0" applyFont="1" applyFill="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132134</xdr:colOff>
      <xdr:row>28</xdr:row>
      <xdr:rowOff>132734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733334" cy="4933334"/>
        </a:xfrm>
        <a:prstGeom prst="rect">
          <a:avLst/>
        </a:prstGeom>
      </xdr:spPr>
    </xdr:pic>
    <xdr:clientData/>
  </xdr:twoCellAnchor>
  <xdr:twoCellAnchor editAs="oneCell">
    <xdr:from>
      <xdr:col>0</xdr:col>
      <xdr:colOff>0</xdr:colOff>
      <xdr:row>29</xdr:row>
      <xdr:rowOff>0</xdr:rowOff>
    </xdr:from>
    <xdr:to>
      <xdr:col>14</xdr:col>
      <xdr:colOff>341658</xdr:colOff>
      <xdr:row>57</xdr:row>
      <xdr:rowOff>8924</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972050"/>
          <a:ext cx="9942858" cy="4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北京市顺义区京顺路99号1幢等5幢办公用房房地产抵押价值预评估</v>
      </c>
    </row>
    <row r="3" spans="1:2" s="1596" customFormat="1">
      <c r="A3" s="1594" t="s">
        <v>1217</v>
      </c>
      <c r="B3" s="1595" t="str">
        <f>'预评函-封皮'!B40</f>
        <v>北京博华东方教育投资管理咨询有限公司</v>
      </c>
    </row>
    <row r="4" spans="1:2" s="1596" customFormat="1">
      <c r="A4" s="1594" t="s">
        <v>1218</v>
      </c>
      <c r="B4" s="1595" t="str">
        <f ca="1">'预评函-封皮'!B46</f>
        <v>吴薇（注册号：1419970001)、崔锴（注册号：1120100036)</v>
      </c>
    </row>
    <row r="5" spans="1:2" s="1590" customFormat="1" ht="16.2" thickBot="1">
      <c r="A5" s="1597" t="s">
        <v>1219</v>
      </c>
      <c r="B5" s="1598" t="str">
        <f>'预评函-封皮'!B49</f>
        <v>康正预评字2019-1-0159-P01DYGJ1 号</v>
      </c>
    </row>
    <row r="6" spans="1:2" s="1593" customFormat="1" ht="16.2" thickTop="1">
      <c r="A6" s="1591" t="s">
        <v>1220</v>
      </c>
      <c r="B6" s="1592" t="str">
        <f>'预评函-1'!A4</f>
        <v>受贵公司委托，我公司对北京市顺义区京顺路99号1幢等5幢办公用房房地产抵押价值进行了预评估。</v>
      </c>
    </row>
    <row r="7" spans="1:2" s="1596" customFormat="1">
      <c r="A7" s="1594" t="s">
        <v>1260</v>
      </c>
      <c r="B7" s="1595" t="str">
        <f>'预评函-1'!A7</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为估价委托人在向上海浦东发展银行股份有限公司北京世纪城支行
办理贷款手续过程中，确定房地产抵押贷款额度提供参考依据而评估房地产抵押价值。</v>
      </c>
    </row>
    <row r="12" spans="1:2" s="1596" customFormat="1">
      <c r="A12" s="1594" t="s">
        <v>1222</v>
      </c>
      <c r="B12" s="1595" t="str">
        <f>'预评函-1'!A15</f>
        <v>2019年3月20日（评估专业人员实地查勘之日）</v>
      </c>
    </row>
    <row r="13" spans="1:2" s="1596" customFormat="1">
      <c r="A13" s="1594" t="s">
        <v>1223</v>
      </c>
      <c r="B13" s="1595" t="str">
        <f>'预评函-1'!A18</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4" spans="1:2" s="1596" customFormat="1">
      <c r="A14" s="1594" t="s">
        <v>1224</v>
      </c>
      <c r="B14" s="1595" t="str">
        <f>'预评函-1'!A19</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1228</v>
      </c>
      <c r="B18" s="1598" t="str">
        <f>'预评函-1'!A24</f>
        <v>本次评估采用的主估价方法为成本法和收益法。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51832</v>
      </c>
    </row>
    <row r="21" spans="1:2" s="1596" customFormat="1">
      <c r="A21" s="1594" t="s">
        <v>1231</v>
      </c>
      <c r="B21" s="1595">
        <f ca="1">'预评函-2'!D7</f>
        <v>9750</v>
      </c>
    </row>
    <row r="22" spans="1:2" s="1596" customFormat="1">
      <c r="A22" s="1594" t="s">
        <v>1232</v>
      </c>
      <c r="B22" s="1595" t="str">
        <f ca="1">'预评函-2'!D6</f>
        <v>伍亿壹仟捌佰叁拾贰万元整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51832</v>
      </c>
    </row>
    <row r="31" spans="1:2" s="1596" customFormat="1">
      <c r="A31" s="1594" t="s">
        <v>1270</v>
      </c>
      <c r="B31" s="1595">
        <f ca="1">'预评函-2'!D15</f>
        <v>9750</v>
      </c>
    </row>
    <row r="32" spans="1:2" s="1596" customFormat="1">
      <c r="A32" s="1594" t="s">
        <v>1237</v>
      </c>
      <c r="B32" s="1595" t="str">
        <f ca="1">'预评函-2'!D14</f>
        <v>伍亿壹仟捌佰叁拾贰万元整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北京市顺义区京顺路99号1幢等5幢办公用房房地产</v>
      </c>
    </row>
    <row r="42" spans="1:2" s="1596" customFormat="1" ht="31.2">
      <c r="A42" s="1594" t="s">
        <v>1284</v>
      </c>
      <c r="B42" s="1595" t="str">
        <f>'预评函-3'!B2</f>
        <v>建筑面积</v>
      </c>
    </row>
    <row r="43" spans="1:2" s="1596" customFormat="1">
      <c r="A43" s="1594" t="s">
        <v>1285</v>
      </c>
      <c r="B43" s="1595">
        <f>'预评函-3'!B4</f>
        <v>53162.09</v>
      </c>
    </row>
    <row r="44" spans="1:2" s="1596" customFormat="1" ht="31.2">
      <c r="A44" s="1594" t="s">
        <v>1269</v>
      </c>
      <c r="B44" s="1595" t="str">
        <f>'预评函-3'!C2</f>
        <v>(分摊)土地面积</v>
      </c>
    </row>
    <row r="45" spans="1:2" s="1596" customFormat="1">
      <c r="A45" s="1594" t="s">
        <v>1241</v>
      </c>
      <c r="B45" s="1595">
        <f>'预评函-3'!C4</f>
        <v>63000</v>
      </c>
    </row>
    <row r="46" spans="1:2" s="1596" customFormat="1">
      <c r="A46" s="1594" t="s">
        <v>1267</v>
      </c>
      <c r="B46" s="1595" t="str">
        <f>'预评函-3'!D2</f>
        <v>出让国有建设用地使用权价值</v>
      </c>
    </row>
    <row r="47" spans="1:2" s="1596" customFormat="1">
      <c r="A47" s="1594" t="s">
        <v>1242</v>
      </c>
      <c r="B47" s="1595">
        <f ca="1">'预评函-3'!D4</f>
        <v>34779</v>
      </c>
    </row>
    <row r="48" spans="1:2" s="1596" customFormat="1">
      <c r="A48" s="1594" t="s">
        <v>1243</v>
      </c>
      <c r="B48" s="1595">
        <f ca="1">'预评函-3'!E4</f>
        <v>6542</v>
      </c>
    </row>
    <row r="49" spans="1:2" s="1596" customFormat="1">
      <c r="A49" s="1594" t="s">
        <v>1244</v>
      </c>
      <c r="B49" s="1595" t="str">
        <f ca="1">'预评函-3'!D5</f>
        <v>叁亿肆仟柒佰柒拾玖万元整</v>
      </c>
    </row>
    <row r="50" spans="1:2" s="1596" customFormat="1">
      <c r="A50" s="1594" t="s">
        <v>1268</v>
      </c>
      <c r="B50" s="1595" t="str">
        <f>'预评函-3'!F2</f>
        <v>建筑物价值</v>
      </c>
    </row>
    <row r="51" spans="1:2" s="1596" customFormat="1">
      <c r="A51" s="1594" t="s">
        <v>1245</v>
      </c>
      <c r="B51" s="1595">
        <f ca="1">'预评函-3'!F4</f>
        <v>17053</v>
      </c>
    </row>
    <row r="52" spans="1:2" s="1596" customFormat="1">
      <c r="A52" s="1594" t="s">
        <v>1246</v>
      </c>
      <c r="B52" s="1595">
        <f ca="1">'预评函-3'!G4</f>
        <v>3208</v>
      </c>
    </row>
    <row r="53" spans="1:2" s="1596" customFormat="1">
      <c r="A53" s="1594" t="s">
        <v>1274</v>
      </c>
      <c r="B53" s="1595" t="str">
        <f ca="1">'预评函-3'!F5</f>
        <v>壹亿柒仟零伍拾叁万元整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t="str">
        <f>'预评函-4'!A4</f>
        <v>吴薇</v>
      </c>
    </row>
    <row r="71" spans="1:2">
      <c r="A71" s="1594" t="s">
        <v>1257</v>
      </c>
      <c r="B71" s="1595">
        <f ca="1">'预评函-4'!B4</f>
        <v>1419970001</v>
      </c>
    </row>
    <row r="72" spans="1:2">
      <c r="A72" s="1594" t="s">
        <v>1258</v>
      </c>
      <c r="B72" s="1603" t="str">
        <f>'预评函-4'!A5</f>
        <v>崔锴</v>
      </c>
    </row>
    <row r="73" spans="1:2" s="1590" customFormat="1" ht="16.2" thickBot="1">
      <c r="A73" s="1597" t="s">
        <v>1259</v>
      </c>
      <c r="B73" s="1598">
        <f ca="1">'预评函-4'!B5</f>
        <v>1120100036</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1684</v>
      </c>
      <c r="C1" s="2012" t="s">
        <v>759</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1141</v>
      </c>
      <c r="R1" s="2013" t="s">
        <v>1135</v>
      </c>
      <c r="S1" s="2013" t="s">
        <v>1697</v>
      </c>
      <c r="T1" s="2015" t="s">
        <v>1698</v>
      </c>
      <c r="U1" s="2013" t="s">
        <v>1699</v>
      </c>
      <c r="V1" s="2013" t="s">
        <v>1700</v>
      </c>
      <c r="W1" s="2013" t="s">
        <v>755</v>
      </c>
    </row>
    <row r="2" spans="1:23">
      <c r="A2" s="2017" t="s">
        <v>22</v>
      </c>
      <c r="B2" s="2017" t="s">
        <v>1701</v>
      </c>
      <c r="C2" s="2018" t="s">
        <v>760</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1137</v>
      </c>
      <c r="S2" s="2019" t="s">
        <v>1707</v>
      </c>
      <c r="T2" s="2019" t="s">
        <v>1708</v>
      </c>
      <c r="U2" s="2019" t="s">
        <v>1707</v>
      </c>
      <c r="V2" s="2019" t="s">
        <v>1709</v>
      </c>
      <c r="W2" s="2019" t="s">
        <v>1707</v>
      </c>
    </row>
    <row r="3" spans="1:23">
      <c r="A3" s="2017" t="s">
        <v>1710</v>
      </c>
      <c r="B3" s="2020" t="s">
        <v>1142</v>
      </c>
      <c r="C3" s="2021" t="s">
        <v>761</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1136</v>
      </c>
      <c r="S3" s="2019" t="s">
        <v>1715</v>
      </c>
      <c r="T3" s="2019" t="s">
        <v>1716</v>
      </c>
      <c r="U3" s="2019" t="s">
        <v>1715</v>
      </c>
      <c r="V3" s="2019" t="s">
        <v>1717</v>
      </c>
      <c r="W3" s="2019" t="s">
        <v>1715</v>
      </c>
    </row>
    <row r="4" spans="1:23">
      <c r="A4" s="2017" t="s">
        <v>1718</v>
      </c>
      <c r="B4" s="2017" t="s">
        <v>1719</v>
      </c>
      <c r="C4" s="2018" t="s">
        <v>762</v>
      </c>
      <c r="D4" s="2019" t="s">
        <v>865</v>
      </c>
      <c r="E4" s="2019" t="s">
        <v>1720</v>
      </c>
      <c r="F4" s="2019" t="s">
        <v>1721</v>
      </c>
      <c r="G4" s="2019">
        <v>70</v>
      </c>
      <c r="H4" s="2019" t="s">
        <v>1721</v>
      </c>
      <c r="I4" s="2019" t="s">
        <v>1722</v>
      </c>
      <c r="K4" s="2019" t="s">
        <v>1723</v>
      </c>
      <c r="L4" s="2019" t="s">
        <v>1723</v>
      </c>
      <c r="M4" s="2019" t="s">
        <v>1723</v>
      </c>
      <c r="N4" s="2019" t="s">
        <v>1723</v>
      </c>
      <c r="O4" s="2019" t="s">
        <v>1723</v>
      </c>
      <c r="P4" s="2019" t="s">
        <v>1723</v>
      </c>
      <c r="Q4" s="2019" t="s">
        <v>1723</v>
      </c>
      <c r="R4" s="2019" t="s">
        <v>1138</v>
      </c>
      <c r="S4" s="2019" t="s">
        <v>1723</v>
      </c>
      <c r="T4" s="2019" t="s">
        <v>1724</v>
      </c>
      <c r="U4" s="2019" t="s">
        <v>1723</v>
      </c>
      <c r="W4" s="2019" t="s">
        <v>1723</v>
      </c>
    </row>
    <row r="5" spans="1:23">
      <c r="A5" s="2017" t="s">
        <v>1725</v>
      </c>
      <c r="B5" s="2017" t="s">
        <v>1726</v>
      </c>
      <c r="C5" s="2018" t="s">
        <v>763</v>
      </c>
      <c r="F5" s="2019" t="s">
        <v>1727</v>
      </c>
      <c r="H5" s="2019" t="s">
        <v>1728</v>
      </c>
      <c r="I5" s="2019" t="s">
        <v>1729</v>
      </c>
      <c r="K5" s="2019" t="s">
        <v>1730</v>
      </c>
      <c r="L5" s="2019" t="s">
        <v>1730</v>
      </c>
      <c r="M5" s="2019" t="s">
        <v>1730</v>
      </c>
      <c r="N5" s="2019" t="s">
        <v>1730</v>
      </c>
      <c r="O5" s="2019" t="s">
        <v>1730</v>
      </c>
      <c r="P5" s="2019" t="s">
        <v>1730</v>
      </c>
      <c r="Q5" s="2019" t="s">
        <v>1730</v>
      </c>
      <c r="R5" s="2019" t="s">
        <v>1139</v>
      </c>
      <c r="S5" s="2019" t="s">
        <v>1730</v>
      </c>
      <c r="T5" s="2019" t="s">
        <v>1731</v>
      </c>
      <c r="U5" s="2019" t="s">
        <v>1730</v>
      </c>
      <c r="W5" s="2019" t="s">
        <v>1730</v>
      </c>
    </row>
    <row r="6" spans="1:23">
      <c r="A6" s="2017" t="s">
        <v>1732</v>
      </c>
      <c r="B6" s="2020" t="s">
        <v>1143</v>
      </c>
      <c r="C6" s="2023" t="s">
        <v>30</v>
      </c>
      <c r="F6" s="2019" t="s">
        <v>1728</v>
      </c>
      <c r="H6" s="2019" t="s">
        <v>1733</v>
      </c>
      <c r="I6" s="2019" t="s">
        <v>1734</v>
      </c>
      <c r="K6" s="2019" t="s">
        <v>1735</v>
      </c>
      <c r="L6" s="2019" t="s">
        <v>1735</v>
      </c>
      <c r="M6" s="2019" t="s">
        <v>1735</v>
      </c>
      <c r="N6" s="2019" t="s">
        <v>1735</v>
      </c>
      <c r="O6" s="2019" t="s">
        <v>1735</v>
      </c>
      <c r="P6" s="2019" t="s">
        <v>1735</v>
      </c>
      <c r="Q6" s="2019" t="s">
        <v>1735</v>
      </c>
      <c r="R6" s="2019" t="s">
        <v>1140</v>
      </c>
      <c r="S6" s="2019" t="s">
        <v>1735</v>
      </c>
      <c r="T6" s="2019"/>
      <c r="U6" s="2019" t="s">
        <v>1735</v>
      </c>
      <c r="W6" s="2019" t="s">
        <v>1735</v>
      </c>
    </row>
    <row r="7" spans="1:23">
      <c r="A7" s="2017" t="s">
        <v>1736</v>
      </c>
      <c r="B7" s="2020" t="s">
        <v>1144</v>
      </c>
      <c r="C7" s="2018" t="s">
        <v>31</v>
      </c>
      <c r="F7" s="2019" t="s">
        <v>1737</v>
      </c>
      <c r="H7" s="2019" t="s">
        <v>1738</v>
      </c>
      <c r="I7" s="2019" t="s">
        <v>1739</v>
      </c>
    </row>
    <row r="8" spans="1:23">
      <c r="A8" s="2017" t="s">
        <v>1740</v>
      </c>
      <c r="B8" s="2017" t="s">
        <v>1741</v>
      </c>
      <c r="C8" s="2018" t="s">
        <v>764</v>
      </c>
      <c r="F8" s="2019" t="s">
        <v>1742</v>
      </c>
      <c r="H8" s="2019"/>
      <c r="I8" s="2019" t="s">
        <v>1743</v>
      </c>
    </row>
    <row r="9" spans="1:23">
      <c r="A9" s="2017" t="s">
        <v>1744</v>
      </c>
      <c r="B9" s="2017" t="s">
        <v>1745</v>
      </c>
      <c r="C9" s="2018" t="s">
        <v>765</v>
      </c>
      <c r="F9" s="2019" t="s">
        <v>1746</v>
      </c>
      <c r="H9" s="2019"/>
    </row>
    <row r="10" spans="1:23">
      <c r="A10" s="2017" t="s">
        <v>1747</v>
      </c>
      <c r="B10" s="2017" t="s">
        <v>1748</v>
      </c>
      <c r="C10" s="2018" t="s">
        <v>766</v>
      </c>
      <c r="F10" s="2019" t="s">
        <v>16</v>
      </c>
    </row>
    <row r="11" spans="1:23">
      <c r="A11" s="2017" t="s">
        <v>1749</v>
      </c>
      <c r="B11" s="2017" t="s">
        <v>1750</v>
      </c>
      <c r="C11" s="2018" t="s">
        <v>767</v>
      </c>
    </row>
    <row r="12" spans="1:23">
      <c r="A12" s="2017" t="s">
        <v>1751</v>
      </c>
      <c r="B12" s="2017" t="s">
        <v>1752</v>
      </c>
      <c r="C12" s="2018" t="s">
        <v>768</v>
      </c>
    </row>
    <row r="13" spans="1:23">
      <c r="A13" s="2017" t="s">
        <v>1753</v>
      </c>
      <c r="B13" s="2017" t="s">
        <v>1754</v>
      </c>
      <c r="C13" s="2018" t="s">
        <v>769</v>
      </c>
    </row>
    <row r="14" spans="1:23">
      <c r="A14" s="2017" t="s">
        <v>1755</v>
      </c>
      <c r="B14" s="2017" t="s">
        <v>1756</v>
      </c>
      <c r="C14" s="2019" t="s">
        <v>16</v>
      </c>
    </row>
    <row r="15" spans="1:23">
      <c r="A15" s="2017" t="s">
        <v>1757</v>
      </c>
      <c r="B15" s="2017" t="s">
        <v>1758</v>
      </c>
      <c r="C15" s="2018"/>
    </row>
    <row r="16" spans="1:23">
      <c r="A16" s="2017" t="s">
        <v>1759</v>
      </c>
      <c r="B16" s="2017" t="s">
        <v>756</v>
      </c>
      <c r="C16" s="2018"/>
    </row>
    <row r="17" spans="1:3">
      <c r="A17" s="2017" t="s">
        <v>1760</v>
      </c>
      <c r="B17" s="2017" t="s">
        <v>757</v>
      </c>
      <c r="C17" s="2018"/>
    </row>
    <row r="18" spans="1:3">
      <c r="A18" s="2017" t="s">
        <v>1761</v>
      </c>
      <c r="B18" s="2017" t="s">
        <v>757</v>
      </c>
      <c r="C18" s="2018"/>
    </row>
    <row r="19" spans="1:3">
      <c r="A19" s="2017" t="s">
        <v>1762</v>
      </c>
      <c r="B19" s="2017" t="s">
        <v>757</v>
      </c>
      <c r="C19" s="2018"/>
    </row>
    <row r="20" spans="1:3">
      <c r="A20" s="2017" t="s">
        <v>1763</v>
      </c>
      <c r="B20" s="2017" t="s">
        <v>757</v>
      </c>
      <c r="C20" s="2018"/>
    </row>
    <row r="21" spans="1:3">
      <c r="A21" s="2017" t="s">
        <v>1764</v>
      </c>
      <c r="B21" s="2017" t="s">
        <v>757</v>
      </c>
      <c r="C21" s="2018"/>
    </row>
    <row r="22" spans="1:3">
      <c r="A22" s="2017" t="s">
        <v>1765</v>
      </c>
      <c r="B22" s="2017" t="s">
        <v>757</v>
      </c>
      <c r="C22" s="2018"/>
    </row>
    <row r="23" spans="1:3">
      <c r="A23" s="2017" t="s">
        <v>1766</v>
      </c>
      <c r="B23" s="2017" t="s">
        <v>757</v>
      </c>
      <c r="C23" s="2018"/>
    </row>
    <row r="24" spans="1:3">
      <c r="A24" s="2017" t="s">
        <v>1767</v>
      </c>
      <c r="B24" s="2017" t="s">
        <v>757</v>
      </c>
      <c r="C24" s="2018"/>
    </row>
    <row r="25" spans="1:3">
      <c r="A25" s="2017" t="s">
        <v>1768</v>
      </c>
      <c r="B25" s="2017" t="s">
        <v>757</v>
      </c>
      <c r="C25" s="2018"/>
    </row>
    <row r="26" spans="1:3">
      <c r="A26" s="2017" t="s">
        <v>1769</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为估价委托人在向上海浦东发展银行股份有限公司北京世纪城支行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北京博华东方教育投资管理咨询有限公司拟使用北京市顺义区京顺路99号1幢等5幢办公用房房地产作为抵押担保物，向上海浦东发展银行股份有限公司北京世纪城支行
办理贷款手续。上海浦东发展银行股份有限公司北京世纪城支行
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XX年(多用途剩余年限尾数不同时，可只体现小数点后一位)，假定未设立法定优先受偿款下的房地产市场价值。</v>
      </c>
    </row>
    <row r="54" spans="1:4">
      <c r="A54" s="3014"/>
      <c r="B54" s="2025" t="s">
        <v>861</v>
      </c>
      <c r="C54" s="2022" t="s">
        <v>1277</v>
      </c>
    </row>
    <row r="55" spans="1:4">
      <c r="A55" s="3014"/>
      <c r="B55" s="2025" t="s">
        <v>862</v>
      </c>
      <c r="C55" s="2022" t="s">
        <v>1278</v>
      </c>
    </row>
    <row r="56" spans="1:4">
      <c r="A56" s="3014"/>
      <c r="B56" s="2025" t="s">
        <v>863</v>
      </c>
      <c r="C56" s="2022" t="s">
        <v>1282</v>
      </c>
    </row>
    <row r="57" spans="1:4">
      <c r="A57" s="301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8671875" style="2035" customWidth="1"/>
    <col min="2" max="2" width="14.44140625" style="2035" customWidth="1"/>
    <col min="3" max="3" width="11.44140625" style="2035" customWidth="1"/>
    <col min="4" max="4" width="14.44140625" style="2035" customWidth="1"/>
    <col min="5" max="6" width="10" style="2035" customWidth="1"/>
    <col min="7" max="7" width="10.77734375" style="2035" customWidth="1"/>
    <col min="8" max="8" width="10" style="2035" customWidth="1"/>
    <col min="9" max="9" width="11.10937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1770</v>
      </c>
      <c r="B1" s="3023" t="str">
        <f>IF(B10="北京市","北京市",C10)&amp;F10&amp;IF(结果表!G1="在建","出让国有建设用地使用权及在建建筑物",IF(结果表!G1="土地","出让国有建设用地使用权",))&amp;B9&amp;"预评估"</f>
        <v>北京市顺义区京顺路99号1幢等5幢办公用房房地产抵押价值预评估</v>
      </c>
      <c r="C1" s="3024"/>
      <c r="D1" s="3024"/>
      <c r="E1" s="3024"/>
      <c r="F1" s="3024"/>
      <c r="G1" s="3024"/>
      <c r="H1" s="3024"/>
      <c r="I1" s="302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北京市顺义区京顺路99号1幢等5幢办公用房房地产抵押价值</v>
      </c>
    </row>
    <row r="2" spans="1:19" ht="18" customHeight="1">
      <c r="A2" s="2029" t="s">
        <v>1771</v>
      </c>
      <c r="B2" s="1042" t="s">
        <v>3139</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北京市顺义区京顺路99号1幢等5幢办公用房房地产</v>
      </c>
    </row>
    <row r="3" spans="1:19" ht="18" customHeight="1">
      <c r="A3" s="2038" t="s">
        <v>1772</v>
      </c>
      <c r="B3" s="2039">
        <v>43544</v>
      </c>
      <c r="C3" s="2040" t="s">
        <v>1773</v>
      </c>
      <c r="D3" s="2039">
        <v>43544</v>
      </c>
      <c r="E3" s="2029"/>
      <c r="F3" s="2029"/>
      <c r="G3" s="2029"/>
      <c r="H3" s="2029"/>
      <c r="I3" s="2029"/>
      <c r="J3" s="2029"/>
      <c r="K3" s="2030"/>
      <c r="L3" s="2031"/>
      <c r="M3" s="2031"/>
      <c r="N3" s="2032"/>
      <c r="O3" s="2033"/>
      <c r="P3" s="2032"/>
      <c r="Q3" s="2032"/>
      <c r="R3" s="2032"/>
      <c r="S3" s="2034"/>
    </row>
    <row r="4" spans="1:19" ht="18" customHeight="1" thickBot="1">
      <c r="A4" s="2041" t="s">
        <v>1774</v>
      </c>
      <c r="B4" s="2042" t="s">
        <v>3140</v>
      </c>
      <c r="C4" s="1040">
        <f ca="1">SUMIF(注册房地产估价师,B4,估价师及机构信息!B3:B24)</f>
        <v>1419970001</v>
      </c>
      <c r="D4" s="2042" t="s">
        <v>3141</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1775</v>
      </c>
      <c r="B5" s="2941"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1776</v>
      </c>
      <c r="B6" s="2960" t="s">
        <v>3138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1777</v>
      </c>
      <c r="B7" s="2941" t="s">
        <v>3044</v>
      </c>
      <c r="C7" s="2051"/>
      <c r="D7" s="2052"/>
      <c r="E7" s="2037"/>
      <c r="F7" s="2045"/>
      <c r="G7" s="2045"/>
      <c r="H7" s="2045"/>
      <c r="I7" s="2045"/>
      <c r="J7" s="2045"/>
      <c r="K7" s="2054"/>
      <c r="L7" s="2031"/>
      <c r="M7" s="2031"/>
      <c r="N7" s="2032"/>
      <c r="O7" s="2033"/>
      <c r="P7" s="2032"/>
      <c r="Q7" s="2032"/>
      <c r="R7" s="2032"/>
    </row>
    <row r="8" spans="1:19" ht="18" customHeight="1">
      <c r="A8" s="2050" t="s">
        <v>1778</v>
      </c>
      <c r="B8" s="2055" t="s">
        <v>3045</v>
      </c>
      <c r="C8" s="2056"/>
      <c r="D8" s="3026" t="s">
        <v>1779</v>
      </c>
      <c r="E8" s="2057" t="s">
        <v>3046</v>
      </c>
      <c r="F8" s="2058"/>
      <c r="G8" s="2029"/>
      <c r="H8" s="2029"/>
      <c r="I8" s="2029"/>
      <c r="J8" s="2045"/>
      <c r="K8" s="2046"/>
      <c r="L8" s="2031"/>
      <c r="M8" s="2031"/>
      <c r="N8" s="2032"/>
      <c r="O8" s="2033"/>
      <c r="P8" s="2032"/>
      <c r="Q8" s="2032"/>
      <c r="R8" s="2032"/>
    </row>
    <row r="9" spans="1:19" ht="18" customHeight="1" thickBot="1">
      <c r="A9" s="2043" t="s">
        <v>1780</v>
      </c>
      <c r="B9" s="2059" t="s">
        <v>3046</v>
      </c>
      <c r="C9" s="2060"/>
      <c r="D9" s="3027"/>
      <c r="E9" s="2059"/>
      <c r="F9" s="2061"/>
      <c r="G9" s="2062"/>
      <c r="H9" s="2062"/>
      <c r="I9" s="2062"/>
      <c r="J9" s="2045"/>
      <c r="K9" s="2054"/>
      <c r="L9" s="2031"/>
      <c r="M9" s="2031"/>
      <c r="N9" s="2032"/>
      <c r="O9" s="2033"/>
      <c r="P9" s="2032"/>
      <c r="Q9" s="2032"/>
      <c r="R9" s="2032"/>
    </row>
    <row r="10" spans="1:19" ht="18" customHeight="1" thickTop="1" thickBot="1">
      <c r="A10" s="2063" t="s">
        <v>1781</v>
      </c>
      <c r="B10" s="2064" t="s">
        <v>3047</v>
      </c>
      <c r="C10" s="2065"/>
      <c r="D10" s="2049"/>
      <c r="E10" s="2066" t="s">
        <v>1782</v>
      </c>
      <c r="F10" s="2942" t="s">
        <v>3088</v>
      </c>
      <c r="G10" s="2067"/>
      <c r="H10" s="2068"/>
      <c r="I10" s="2049"/>
      <c r="J10" s="2045"/>
      <c r="K10" s="2054"/>
      <c r="L10" s="2031"/>
      <c r="M10" s="2031"/>
      <c r="N10" s="2032"/>
      <c r="O10" s="2033"/>
      <c r="P10" s="2032"/>
      <c r="Q10" s="2032"/>
      <c r="R10" s="2032"/>
    </row>
    <row r="11" spans="1:19" ht="18" customHeight="1" thickTop="1">
      <c r="A11" s="2069" t="s">
        <v>1783</v>
      </c>
      <c r="B11" s="2070" t="s">
        <v>3048</v>
      </c>
      <c r="C11" s="2941" t="s">
        <v>3044</v>
      </c>
      <c r="D11" s="2071"/>
      <c r="E11" s="2045"/>
      <c r="F11" s="2045"/>
      <c r="G11" s="2045"/>
      <c r="H11" s="2045"/>
      <c r="I11" s="2045"/>
      <c r="J11" s="2045"/>
      <c r="K11" s="2054"/>
      <c r="L11" s="2031"/>
      <c r="M11" s="2031"/>
      <c r="N11" s="2032"/>
      <c r="O11" s="2033"/>
      <c r="P11" s="2032"/>
      <c r="Q11" s="2032"/>
      <c r="R11" s="2032"/>
    </row>
    <row r="12" spans="1:19" ht="18" customHeight="1">
      <c r="A12" s="2072" t="s">
        <v>1784</v>
      </c>
      <c r="B12" s="2070" t="s">
        <v>3049</v>
      </c>
      <c r="C12" s="2073" t="s">
        <v>1785</v>
      </c>
      <c r="D12" s="2074" t="s">
        <v>1786</v>
      </c>
      <c r="E12" s="2074" t="s">
        <v>1787</v>
      </c>
      <c r="F12" s="2074" t="s">
        <v>1788</v>
      </c>
      <c r="G12" s="2074" t="s">
        <v>1789</v>
      </c>
      <c r="H12" s="2074" t="s">
        <v>1790</v>
      </c>
      <c r="I12" s="2074" t="s">
        <v>1791</v>
      </c>
      <c r="J12" s="2045"/>
      <c r="K12" s="2054"/>
      <c r="L12" s="2031"/>
      <c r="M12" s="2031"/>
      <c r="N12" s="2032"/>
      <c r="O12" s="2033"/>
      <c r="P12" s="2032"/>
      <c r="Q12" s="2032"/>
      <c r="R12" s="2032"/>
    </row>
    <row r="13" spans="1:19" ht="18" customHeight="1">
      <c r="A13" s="2075"/>
      <c r="B13" s="2076"/>
      <c r="C13" s="2077" t="s">
        <v>1792</v>
      </c>
      <c r="D13" s="2078"/>
      <c r="E13" s="2078"/>
      <c r="F13" s="2078">
        <v>56939</v>
      </c>
      <c r="G13" s="2078"/>
      <c r="H13" s="2078"/>
      <c r="I13" s="1050"/>
      <c r="J13" s="2045"/>
      <c r="K13" s="2054"/>
      <c r="L13" s="2031"/>
      <c r="M13" s="2031"/>
      <c r="N13" s="2032"/>
      <c r="O13" s="2033"/>
      <c r="P13" s="2032"/>
      <c r="Q13" s="2032"/>
      <c r="R13" s="2032"/>
    </row>
    <row r="14" spans="1:19" ht="18" customHeight="1">
      <c r="A14" s="2075"/>
      <c r="B14" s="2076"/>
      <c r="C14" s="2077" t="s">
        <v>1793</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1794</v>
      </c>
      <c r="D15" s="1052" t="str">
        <f>IF(B12="出让",IF(D13="","",ROUNDDOWN(MIN((D13-$D$3)/365,D14),2)),D14)</f>
        <v/>
      </c>
      <c r="E15" s="1052" t="str">
        <f>IF(B12="出让",IF(E13="","",ROUNDDOWN(MIN((E13-$D$3)/365,E14),2)),E14)</f>
        <v/>
      </c>
      <c r="F15" s="1052">
        <f>IF(B12="出让",IF(F13="","",ROUNDDOWN(MIN((F13-$D$3)/365,F14),2)),F14)</f>
        <v>36.69</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1795</v>
      </c>
      <c r="B16" s="3033" t="s">
        <v>3137</v>
      </c>
      <c r="C16" s="3034"/>
      <c r="D16" s="3035"/>
      <c r="E16" s="2084" t="s">
        <v>1796</v>
      </c>
      <c r="F16" s="3036" t="s">
        <v>3136</v>
      </c>
      <c r="G16" s="3037"/>
      <c r="H16" s="3037"/>
      <c r="I16" s="3038"/>
      <c r="J16" s="2032"/>
      <c r="K16" s="2081"/>
      <c r="L16" s="2082"/>
      <c r="M16" s="2082"/>
      <c r="N16" s="2083"/>
      <c r="O16" s="2082"/>
      <c r="P16" s="2083"/>
      <c r="Q16" s="2032"/>
      <c r="R16" s="2032"/>
    </row>
    <row r="17" spans="1:22" ht="18" customHeight="1">
      <c r="A17" s="2085" t="s">
        <v>1797</v>
      </c>
      <c r="B17" s="2038" t="s">
        <v>1798</v>
      </c>
      <c r="C17" s="1057">
        <f>'数据-汇总表'!E3</f>
        <v>53162.09</v>
      </c>
      <c r="D17" s="2086" t="s">
        <v>1799</v>
      </c>
      <c r="E17" s="3039" t="s">
        <v>3147</v>
      </c>
      <c r="F17" s="3040"/>
      <c r="G17" s="3040"/>
      <c r="H17" s="3040"/>
      <c r="I17" s="3041"/>
      <c r="J17" s="2032"/>
      <c r="K17" s="2087"/>
      <c r="L17" s="2082"/>
      <c r="M17" s="2082"/>
      <c r="N17" s="2083"/>
      <c r="O17" s="2082"/>
      <c r="P17" s="2083"/>
      <c r="Q17" s="2032"/>
      <c r="R17" s="2032"/>
      <c r="S17" s="2032"/>
      <c r="T17" s="2032"/>
      <c r="U17" s="2032"/>
      <c r="V17" s="2032"/>
    </row>
    <row r="18" spans="1:22" ht="36" customHeight="1" thickBot="1">
      <c r="A18" s="2088" t="s">
        <v>1800</v>
      </c>
      <c r="B18" s="2041" t="s">
        <v>1801</v>
      </c>
      <c r="C18" s="1447">
        <f>'数据-汇总表'!D3</f>
        <v>63000</v>
      </c>
      <c r="D18" s="2089" t="s">
        <v>1799</v>
      </c>
      <c r="E18" s="3042" t="s">
        <v>3051</v>
      </c>
      <c r="F18" s="3043"/>
      <c r="G18" s="3043"/>
      <c r="H18" s="3043"/>
      <c r="I18" s="3044"/>
      <c r="J18" s="2032"/>
      <c r="K18" s="2087"/>
      <c r="L18" s="2082"/>
      <c r="M18" s="2082"/>
      <c r="N18" s="2083"/>
      <c r="O18" s="2082"/>
      <c r="P18" s="2083"/>
      <c r="Q18" s="2032"/>
      <c r="R18" s="2032"/>
      <c r="S18" s="2032"/>
      <c r="T18" s="2032"/>
      <c r="U18" s="2032"/>
      <c r="V18" s="2032"/>
    </row>
    <row r="19" spans="1:22" ht="37.5" customHeight="1" thickTop="1" thickBot="1">
      <c r="A19" s="373" t="s">
        <v>1802</v>
      </c>
      <c r="B19" s="352" t="s">
        <v>1803</v>
      </c>
      <c r="C19" s="2090" t="s">
        <v>3050</v>
      </c>
      <c r="D19" s="2091" t="s">
        <v>1804</v>
      </c>
      <c r="E19" s="2092" t="s">
        <v>3050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1805</v>
      </c>
      <c r="B20" s="3029" t="s">
        <v>1806</v>
      </c>
      <c r="C20" s="3030"/>
      <c r="D20" s="3031" t="s">
        <v>1807</v>
      </c>
      <c r="E20" s="3032"/>
      <c r="F20" s="2096" t="s">
        <v>1808</v>
      </c>
      <c r="G20" s="2045"/>
      <c r="H20" s="2045"/>
      <c r="I20" s="2045"/>
      <c r="J20" s="2045"/>
      <c r="K20" s="3028"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1810</v>
      </c>
      <c r="C21" s="2098" t="s">
        <v>3146</v>
      </c>
      <c r="D21" s="2099" t="s">
        <v>1811</v>
      </c>
      <c r="E21" s="2100" t="s">
        <v>70</v>
      </c>
      <c r="F21" s="2101"/>
      <c r="G21" s="2045"/>
      <c r="H21" s="2045"/>
      <c r="I21" s="2045"/>
      <c r="J21" s="2045"/>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1812</v>
      </c>
      <c r="C22" s="2098" t="s">
        <v>3146</v>
      </c>
      <c r="D22" s="2029"/>
      <c r="E22" s="2029"/>
      <c r="F22" s="2103"/>
      <c r="G22" s="2045"/>
      <c r="H22" s="2045"/>
      <c r="I22" s="2045"/>
      <c r="J22" s="2045"/>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1813</v>
      </c>
      <c r="B23" s="183" t="s">
        <v>1814</v>
      </c>
      <c r="C23" s="2105"/>
      <c r="D23" s="2106" t="s">
        <v>1814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1815</v>
      </c>
      <c r="C24" s="2110"/>
      <c r="D24" s="2104" t="s">
        <v>1815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1816</v>
      </c>
      <c r="C25" s="2110"/>
      <c r="D25" s="2104" t="s">
        <v>1816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1817</v>
      </c>
      <c r="C26" s="2114"/>
      <c r="D26" s="2115" t="s">
        <v>1818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16" t="s">
        <v>1819</v>
      </c>
      <c r="B27" s="2063" t="s">
        <v>1820</v>
      </c>
      <c r="C27" s="2118" t="s">
        <v>3059</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16"/>
      <c r="B28" s="2038" t="s">
        <v>1821</v>
      </c>
      <c r="C28" s="2120" t="s">
        <v>3060</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16"/>
      <c r="B29" s="2038" t="s">
        <v>1822</v>
      </c>
      <c r="C29" s="2123" t="s">
        <v>3050</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17"/>
      <c r="B30" s="2038" t="s">
        <v>1823</v>
      </c>
      <c r="C30" s="3018"/>
      <c r="D30" s="3019"/>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0" t="s">
        <v>1824</v>
      </c>
      <c r="B31" s="2125" t="s">
        <v>3052</v>
      </c>
      <c r="C31" s="2126" t="str">
        <f>IF(B31="现房","成新及维护状况正常否",IF(B31="在建","工程状态是否正常",IF(B31="土地","是否闲置","-")))</f>
        <v>成新及维护状况正常否</v>
      </c>
      <c r="D31" s="2127"/>
      <c r="E31" s="2961" t="s">
        <v>3142</v>
      </c>
      <c r="F31" s="2045"/>
      <c r="G31" s="2045"/>
      <c r="H31" s="2045"/>
      <c r="I31" s="2045"/>
      <c r="J31" s="2045"/>
      <c r="K31" s="2053"/>
      <c r="L31" s="2031"/>
      <c r="M31" s="2031"/>
      <c r="N31" s="2032"/>
      <c r="O31" s="2033"/>
      <c r="P31" s="2032"/>
      <c r="Q31" s="2032"/>
      <c r="R31" s="2032"/>
      <c r="S31" s="2032"/>
      <c r="T31" s="2032"/>
      <c r="U31" s="2032"/>
      <c r="V31" s="2032"/>
    </row>
    <row r="32" spans="1:22" ht="18" customHeight="1">
      <c r="A32" s="3021"/>
      <c r="B32" s="2125" t="s">
        <v>3053</v>
      </c>
      <c r="C32" s="2126" t="str">
        <f>IF(B32="现房","成新及维护状况是否正常",IF(B32="在建","工程状态是否正常",IF(B32="土地","是否闲置","-")))</f>
        <v>是否闲置</v>
      </c>
      <c r="D32" s="2127"/>
      <c r="E32" s="2961" t="s">
        <v>3143</v>
      </c>
      <c r="F32" s="2045"/>
      <c r="G32" s="2045"/>
      <c r="H32" s="2045"/>
      <c r="I32" s="2045"/>
      <c r="J32" s="2045"/>
      <c r="K32" s="2054"/>
      <c r="L32" s="2031"/>
      <c r="M32" s="2031"/>
      <c r="N32" s="2032"/>
      <c r="O32" s="2033"/>
      <c r="P32" s="2032"/>
      <c r="Q32" s="2032"/>
      <c r="R32" s="2032"/>
      <c r="S32" s="2032"/>
      <c r="T32" s="2032"/>
      <c r="U32" s="2032"/>
      <c r="V32" s="2032"/>
    </row>
    <row r="33" spans="1:22" ht="18" customHeight="1">
      <c r="A33" s="3021"/>
      <c r="B33" s="2128"/>
      <c r="C33" s="2069"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31" t="s">
        <v>3054</v>
      </c>
      <c r="C34" s="2131" t="s">
        <v>3055</v>
      </c>
      <c r="D34" s="2131" t="s">
        <v>3056</v>
      </c>
      <c r="E34" s="2131" t="s">
        <v>3057</v>
      </c>
      <c r="F34" s="2131" t="s">
        <v>3058</v>
      </c>
      <c r="G34" s="2131" t="s">
        <v>70</v>
      </c>
      <c r="H34" s="2131" t="s">
        <v>70</v>
      </c>
      <c r="I34" s="2045"/>
      <c r="J34" s="2045"/>
      <c r="K34" s="1798">
        <f>COUNTIF(B34:H34,"——")</f>
        <v>2</v>
      </c>
      <c r="L34" s="2073" t="s">
        <v>1826</v>
      </c>
      <c r="M34" s="2073" t="s">
        <v>1827</v>
      </c>
      <c r="N34" s="2073" t="s">
        <v>1828</v>
      </c>
      <c r="O34" s="2073" t="s">
        <v>1829</v>
      </c>
      <c r="P34" s="2073" t="s">
        <v>1830</v>
      </c>
      <c r="Q34" s="2073" t="s">
        <v>1831</v>
      </c>
      <c r="R34" s="2073" t="s">
        <v>1832</v>
      </c>
      <c r="S34" s="3015" t="s">
        <v>1833</v>
      </c>
      <c r="T34" s="2132" t="str">
        <f>NUMBERSTRING(7-K34,1)&amp;"通"</f>
        <v>五通</v>
      </c>
      <c r="U34" s="2032"/>
      <c r="V34" s="2032"/>
    </row>
    <row r="35" spans="1:22" ht="18" customHeight="1">
      <c r="A35" s="2133"/>
      <c r="B35" s="3022" t="s">
        <v>1834</v>
      </c>
      <c r="C35" s="3022"/>
      <c r="D35" s="3022"/>
      <c r="E35" s="3022"/>
      <c r="F35" s="2134">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5"/>
      <c r="T35" s="48" t="str">
        <f>IF(T34="一通",L35,IF(T34="二通",M35,IF(T34="三通",N35,IF(T34="四通",O35,IF(T34="五通",P35,IF(T34="六通",Q35,R35))))))</f>
        <v>通路、通电、通讯、通上水、通下水</v>
      </c>
      <c r="U35" s="2032"/>
      <c r="V35" s="2032"/>
    </row>
    <row r="36" spans="1:22" ht="18" customHeight="1">
      <c r="A36" s="2135"/>
      <c r="B36" s="2134" t="s">
        <v>1835</v>
      </c>
      <c r="C36" s="2134" t="s">
        <v>1836</v>
      </c>
      <c r="D36" s="2134" t="s">
        <v>1837</v>
      </c>
      <c r="E36" s="2134" t="s">
        <v>1838</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1839</v>
      </c>
      <c r="B37" s="2138"/>
      <c r="C37" s="2138" t="s">
        <v>530</v>
      </c>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1840</v>
      </c>
      <c r="B38" s="2140"/>
      <c r="C38" s="2140" t="s">
        <v>3148</v>
      </c>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3"/>
      <c r="K40" s="666"/>
      <c r="L40" s="2082"/>
      <c r="M40" s="2082"/>
      <c r="N40" s="2083"/>
      <c r="O40" s="2082"/>
      <c r="P40" s="2032"/>
      <c r="Q40" s="2032"/>
      <c r="R40" s="2032"/>
      <c r="S40" s="2032"/>
      <c r="T40" s="2032"/>
      <c r="U40" s="2032"/>
      <c r="V40" s="2032"/>
    </row>
    <row r="41" spans="1:22" ht="18" customHeight="1">
      <c r="A41" s="8" t="s">
        <v>1842</v>
      </c>
      <c r="B41" s="2148"/>
      <c r="C41" s="2149"/>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1843</v>
      </c>
      <c r="B42" s="1798" t="s">
        <v>1844</v>
      </c>
      <c r="C42" s="1798" t="s">
        <v>1845</v>
      </c>
      <c r="D42" s="1798" t="s">
        <v>1846</v>
      </c>
      <c r="E42" s="1798" t="s">
        <v>1847</v>
      </c>
      <c r="F42" s="1798" t="s">
        <v>1848</v>
      </c>
      <c r="G42" s="1798" t="s">
        <v>1849</v>
      </c>
      <c r="H42" s="1798" t="s">
        <v>1850</v>
      </c>
      <c r="I42" s="1798" t="s">
        <v>1851</v>
      </c>
      <c r="J42" s="2150" t="s">
        <v>1852</v>
      </c>
      <c r="K42" s="2074" t="s">
        <v>1853</v>
      </c>
      <c r="L42" s="2074" t="s">
        <v>1854</v>
      </c>
      <c r="M42" s="2074" t="s">
        <v>1855</v>
      </c>
      <c r="N42" s="1798" t="s">
        <v>1856</v>
      </c>
      <c r="O42" s="1798" t="s">
        <v>1857</v>
      </c>
      <c r="P42" s="1798" t="s">
        <v>1858</v>
      </c>
      <c r="Q42" s="2073" t="s">
        <v>1859</v>
      </c>
      <c r="R42" s="2073" t="s">
        <v>1860</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1863</v>
      </c>
      <c r="B2" s="11" t="s">
        <v>1864</v>
      </c>
      <c r="C2" s="11" t="s">
        <v>1865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1866</v>
      </c>
      <c r="AZ2" s="1273" t="s">
        <v>1867</v>
      </c>
      <c r="BA2" s="11" t="s">
        <v>1868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63000</v>
      </c>
      <c r="B3" s="14">
        <f>IF(C3="否",G5-AT5,G5)</f>
        <v>53162.09</v>
      </c>
      <c r="C3" s="2166" t="s">
        <v>1869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1870</v>
      </c>
      <c r="B5" s="1806"/>
      <c r="C5" s="1806"/>
      <c r="D5" s="1809"/>
      <c r="E5" s="16" t="s">
        <v>1</v>
      </c>
      <c r="F5" s="16">
        <f>SUM(F13:F587)</f>
        <v>0</v>
      </c>
      <c r="G5" s="16">
        <f>SUM(G13:G587)</f>
        <v>53162.09</v>
      </c>
      <c r="H5" s="16">
        <f t="shared" ref="H5:AT5" si="0">SUM(H13:H656)</f>
        <v>53162.09</v>
      </c>
      <c r="I5" s="16">
        <f t="shared" si="0"/>
        <v>27670.199999999997</v>
      </c>
      <c r="J5" s="16">
        <f t="shared" si="0"/>
        <v>0</v>
      </c>
      <c r="K5" s="16">
        <f t="shared" si="0"/>
        <v>8545.7199999999993</v>
      </c>
      <c r="L5" s="16">
        <f t="shared" si="0"/>
        <v>0</v>
      </c>
      <c r="M5" s="16">
        <f t="shared" si="0"/>
        <v>16946.169999999998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53162.09</v>
      </c>
      <c r="BA5" s="18">
        <f t="shared" si="1"/>
        <v>53162.09</v>
      </c>
      <c r="BB5" s="18">
        <f t="shared" si="1"/>
        <v>27670.199999999997</v>
      </c>
      <c r="BC5" s="18">
        <f t="shared" si="1"/>
        <v>8545.7199999999993</v>
      </c>
      <c r="BD5" s="18">
        <f t="shared" si="1"/>
        <v>16946.169999999998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1871</v>
      </c>
      <c r="B6" s="2172"/>
      <c r="C6" s="2172"/>
      <c r="D6" s="2173"/>
      <c r="E6" s="16">
        <f>H6+AC6+AT6</f>
        <v>63000</v>
      </c>
      <c r="F6" s="16" t="s">
        <v>1</v>
      </c>
      <c r="G6" s="16" t="s">
        <v>2</v>
      </c>
      <c r="H6" s="20">
        <f>SUMIF(I$12:AB$12,"总值",I6:AB6)</f>
        <v>63000</v>
      </c>
      <c r="I6" s="16">
        <f t="shared" ref="I6:AB6" si="2">ROUND($A$3*I5/$B$3,2)</f>
        <v>32790.71</v>
      </c>
      <c r="J6" s="16">
        <f t="shared" si="2"/>
        <v>0</v>
      </c>
      <c r="K6" s="16">
        <f t="shared" si="2"/>
        <v>10127.15</v>
      </c>
      <c r="L6" s="16">
        <f t="shared" si="2"/>
        <v>0</v>
      </c>
      <c r="M6" s="16">
        <f t="shared" si="2"/>
        <v>20082.14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1871</v>
      </c>
      <c r="AW6" s="2172"/>
      <c r="AX6" s="2172"/>
      <c r="AY6" s="21">
        <f>IF(AY3&gt;0,AY3,ROUND($A$3*AZ5/$B$3,2))</f>
        <v>63000</v>
      </c>
      <c r="AZ6" s="16" t="s">
        <v>3</v>
      </c>
      <c r="BA6" s="16">
        <f>ROUND($AY$6*BA5/$AZ$5,2)</f>
        <v>63000</v>
      </c>
      <c r="BB6" s="16">
        <f>ROUND($AY$6*BB5/$AZ$5,2)</f>
        <v>32790.71</v>
      </c>
      <c r="BC6" s="16">
        <f t="shared" ref="BC6:BH6" si="4">ROUND($AY$6*BC5/$AZ$5,2)</f>
        <v>10127.15</v>
      </c>
      <c r="BD6" s="16">
        <f t="shared" si="4"/>
        <v>20082.14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8" t="s">
        <v>1872</v>
      </c>
      <c r="B7" s="2108" t="s">
        <v>1873</v>
      </c>
      <c r="C7" s="2108" t="s">
        <v>1874</v>
      </c>
      <c r="D7" s="2108" t="s">
        <v>1875</v>
      </c>
      <c r="E7" s="2108" t="s">
        <v>1876</v>
      </c>
      <c r="F7" s="2108" t="s">
        <v>1877</v>
      </c>
      <c r="G7" s="2176" t="s">
        <v>1878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1879</v>
      </c>
      <c r="AV7" s="23" t="s">
        <v>1880</v>
      </c>
      <c r="AW7" s="2164" t="s">
        <v>1881</v>
      </c>
      <c r="AX7" s="23" t="s">
        <v>1874</v>
      </c>
      <c r="AY7" s="1806" t="s">
        <v>1882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1883</v>
      </c>
      <c r="H8" s="2182" t="s">
        <v>1884</v>
      </c>
      <c r="I8" s="2183"/>
      <c r="J8" s="1821"/>
      <c r="K8" s="1821"/>
      <c r="L8" s="1821"/>
      <c r="M8" s="1821"/>
      <c r="N8" s="1821"/>
      <c r="O8" s="1821"/>
      <c r="P8" s="1821"/>
      <c r="Q8" s="1821"/>
      <c r="R8" s="1821"/>
      <c r="S8" s="1821"/>
      <c r="T8" s="1821"/>
      <c r="U8" s="1821"/>
      <c r="V8" s="2184"/>
      <c r="W8" s="1821"/>
      <c r="X8" s="1821"/>
      <c r="Y8" s="1821"/>
      <c r="Z8" s="1821"/>
      <c r="AA8" s="2184"/>
      <c r="AB8" s="2185"/>
      <c r="AC8" s="984" t="s">
        <v>1885</v>
      </c>
      <c r="AD8" s="2186"/>
      <c r="AE8" s="2178"/>
      <c r="AF8" s="1821"/>
      <c r="AG8" s="1821"/>
      <c r="AH8" s="1821"/>
      <c r="AI8" s="1821"/>
      <c r="AJ8" s="1821"/>
      <c r="AK8" s="1821"/>
      <c r="AL8" s="1821"/>
      <c r="AM8" s="1821"/>
      <c r="AN8" s="1821"/>
      <c r="AO8" s="1821"/>
      <c r="AP8" s="1821"/>
      <c r="AQ8" s="1821"/>
      <c r="AR8" s="1821"/>
      <c r="AS8" s="1821"/>
      <c r="AT8" s="1295" t="s">
        <v>1886</v>
      </c>
      <c r="AU8" s="2180" t="s">
        <v>1887</v>
      </c>
      <c r="AV8" s="1295"/>
      <c r="AW8" s="2163"/>
      <c r="AX8" s="1295"/>
      <c r="AY8" s="2164"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3.2">
      <c r="A9" s="2180"/>
      <c r="B9" s="2180"/>
      <c r="C9" s="2180"/>
      <c r="D9" s="2180"/>
      <c r="E9" s="2180"/>
      <c r="F9" s="2180"/>
      <c r="G9" s="1295"/>
      <c r="H9" s="2188" t="s">
        <v>1890</v>
      </c>
      <c r="I9" s="2189" t="s">
        <v>3067</v>
      </c>
      <c r="J9" s="984"/>
      <c r="K9" s="2189" t="s">
        <v>3067</v>
      </c>
      <c r="L9" s="984"/>
      <c r="M9" s="2189" t="s">
        <v>3067</v>
      </c>
      <c r="N9" s="984"/>
      <c r="O9" s="2189"/>
      <c r="P9" s="984"/>
      <c r="Q9" s="2189"/>
      <c r="R9" s="984"/>
      <c r="S9" s="2189"/>
      <c r="T9" s="984"/>
      <c r="U9" s="2189"/>
      <c r="V9" s="984"/>
      <c r="W9" s="2189"/>
      <c r="X9" s="2190"/>
      <c r="Y9" s="2189"/>
      <c r="Z9" s="984"/>
      <c r="AA9" s="2189"/>
      <c r="AB9" s="984"/>
      <c r="AC9" s="2181"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1"/>
      <c r="AT9" s="2180"/>
      <c r="AU9" s="2180" t="s">
        <v>1893</v>
      </c>
      <c r="AV9" s="1295"/>
      <c r="AW9" s="2163"/>
      <c r="AX9" s="1295"/>
      <c r="AY9" s="28"/>
      <c r="AZ9" s="28" t="s">
        <v>1883</v>
      </c>
      <c r="BA9" s="2192" t="s">
        <v>1894</v>
      </c>
      <c r="BB9" s="2193"/>
      <c r="BC9" s="1341"/>
      <c r="BD9" s="1341"/>
      <c r="BE9" s="1341"/>
      <c r="BF9" s="1341"/>
      <c r="BG9" s="1341"/>
      <c r="BH9" s="1341"/>
      <c r="BI9" s="1341"/>
      <c r="BJ9" s="1341"/>
      <c r="BK9" s="2194"/>
      <c r="BL9" s="15" t="s">
        <v>1895</v>
      </c>
      <c r="BM9" s="1821"/>
      <c r="BN9" s="2183"/>
      <c r="BO9" s="1821"/>
      <c r="BP9" s="1821"/>
      <c r="BQ9" s="1821"/>
      <c r="BR9" s="1821"/>
      <c r="BS9" s="1821"/>
      <c r="BT9" s="26"/>
    </row>
    <row r="10" spans="1:72" s="2187" customFormat="1" ht="13.2">
      <c r="A10" s="2180"/>
      <c r="B10" s="2180"/>
      <c r="C10" s="2180"/>
      <c r="D10" s="2180"/>
      <c r="E10" s="2180"/>
      <c r="F10" s="2180"/>
      <c r="G10" s="1295"/>
      <c r="H10" s="28"/>
      <c r="I10" s="2189" t="s">
        <v>27</v>
      </c>
      <c r="J10" s="984"/>
      <c r="K10" s="2195" t="s">
        <v>27</v>
      </c>
      <c r="L10" s="984"/>
      <c r="M10" s="2195" t="s">
        <v>27</v>
      </c>
      <c r="N10" s="984"/>
      <c r="O10" s="2195"/>
      <c r="P10" s="984"/>
      <c r="Q10" s="2195"/>
      <c r="R10" s="984"/>
      <c r="S10" s="2195"/>
      <c r="T10" s="984"/>
      <c r="U10" s="2195"/>
      <c r="V10" s="984"/>
      <c r="W10" s="2195"/>
      <c r="X10" s="984"/>
      <c r="Y10" s="2195"/>
      <c r="Z10" s="984"/>
      <c r="AA10" s="2195"/>
      <c r="AB10" s="984"/>
      <c r="AC10" s="1295"/>
      <c r="AD10" s="15" t="s">
        <v>1896</v>
      </c>
      <c r="AE10" s="2196"/>
      <c r="AF10" s="15" t="s">
        <v>1896</v>
      </c>
      <c r="AG10" s="2196"/>
      <c r="AH10" s="15" t="s">
        <v>1897</v>
      </c>
      <c r="AI10" s="2196"/>
      <c r="AJ10" s="15" t="s">
        <v>1897</v>
      </c>
      <c r="AK10" s="2196"/>
      <c r="AL10" s="15" t="s">
        <v>1898</v>
      </c>
      <c r="AM10" s="1301"/>
      <c r="AN10" s="15" t="s">
        <v>1898</v>
      </c>
      <c r="AO10" s="1301"/>
      <c r="AP10" s="15" t="s">
        <v>1899</v>
      </c>
      <c r="AQ10" s="1301"/>
      <c r="AR10" s="15" t="s">
        <v>1899</v>
      </c>
      <c r="AS10" s="1301"/>
      <c r="AT10" s="2180"/>
      <c r="AU10" s="2180"/>
      <c r="AV10" s="1295"/>
      <c r="AW10" s="2163"/>
      <c r="AX10" s="1295"/>
      <c r="AY10" s="28"/>
      <c r="AZ10" s="28"/>
      <c r="BA10" s="2197" t="s">
        <v>1890</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3.2">
      <c r="A11" s="2180"/>
      <c r="B11" s="2180"/>
      <c r="C11" s="2180"/>
      <c r="D11" s="2180"/>
      <c r="E11" s="2180"/>
      <c r="F11" s="2180"/>
      <c r="G11" s="1295"/>
      <c r="H11" s="2197"/>
      <c r="I11" s="2200" t="s">
        <v>3068</v>
      </c>
      <c r="J11" s="2201"/>
      <c r="K11" s="2200" t="s">
        <v>3069</v>
      </c>
      <c r="L11" s="2201"/>
      <c r="M11" s="2200" t="s">
        <v>3070</v>
      </c>
      <c r="N11" s="2201"/>
      <c r="O11" s="2200"/>
      <c r="P11" s="2201"/>
      <c r="Q11" s="2200"/>
      <c r="R11" s="2201"/>
      <c r="S11" s="2200"/>
      <c r="T11" s="2201"/>
      <c r="U11" s="2200"/>
      <c r="V11" s="2201"/>
      <c r="W11" s="2200"/>
      <c r="X11" s="2201"/>
      <c r="Y11" s="2200"/>
      <c r="Z11" s="2201"/>
      <c r="AA11" s="2200"/>
      <c r="AB11" s="2201"/>
      <c r="AC11" s="1295"/>
      <c r="AD11" s="2202" t="s">
        <v>1900</v>
      </c>
      <c r="AE11" s="1822"/>
      <c r="AF11" s="2202" t="s">
        <v>1900</v>
      </c>
      <c r="AG11" s="1822"/>
      <c r="AH11" s="2202" t="s">
        <v>1901</v>
      </c>
      <c r="AI11" s="2203"/>
      <c r="AJ11" s="2202" t="s">
        <v>1901</v>
      </c>
      <c r="AK11" s="1822"/>
      <c r="AL11" s="1820"/>
      <c r="AM11" s="1822"/>
      <c r="AN11" s="1820"/>
      <c r="AO11" s="1822"/>
      <c r="AP11" s="1820"/>
      <c r="AQ11" s="1822"/>
      <c r="AR11" s="1820"/>
      <c r="AS11" s="1822"/>
      <c r="AT11" s="2163"/>
      <c r="AU11" s="2180"/>
      <c r="AV11" s="1295"/>
      <c r="AW11" s="2163"/>
      <c r="AX11" s="1295"/>
      <c r="AY11" s="28"/>
      <c r="AZ11" s="28"/>
      <c r="BA11" s="28"/>
      <c r="BB11" s="2185" t="str">
        <f>I10</f>
        <v>办公</v>
      </c>
      <c r="BC11" s="2185" t="str">
        <f>K10</f>
        <v>办公</v>
      </c>
      <c r="BD11" s="2185" t="str">
        <f>M10</f>
        <v>办公</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7"/>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5" t="s">
        <v>1903</v>
      </c>
      <c r="AT12" s="2208"/>
      <c r="AU12" s="2205"/>
      <c r="AV12" s="31"/>
      <c r="AW12" s="2164"/>
      <c r="AX12" s="31"/>
      <c r="AY12" s="2209"/>
      <c r="AZ12" s="28"/>
      <c r="BA12" s="2197"/>
      <c r="BB12" s="24" t="str">
        <f>I11</f>
        <v>宿舍</v>
      </c>
      <c r="BC12" s="2210" t="str">
        <f>K11</f>
        <v>食堂</v>
      </c>
      <c r="BD12" s="2210" t="str">
        <f>M11</f>
        <v>办公楼</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3.2">
      <c r="A13" s="1275"/>
      <c r="B13" s="1275"/>
      <c r="C13" s="1275" t="s">
        <v>3061</v>
      </c>
      <c r="D13" s="2211" t="s">
        <v>3066</v>
      </c>
      <c r="E13" s="16">
        <f>IF($C$3="是",ROUND($A$3*G13/$B$3,2),ROUND($A$3*(G13-AT13)/$B$3,2))</f>
        <v>11088.62</v>
      </c>
      <c r="F13" s="32"/>
      <c r="G13" s="33">
        <f>H13+AC13+AT13</f>
        <v>9357.0499999999993</v>
      </c>
      <c r="H13" s="20">
        <f>SUMIF(I$12:AB$12,"总值",I13:AB13)</f>
        <v>9357.0499999999993</v>
      </c>
      <c r="I13" s="2212">
        <v>9357.0499999999993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9">
        <f>ROUND($AY$6*AZ13/$AZ$5,2)</f>
        <v>11088.62</v>
      </c>
      <c r="AZ13" s="16">
        <f>BA13+BL13</f>
        <v>9357.0499999999993</v>
      </c>
      <c r="BA13" s="16">
        <f>SUM(BB13:BK13)</f>
        <v>9357.0499999999993</v>
      </c>
      <c r="BB13" s="16">
        <f>IF($D13="是",I13-J13,0)</f>
        <v>9357.0499999999993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5"/>
      <c r="B14" s="1275"/>
      <c r="C14" s="2151" t="s">
        <v>3062</v>
      </c>
      <c r="D14" s="2211" t="s">
        <v>3066</v>
      </c>
      <c r="E14" s="16">
        <f>IF($C$3="是",ROUND($A$3*G14/$B$3,2),ROUND($A$3*(G14-AT14)/$B$3,2))</f>
        <v>20082.14</v>
      </c>
      <c r="F14" s="32"/>
      <c r="G14" s="33">
        <f>H14+AC14+AT14</f>
        <v>16946.169999999998</v>
      </c>
      <c r="H14" s="20">
        <f>SUMIF(I$12:AB$12,"总值",I14:AB14)</f>
        <v>16946.169999999998</v>
      </c>
      <c r="I14" s="2212"/>
      <c r="J14" s="2212"/>
      <c r="K14" s="2212"/>
      <c r="L14" s="2212"/>
      <c r="M14" s="2212">
        <v>16946.169999999998</v>
      </c>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4幢</v>
      </c>
      <c r="AY14" s="1809">
        <f>ROUND($AY$6*AZ14/$AZ$5,2)</f>
        <v>20082.14</v>
      </c>
      <c r="AZ14" s="16">
        <f>BA14+BL14</f>
        <v>16946.169999999998</v>
      </c>
      <c r="BA14" s="16">
        <f>SUM(BB14:BK14)</f>
        <v>16946.169999999998</v>
      </c>
      <c r="BB14" s="16">
        <f>IF($D14="是",I14-J14,0)</f>
        <v>0</v>
      </c>
      <c r="BC14" s="16">
        <f>IF($D14="是",K14-L14,0)</f>
        <v>0</v>
      </c>
      <c r="BD14" s="16">
        <f>IF($D14="是",M14-N14,0)</f>
        <v>16946.169999999998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5"/>
      <c r="B15" s="1275"/>
      <c r="C15" s="2151" t="s">
        <v>3063</v>
      </c>
      <c r="D15" s="2211" t="s">
        <v>3066</v>
      </c>
      <c r="E15" s="16">
        <f>IF($C$3="是",ROUND($A$3*G15/$B$3,2),ROUND($A$3*(G15-AT15)/$B$3,2))</f>
        <v>10127.15</v>
      </c>
      <c r="F15" s="32"/>
      <c r="G15" s="33">
        <f>H15+AC15+AT15</f>
        <v>8545.7199999999993</v>
      </c>
      <c r="H15" s="20">
        <f>SUMIF(I$12:AB$12,"总值",I15:AB15)</f>
        <v>8545.7199999999993</v>
      </c>
      <c r="I15" s="2212"/>
      <c r="J15" s="2212"/>
      <c r="K15" s="2212">
        <v>8545.7199999999993</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5幢</v>
      </c>
      <c r="AY15" s="1809">
        <f>ROUND($AY$6*AZ15/$AZ$5,2)</f>
        <v>10127.15</v>
      </c>
      <c r="AZ15" s="16">
        <f>BA15+BL15</f>
        <v>8545.7199999999993</v>
      </c>
      <c r="BA15" s="16">
        <f>SUM(BB15:BK15)</f>
        <v>8545.7199999999993</v>
      </c>
      <c r="BB15" s="16">
        <f>IF($D15="是",I15-J15,0)</f>
        <v>0</v>
      </c>
      <c r="BC15" s="16">
        <f>IF($D15="是",K15-L15,0)</f>
        <v>8545.7199999999993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5"/>
      <c r="B16" s="1275"/>
      <c r="C16" s="2151" t="s">
        <v>3064</v>
      </c>
      <c r="D16" s="2211" t="s">
        <v>3066</v>
      </c>
      <c r="E16" s="16">
        <f>IF($C$3="是",ROUND($A$3*G16/$B$3,2),ROUND($A$3*(G16-AT16)/$B$3,2))</f>
        <v>11905.15</v>
      </c>
      <c r="F16" s="32"/>
      <c r="G16" s="33">
        <f>H16+AC16+AT16</f>
        <v>10046.07</v>
      </c>
      <c r="H16" s="20">
        <f>SUMIF(I$12:AB$12,"总值",I16:AB16)</f>
        <v>10046.07</v>
      </c>
      <c r="I16" s="2212">
        <v>10046.07</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6幢</v>
      </c>
      <c r="AY16" s="1809">
        <f>ROUND($AY$6*AZ16/$AZ$5,2)</f>
        <v>11905.15</v>
      </c>
      <c r="AZ16" s="16">
        <f>BA16+BL16</f>
        <v>10046.07</v>
      </c>
      <c r="BA16" s="16">
        <f>SUM(BB16:BK16)</f>
        <v>10046.07</v>
      </c>
      <c r="BB16" s="16">
        <f>IF($D16="是",I16-J16,0)</f>
        <v>10046.07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5"/>
      <c r="B17" s="1275"/>
      <c r="C17" s="2151" t="s">
        <v>3065</v>
      </c>
      <c r="D17" s="2211" t="s">
        <v>3066</v>
      </c>
      <c r="E17" s="16">
        <f>IF($C$3="是",ROUND($A$3*G17/$B$3,2),ROUND($A$3*(G17-AT17)/$B$3,2))</f>
        <v>9796.94</v>
      </c>
      <c r="F17" s="32"/>
      <c r="G17" s="33">
        <f>H17+AC17+AT17</f>
        <v>8267.08</v>
      </c>
      <c r="H17" s="20">
        <f>SUMIF(I$12:AB$12,"总值",I17:AB17)</f>
        <v>8267.08</v>
      </c>
      <c r="I17" s="2212">
        <v>8267.08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8幢</v>
      </c>
      <c r="AY17" s="1809">
        <f>ROUND($AY$6*AZ17/$AZ$5,2)</f>
        <v>9796.94</v>
      </c>
      <c r="AZ17" s="16">
        <f>BA17+BL17</f>
        <v>8267.08</v>
      </c>
      <c r="BA17" s="16">
        <f>SUM(BB17:BK17)</f>
        <v>8267.08</v>
      </c>
      <c r="BB17" s="16">
        <f>IF($D17="是",I17-J17,0)</f>
        <v>8267.08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46.8">
      <c r="A3" s="3045"/>
      <c r="B3" s="3045"/>
      <c r="C3" s="3045"/>
      <c r="D3" s="3046"/>
      <c r="E3" s="304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1929</v>
      </c>
      <c r="B1" s="1395"/>
      <c r="C1" s="1395"/>
      <c r="D1" s="1395"/>
      <c r="E1" s="1395"/>
      <c r="F1" s="1395"/>
      <c r="G1" s="1395"/>
      <c r="H1" s="1395"/>
      <c r="I1" s="1395"/>
      <c r="J1" s="1395"/>
      <c r="K1" s="1395"/>
      <c r="L1" s="1395"/>
      <c r="M1" s="1395"/>
      <c r="N1" s="1395"/>
      <c r="O1" s="1395"/>
      <c r="P1" s="1395"/>
    </row>
    <row r="2" spans="1:16" ht="14.4">
      <c r="A2" s="3056" t="s">
        <v>1930</v>
      </c>
      <c r="B2" s="3056"/>
      <c r="C2" s="3056"/>
      <c r="D2" s="970" t="s">
        <v>1906</v>
      </c>
      <c r="E2" s="2225" t="s">
        <v>1907</v>
      </c>
      <c r="F2" s="1395"/>
      <c r="G2" s="2226"/>
      <c r="H2" s="2227"/>
      <c r="I2" s="2228" t="s">
        <v>1931</v>
      </c>
      <c r="J2" s="1395"/>
      <c r="K2" s="1395"/>
      <c r="L2" s="1395"/>
      <c r="M2" s="1395"/>
      <c r="N2" s="1430"/>
      <c r="O2" s="1395"/>
      <c r="P2" s="1395"/>
    </row>
    <row r="3" spans="1:16" ht="15" thickBot="1">
      <c r="A3" s="3057" t="s">
        <v>1904</v>
      </c>
      <c r="B3" s="3057"/>
      <c r="C3" s="3057"/>
      <c r="D3" s="46">
        <f>'数据-基础表'!AY6</f>
        <v>63000</v>
      </c>
      <c r="E3" s="46">
        <f>'数据-基础表'!AZ5</f>
        <v>53162.09</v>
      </c>
      <c r="F3" s="1395"/>
      <c r="G3" s="1402"/>
      <c r="H3" s="1250" t="s">
        <v>1905</v>
      </c>
      <c r="I3" s="55">
        <f>ROUND('数据-基础表'!B3/'数据-基础表'!A3,2)</f>
        <v>0.84</v>
      </c>
      <c r="J3" s="1395"/>
      <c r="K3" s="1395"/>
      <c r="L3" s="1395"/>
      <c r="M3" s="1395"/>
      <c r="N3" s="1430"/>
      <c r="O3" s="1395"/>
      <c r="P3" s="1395"/>
    </row>
    <row r="4" spans="1:16" ht="14.4">
      <c r="A4" s="3058"/>
      <c r="B4" s="3059"/>
      <c r="C4" s="3060"/>
      <c r="D4" s="2229" t="s">
        <v>1906</v>
      </c>
      <c r="E4" s="2230" t="s">
        <v>1907</v>
      </c>
      <c r="F4" s="1395"/>
      <c r="G4" s="2231" t="s">
        <v>1932</v>
      </c>
      <c r="H4" s="1250" t="s">
        <v>1912</v>
      </c>
      <c r="I4" s="55">
        <f>ROUND(SUMIF('数据-基础表'!I9:AS9,"地上",'数据-基础表'!I5:AS5)/'数据-基础表'!A3,2)</f>
        <v>0.84</v>
      </c>
      <c r="J4" s="1395"/>
      <c r="K4" s="1395"/>
      <c r="L4" s="1395"/>
      <c r="M4" s="1395"/>
      <c r="N4" s="1430"/>
      <c r="O4" s="1395"/>
      <c r="P4" s="1395"/>
    </row>
    <row r="5" spans="1:16" ht="14.4">
      <c r="A5" s="47" t="s">
        <v>1908</v>
      </c>
      <c r="B5" s="3061" t="s">
        <v>1909</v>
      </c>
      <c r="C5" s="3061"/>
      <c r="D5" s="48">
        <f>ROUND($D$3*E5/$E$3,2)</f>
        <v>0</v>
      </c>
      <c r="E5" s="49">
        <f>SUMIF('数据-基础表'!$11:$11,"住宅",'数据-基础表'!$5:$5)</f>
        <v>0</v>
      </c>
      <c r="F5" s="1395"/>
      <c r="G5" s="1402"/>
      <c r="H5" s="1250" t="s">
        <v>1905</v>
      </c>
      <c r="I5" s="55">
        <f>ROUND(E31/D31,2)</f>
        <v>0.84</v>
      </c>
      <c r="J5" s="1395"/>
      <c r="K5" s="1395"/>
      <c r="L5" s="1395"/>
      <c r="M5" s="1395"/>
      <c r="N5" s="1395"/>
      <c r="O5" s="1395"/>
      <c r="P5" s="1395"/>
    </row>
    <row r="6" spans="1:16" ht="15" thickBot="1">
      <c r="A6" s="2232"/>
      <c r="B6" s="3061" t="s">
        <v>1910</v>
      </c>
      <c r="C6" s="3061"/>
      <c r="D6" s="48">
        <f>ROUND($D$3*E6/$E$3,2)</f>
        <v>63000</v>
      </c>
      <c r="E6" s="49">
        <f>E3-E5</f>
        <v>53162.09</v>
      </c>
      <c r="F6" s="1395"/>
      <c r="G6" s="2233" t="s">
        <v>1911</v>
      </c>
      <c r="H6" s="1402" t="s">
        <v>1912</v>
      </c>
      <c r="I6" s="942">
        <f>ROUND(F31/D31,2)</f>
        <v>0.84</v>
      </c>
      <c r="J6" s="1395"/>
      <c r="K6" s="1395"/>
      <c r="L6" s="1395"/>
      <c r="M6" s="1395"/>
      <c r="N6" s="1395"/>
      <c r="O6" s="1395"/>
      <c r="P6" s="1395"/>
    </row>
    <row r="7" spans="1:16" ht="14.4">
      <c r="A7" s="3053"/>
      <c r="B7" s="3054"/>
      <c r="C7" s="3055"/>
      <c r="D7" s="2229" t="s">
        <v>1906</v>
      </c>
      <c r="E7" s="2234" t="s">
        <v>1913</v>
      </c>
      <c r="F7" s="1395"/>
      <c r="G7" s="2226" t="s">
        <v>1914</v>
      </c>
      <c r="H7" s="64"/>
      <c r="I7" s="420"/>
      <c r="J7" s="1395"/>
      <c r="K7" s="1395"/>
      <c r="L7" s="1395"/>
      <c r="M7" s="1395"/>
      <c r="N7" s="1395"/>
      <c r="O7" s="1395"/>
      <c r="P7" s="1395"/>
    </row>
    <row r="8" spans="1:16" ht="14.4">
      <c r="A8" s="47" t="s">
        <v>1915</v>
      </c>
      <c r="B8" s="50" t="s">
        <v>1916</v>
      </c>
      <c r="C8" s="48" t="s">
        <v>1917</v>
      </c>
      <c r="D8" s="48">
        <f t="shared" ref="D8:D15" si="0">ROUND($D$3*E8/$E$3,2)</f>
        <v>63000</v>
      </c>
      <c r="E8" s="51">
        <f>SUMIF('数据-基础表'!BB10:BK10,"地上",'数据-基础表'!BB5:BK5)</f>
        <v>53162.09</v>
      </c>
      <c r="F8" s="1395"/>
      <c r="G8" s="2235"/>
      <c r="H8" s="2235"/>
      <c r="I8" s="1395"/>
      <c r="J8" s="1395"/>
      <c r="K8" s="1395"/>
      <c r="L8" s="1395"/>
      <c r="M8" s="1395"/>
      <c r="N8" s="1395"/>
      <c r="O8" s="1395"/>
      <c r="P8" s="1395"/>
    </row>
    <row r="9" spans="1:16" ht="14.4">
      <c r="A9" s="2236"/>
      <c r="B9" s="2237"/>
      <c r="C9" s="48" t="s">
        <v>1918</v>
      </c>
      <c r="D9" s="48">
        <f t="shared" si="0"/>
        <v>0</v>
      </c>
      <c r="E9" s="52">
        <v>0</v>
      </c>
      <c r="F9" s="1395"/>
      <c r="G9" s="2235"/>
      <c r="H9" s="2235"/>
      <c r="I9" s="1395"/>
      <c r="J9" s="1395"/>
      <c r="K9" s="1395"/>
      <c r="L9" s="1395"/>
      <c r="M9" s="1395"/>
      <c r="N9" s="1395"/>
      <c r="O9" s="1395"/>
      <c r="P9" s="1395"/>
    </row>
    <row r="10" spans="1:16" ht="14.4">
      <c r="A10" s="2236"/>
      <c r="B10" s="2237"/>
      <c r="C10" s="48" t="s">
        <v>1927</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ht="14.4">
      <c r="A11" s="2236"/>
      <c r="B11" s="2237"/>
      <c r="C11" s="48" t="s">
        <v>1919</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ht="14.4">
      <c r="A12" s="2236"/>
      <c r="B12" s="2237"/>
      <c r="C12" s="48" t="s">
        <v>1920</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ht="14.4">
      <c r="A13" s="2236"/>
      <c r="B13" s="2237"/>
      <c r="C13" s="48" t="s">
        <v>1921</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ht="14.4">
      <c r="A14" s="2236"/>
      <c r="B14" s="2237"/>
      <c r="C14" s="48" t="s">
        <v>1933</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1928</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 thickBot="1">
      <c r="A16" s="2232"/>
      <c r="B16" s="2237"/>
      <c r="C16" s="50" t="s">
        <v>1922</v>
      </c>
      <c r="D16" s="50">
        <f>SUM(D8:D15)</f>
        <v>63000</v>
      </c>
      <c r="E16" s="53">
        <f>SUM(E8:E15)</f>
        <v>53162.09</v>
      </c>
      <c r="F16" s="1395"/>
      <c r="G16" s="2235"/>
      <c r="H16" s="2238" t="s">
        <v>1934</v>
      </c>
      <c r="I16" s="2239"/>
      <c r="J16" s="1395"/>
      <c r="K16" s="3050" t="s">
        <v>1934</v>
      </c>
      <c r="L16" s="3051"/>
      <c r="M16" s="3051"/>
      <c r="N16" s="3051"/>
      <c r="O16" s="3051"/>
      <c r="P16" s="3052"/>
    </row>
    <row r="17" spans="1:19" ht="14.4">
      <c r="A17" s="2240" t="s">
        <v>1935</v>
      </c>
      <c r="B17" s="2241" t="s">
        <v>1936</v>
      </c>
      <c r="C17" s="2242" t="s">
        <v>1937</v>
      </c>
      <c r="D17" s="2243" t="s">
        <v>1925</v>
      </c>
      <c r="E17" s="2244" t="s">
        <v>1926</v>
      </c>
      <c r="F17" s="2245"/>
      <c r="G17" s="2246"/>
      <c r="H17" s="2247" t="s">
        <v>1938</v>
      </c>
      <c r="I17" s="2248" t="s">
        <v>1923</v>
      </c>
      <c r="J17" s="1395"/>
      <c r="K17" s="3047" t="s">
        <v>1939</v>
      </c>
      <c r="L17" s="3048"/>
      <c r="M17" s="3049"/>
      <c r="N17" s="3047" t="s">
        <v>1940</v>
      </c>
      <c r="O17" s="3048"/>
      <c r="P17" s="3049"/>
      <c r="R17" s="2226" t="s">
        <v>1941</v>
      </c>
      <c r="S17" s="64"/>
    </row>
    <row r="18" spans="1:19" ht="14.4">
      <c r="A18" s="2236"/>
      <c r="B18" s="2249"/>
      <c r="C18" s="2250"/>
      <c r="D18" s="2251"/>
      <c r="E18" s="2252" t="s">
        <v>1942</v>
      </c>
      <c r="F18" s="2253" t="s">
        <v>1943</v>
      </c>
      <c r="G18" s="2254" t="s">
        <v>1944</v>
      </c>
      <c r="H18" s="1265" t="s">
        <v>1945</v>
      </c>
      <c r="I18" s="2255" t="s">
        <v>1946</v>
      </c>
      <c r="J18" s="1395"/>
      <c r="K18" s="1265" t="s">
        <v>1947</v>
      </c>
      <c r="L18" s="2256" t="s">
        <v>1948</v>
      </c>
      <c r="M18" s="1049" t="s">
        <v>1949</v>
      </c>
      <c r="N18" s="1265" t="s">
        <v>1947</v>
      </c>
      <c r="O18" s="2256" t="s">
        <v>1948</v>
      </c>
      <c r="P18" s="1049" t="s">
        <v>1949</v>
      </c>
      <c r="R18" s="1250" t="s">
        <v>1950</v>
      </c>
      <c r="S18" s="1250" t="s">
        <v>1951</v>
      </c>
    </row>
    <row r="19" spans="1:19" ht="14.4">
      <c r="A19" s="2257"/>
      <c r="B19" s="50" t="s">
        <v>1924</v>
      </c>
      <c r="C19" s="2943" t="s">
        <v>3072</v>
      </c>
      <c r="D19" s="48">
        <f>ROUND($D$3*E19/$E$3,2)</f>
        <v>63000</v>
      </c>
      <c r="E19" s="56">
        <f t="shared" ref="E19:E26" si="1">SUM(F19:G19)</f>
        <v>53162.09</v>
      </c>
      <c r="F19" s="57">
        <f>'数据-基础表'!B3</f>
        <v>53162.09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63000</v>
      </c>
      <c r="S19" s="1251">
        <f t="shared" si="5"/>
        <v>53162.09</v>
      </c>
    </row>
    <row r="20" spans="1:19" ht="14.4">
      <c r="A20" s="2261"/>
      <c r="B20" s="50" t="s">
        <v>1952</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ht="14.4">
      <c r="A21" s="2261"/>
      <c r="B21" s="50" t="s">
        <v>1952</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ht="14.4">
      <c r="A22" s="2261"/>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ht="14.4">
      <c r="A23" s="2261"/>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ht="14.4">
      <c r="A24" s="2261"/>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ht="14.4">
      <c r="A25" s="2261"/>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ht="14.4">
      <c r="A26" s="2261"/>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 thickBot="1">
      <c r="A27" s="2261"/>
      <c r="B27" s="48"/>
      <c r="C27" s="2264" t="s">
        <v>1953</v>
      </c>
      <c r="D27" s="1396">
        <f>SUM(D19:D26)</f>
        <v>63000</v>
      </c>
      <c r="E27" s="1397">
        <f>IF(SUM(E19:E26)='数据-基础表'!BA5,SUM(E19:E26),IF(F27="地上面积有误","面积有误","地下面积有误"))</f>
        <v>53162.09</v>
      </c>
      <c r="F27" s="1396">
        <f>IF(SUM(F19:F26)=E8,SUM(F19:F26),"地上面积有误")</f>
        <v>53162.09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63000</v>
      </c>
      <c r="S27" s="1250">
        <f>IF(SUM(S19:S26)=$E$3,SUM(S19:S26),SUM(S19:S26)&amp;"误差"&amp;ROUND(SUM(S19:S26)-E3,2))</f>
        <v>53162.09</v>
      </c>
    </row>
    <row r="28" spans="1:19" ht="14.4">
      <c r="A28" s="2261"/>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1"/>
      <c r="B29" s="50" t="s">
        <v>1954</v>
      </c>
      <c r="C29" s="2265"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1"/>
      <c r="B30" s="50"/>
      <c r="C30" s="2266" t="s">
        <v>1953</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67"/>
      <c r="B31" s="2268"/>
      <c r="C31" s="1010" t="s">
        <v>1957</v>
      </c>
      <c r="D31" s="729">
        <f>D27+D30</f>
        <v>63000</v>
      </c>
      <c r="E31" s="729">
        <f>E27+E30</f>
        <v>53162.09</v>
      </c>
      <c r="F31" s="730">
        <f>F27+F30</f>
        <v>53162.09</v>
      </c>
      <c r="G31" s="731">
        <f>G27+G30</f>
        <v>0</v>
      </c>
      <c r="H31" s="1395"/>
      <c r="I31" s="1395"/>
      <c r="J31" s="1395"/>
      <c r="K31" s="1395"/>
      <c r="L31" s="1395"/>
      <c r="M31" s="1395"/>
      <c r="N31" s="1395"/>
      <c r="O31" s="1395"/>
      <c r="P31" s="1395"/>
    </row>
    <row r="32" spans="1:19" ht="14.4">
      <c r="A32" s="2231"/>
      <c r="B32" s="2231" t="s">
        <v>1958</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T27" sqref="T2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9" width="6.77734375" style="2273" customWidth="1"/>
    <col min="30" max="30" width="8.109375" style="2273" customWidth="1"/>
    <col min="31" max="31" width="8" style="2273" customWidth="1"/>
    <col min="32" max="33" width="7.21875" style="2273" customWidth="1"/>
    <col min="34" max="34" width="8.664062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1959</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4" t="s">
        <v>1960</v>
      </c>
      <c r="B2" s="1269">
        <f>项目基本情况!D3</f>
        <v>43544</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4.4"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1961</v>
      </c>
      <c r="B4" s="2279"/>
      <c r="C4" s="2280"/>
      <c r="D4" s="2281"/>
      <c r="E4" s="2280" t="s">
        <v>1962</v>
      </c>
      <c r="F4" s="2280"/>
      <c r="G4" s="2280"/>
      <c r="H4" s="2280"/>
      <c r="I4" s="2280"/>
      <c r="J4" s="2282"/>
      <c r="K4" s="2283"/>
      <c r="L4" s="2284"/>
      <c r="M4" s="2280"/>
      <c r="N4" s="2280" t="s">
        <v>1963</v>
      </c>
      <c r="O4" s="2280"/>
      <c r="P4" s="2280"/>
      <c r="Q4" s="2280"/>
      <c r="R4" s="2280"/>
      <c r="S4" s="2282"/>
      <c r="T4" s="2285" t="str">
        <f>'数据-汇总表'!I17</f>
        <v>按面积比例</v>
      </c>
      <c r="U4" s="2279" t="s">
        <v>1964</v>
      </c>
      <c r="V4" s="2280"/>
      <c r="W4" s="2280"/>
      <c r="X4" s="2280"/>
      <c r="Y4" s="2282"/>
      <c r="Z4" s="2242" t="s">
        <v>1965</v>
      </c>
      <c r="AA4" s="2242"/>
      <c r="AB4" s="2242"/>
      <c r="AC4" s="2242"/>
      <c r="AD4" s="2242"/>
      <c r="AE4" s="2240" t="s">
        <v>1966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3.2">
      <c r="A5" s="2287" t="s">
        <v>1967</v>
      </c>
      <c r="B5" s="2288" t="s">
        <v>1968</v>
      </c>
      <c r="C5" s="2289" t="s">
        <v>1969</v>
      </c>
      <c r="D5" s="2290" t="s">
        <v>1970</v>
      </c>
      <c r="E5" s="1271" t="s">
        <v>1971</v>
      </c>
      <c r="F5" s="2291" t="s">
        <v>1972</v>
      </c>
      <c r="G5" s="1271" t="s">
        <v>1973</v>
      </c>
      <c r="H5" s="1271" t="s">
        <v>1974</v>
      </c>
      <c r="I5" s="1271" t="s">
        <v>1975</v>
      </c>
      <c r="J5" s="2292" t="s">
        <v>1976</v>
      </c>
      <c r="K5" s="2293" t="s">
        <v>1977</v>
      </c>
      <c r="L5" s="2294" t="s">
        <v>1978</v>
      </c>
      <c r="M5" s="2295" t="s">
        <v>1979</v>
      </c>
      <c r="N5" s="2296" t="s">
        <v>3073</v>
      </c>
      <c r="O5" s="2294" t="s">
        <v>1980</v>
      </c>
      <c r="P5" s="2297" t="s">
        <v>1981</v>
      </c>
      <c r="Q5" s="69" t="s">
        <v>1982</v>
      </c>
      <c r="R5" s="2298" t="s">
        <v>1983</v>
      </c>
      <c r="S5" s="2299" t="s">
        <v>1984</v>
      </c>
      <c r="T5" s="2300" t="s">
        <v>1985</v>
      </c>
      <c r="U5" s="1270" t="s">
        <v>1986</v>
      </c>
      <c r="V5" s="1271" t="s">
        <v>1987</v>
      </c>
      <c r="W5" s="1271" t="s">
        <v>1988</v>
      </c>
      <c r="X5" s="71"/>
      <c r="Y5" s="70" t="s">
        <v>1989</v>
      </c>
      <c r="Z5" s="2301" t="s">
        <v>1986</v>
      </c>
      <c r="AA5" s="1271" t="s">
        <v>1987</v>
      </c>
      <c r="AB5" s="1271" t="s">
        <v>1988</v>
      </c>
      <c r="AC5" s="71"/>
      <c r="AD5" s="71" t="s">
        <v>1989</v>
      </c>
      <c r="AE5" s="1270" t="s">
        <v>1990</v>
      </c>
      <c r="AF5" s="1271" t="s">
        <v>1991</v>
      </c>
      <c r="AG5" s="70" t="s">
        <v>1992</v>
      </c>
      <c r="AH5" s="1270" t="s">
        <v>1993</v>
      </c>
      <c r="AI5" s="2301" t="s">
        <v>1994</v>
      </c>
      <c r="AJ5" s="2301" t="s">
        <v>1995</v>
      </c>
      <c r="AK5" s="1271" t="s">
        <v>1996</v>
      </c>
      <c r="AL5" s="1271" t="s">
        <v>1997</v>
      </c>
      <c r="AM5" s="70" t="s">
        <v>1998</v>
      </c>
      <c r="AN5" s="2302" t="s">
        <v>1999</v>
      </c>
      <c r="AO5" s="2073" t="s">
        <v>2000</v>
      </c>
      <c r="AP5" s="1252" t="s">
        <v>2001</v>
      </c>
      <c r="AQ5" s="2303" t="s">
        <v>2002</v>
      </c>
      <c r="AR5" s="2303" t="s">
        <v>2003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3.8">
      <c r="A6" s="2304" t="str">
        <f>'数据-汇总表'!C19</f>
        <v>整体</v>
      </c>
      <c r="B6" s="2305" t="str">
        <f>IF(A6=0,"","经营性")</f>
        <v>经营性</v>
      </c>
      <c r="C6" s="2306" t="s">
        <v>27</v>
      </c>
      <c r="D6" s="1054">
        <f>SUMIF(项目基本情况!D$12:I$12,C6,项目基本情况!D$14:I$14)</f>
        <v>50</v>
      </c>
      <c r="E6" s="1051">
        <f>IF(B6="","",SUMIF(项目基本情况!D$12:I$12,C6,项目基本情况!D$13:I$13))</f>
        <v>56939</v>
      </c>
      <c r="F6" s="72">
        <f>SUMIF(项目基本情况!D$12:I$12,C6,项目基本情况!D$15:I$15)</f>
        <v>36.69</v>
      </c>
      <c r="G6" s="73">
        <f>IF(ISERROR(ROUND(POWER(1+H6,D6-F6)*(POWER(1+H6,F6)-1)/(POWER(1+H6,D6)-1),3)),0,ROUND(POWER(1+H6,D6-F6)*(POWER(1+H6,F6)-1)/(POWER(1+H6,D6)-1),3))</f>
        <v>0.90100000000000002</v>
      </c>
      <c r="H6" s="802">
        <v>4.4999999999999998E-2</v>
      </c>
      <c r="I6" s="802">
        <v>0.05</v>
      </c>
      <c r="J6" s="74">
        <v>8.5000000000000006E-2</v>
      </c>
      <c r="K6" s="1254">
        <f>SUMIF('数据-汇总表'!C$19:C$33,A6,'数据-汇总表'!E$19:E$33)</f>
        <v>53162.09</v>
      </c>
      <c r="L6" s="803">
        <v>3500</v>
      </c>
      <c r="M6" s="75">
        <f t="shared" ref="M6:M14" si="0">ROUND(K6*L6/10000,0)</f>
        <v>18607</v>
      </c>
      <c r="N6" s="801">
        <f>ROUND(L18*0.5+M18*0.5,2)</f>
        <v>0.83</v>
      </c>
      <c r="O6" s="75" t="str">
        <f>IF($N$5="成新度","——",ROUND(M6*N6,0))</f>
        <v>——</v>
      </c>
      <c r="P6" s="76" t="str">
        <f>IF($N$5="成新度","——",M6-O6)</f>
        <v>——</v>
      </c>
      <c r="Q6" s="804">
        <v>0.15</v>
      </c>
      <c r="R6" s="77">
        <f ca="1">SUMIF('数据-汇总表'!C$19:C$33,A6,'数据-汇总表'!R$19:R$27)</f>
        <v>63000</v>
      </c>
      <c r="S6" s="54">
        <f>IF('数据-汇总表'!$I$17="按面积比例",SUMIF('数据-汇总表'!C$19:C$33,A6,'数据-汇总表'!K$19:K$33),SUMIF('数据-汇总表'!C$19:C$33,A6,'数据-汇总表'!N$19:N$33))</f>
        <v>0</v>
      </c>
      <c r="T6" s="1446">
        <f>ROUND($L$14*S6/10000,0)</f>
        <v>0</v>
      </c>
      <c r="U6" s="2969">
        <v>1.3</v>
      </c>
      <c r="V6" s="79">
        <v>0.03</v>
      </c>
      <c r="W6" s="79">
        <v>0.05</v>
      </c>
      <c r="X6" s="1264"/>
      <c r="Y6" s="80">
        <f>N6</f>
        <v>0.83</v>
      </c>
      <c r="Z6" s="2959">
        <f>ROUND(U6*(1+AA6)^AF6,1)</f>
        <v>1.3</v>
      </c>
      <c r="AA6" s="74">
        <v>0.03</v>
      </c>
      <c r="AB6" s="74">
        <v>0.1</v>
      </c>
      <c r="AC6" s="1264"/>
      <c r="AD6" s="82">
        <f>ROUND(((1-(1-0.02)*(2036-2006)/50)+0.9)/2,2)</f>
        <v>0.66</v>
      </c>
      <c r="AE6" s="1265">
        <f ca="1">IF(AN6="",0,SUMIF(INDIRECT("'"&amp;AN6&amp;"'"&amp;"!E:E"),$AE$5,INDIRECT("'"&amp;AN6&amp;"'"&amp;"!F:F")))</f>
        <v>36.69</v>
      </c>
      <c r="AF6" s="1807"/>
      <c r="AG6" s="147">
        <f>IF(AF6="",0,AE6-AF6)</f>
        <v>0</v>
      </c>
      <c r="AH6" s="83"/>
      <c r="AI6" s="85">
        <v>365</v>
      </c>
      <c r="AJ6" s="86"/>
      <c r="AK6" s="87">
        <v>1.4999999999999999E-2</v>
      </c>
      <c r="AL6" s="88">
        <v>1.5E-3</v>
      </c>
      <c r="AM6" s="89">
        <v>0.01</v>
      </c>
      <c r="AN6" s="2307" t="s">
        <v>3074</v>
      </c>
      <c r="AO6" s="55">
        <f ca="1">SUMIF(INDIRECT("'"&amp;AN6&amp;"'"&amp;"!A:A"),"总价",INDIRECT("'"&amp;AN6&amp;"'"&amp;"!B:B"))</f>
        <v>38268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3.8">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3.8">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3.8">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3.8">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3.8">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3.8">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3.8">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4">
      <c r="A14" s="2309" t="s">
        <v>2004</v>
      </c>
      <c r="B14" s="2305" t="s">
        <v>2005</v>
      </c>
      <c r="C14" s="2310"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8.8">
      <c r="A15" s="2309" t="s">
        <v>2006</v>
      </c>
      <c r="B15" s="2305" t="s">
        <v>2005</v>
      </c>
      <c r="C15" s="2310"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 thickBot="1">
      <c r="A16" s="2311" t="s">
        <v>2008</v>
      </c>
      <c r="B16" s="97"/>
      <c r="C16" s="1008"/>
      <c r="D16" s="2312"/>
      <c r="E16" s="97"/>
      <c r="F16" s="97"/>
      <c r="G16" s="98">
        <f>ROUND(SUMPRODUCT(G6:G13,K6:K13)/SUMPRODUCT((G6:G13&gt;0)*(K6:K13)),3)</f>
        <v>0.90100000000000002</v>
      </c>
      <c r="H16" s="99">
        <f>ROUND(SUMPRODUCT(H6:H13,K6:K13)/SUMPRODUCT((H6:H13&gt;0)*(K6:K13)),3)</f>
        <v>4.4999999999999998E-2</v>
      </c>
      <c r="I16" s="100"/>
      <c r="J16" s="100"/>
      <c r="K16" s="101">
        <f>SUM(K6:K15)</f>
        <v>53162.09</v>
      </c>
      <c r="L16" s="102">
        <f>ROUND(M16*10000/SUM(K6:K14),0)</f>
        <v>3500</v>
      </c>
      <c r="M16" s="102">
        <f>SUM(M6:M14)</f>
        <v>18607</v>
      </c>
      <c r="N16" s="103">
        <f>ROUND(SUMPRODUCT(M6:M14,N6:N14)/M16,3)</f>
        <v>0.83</v>
      </c>
      <c r="O16" s="102">
        <f>SUM(O6:O14)</f>
        <v>0</v>
      </c>
      <c r="P16" s="102">
        <f>SUM(P6:P14)</f>
        <v>0</v>
      </c>
      <c r="Q16" s="104">
        <f>ROUND(SUMPRODUCT(Q6:Q13,K6:K13)/SUMPRODUCT((Q6:Q13&gt;0)*(K6:K13)),2)</f>
        <v>0.15</v>
      </c>
      <c r="R16" s="1258">
        <f ca="1">SUM(R6:R13)</f>
        <v>63000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78"/>
      <c r="C18" s="2275"/>
      <c r="D18" s="2276"/>
      <c r="E18" s="2275"/>
      <c r="F18" s="2275"/>
      <c r="G18" s="2275"/>
      <c r="H18" s="2275"/>
      <c r="I18" s="2275"/>
      <c r="J18" s="2275"/>
      <c r="K18" s="168"/>
      <c r="L18" s="168">
        <f>ROUND(1-(1-0.02)*(2019-2006)/50,2)</f>
        <v>0.75</v>
      </c>
      <c r="M18" s="1584">
        <f>0.9</f>
        <v>0.9</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4" t="s">
        <v>2010</v>
      </c>
      <c r="B19" s="112"/>
      <c r="C19" s="2275" t="s">
        <v>2011</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5" t="s">
        <v>2012</v>
      </c>
      <c r="B20" s="113">
        <v>1.5</v>
      </c>
      <c r="C20" s="2275" t="s">
        <v>2013</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6" t="s">
        <v>2014</v>
      </c>
      <c r="B21" s="113">
        <v>1.5</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5" t="s">
        <v>2015</v>
      </c>
      <c r="B22" s="114">
        <f>B19+B20</f>
        <v>1.5</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6" t="s">
        <v>2016</v>
      </c>
      <c r="B23" s="114">
        <f>B19+B21</f>
        <v>1.5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2017</v>
      </c>
      <c r="B24" s="115">
        <f>B20-B21</f>
        <v>0</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2018</v>
      </c>
      <c r="B26" s="2318" t="s">
        <v>2019</v>
      </c>
      <c r="C26" s="2319" t="s">
        <v>2020</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8.8">
      <c r="A27" s="2320" t="s">
        <v>2021</v>
      </c>
      <c r="B27" s="116"/>
      <c r="C27" s="1767" t="s">
        <v>2022</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8.8">
      <c r="A28" s="2323" t="s">
        <v>2023</v>
      </c>
      <c r="B28" s="119">
        <v>200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9.4" thickBot="1">
      <c r="A29" s="2325" t="s">
        <v>2024</v>
      </c>
      <c r="B29" s="121"/>
      <c r="C29" s="1767" t="s">
        <v>2025</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8.8">
      <c r="A30" s="2326" t="s">
        <v>2026</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8.8">
      <c r="A31" s="2323" t="s">
        <v>2027</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9.4" thickBot="1">
      <c r="A32" s="2327" t="s">
        <v>2028</v>
      </c>
      <c r="B32" s="725"/>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4">
      <c r="A33" s="2320" t="s">
        <v>2029</v>
      </c>
      <c r="B33" s="726">
        <v>0.04</v>
      </c>
      <c r="C33" s="1766" t="s">
        <v>2030</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4">
      <c r="A34" s="2323" t="s">
        <v>2031</v>
      </c>
      <c r="B34" s="122">
        <v>0</v>
      </c>
      <c r="C34" s="1766" t="s">
        <v>2032</v>
      </c>
      <c r="D34" s="2276" t="s">
        <v>2033</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4">
      <c r="A35" s="2323" t="s">
        <v>2034</v>
      </c>
      <c r="B35" s="119">
        <v>200</v>
      </c>
      <c r="C35" s="1766" t="s">
        <v>2035</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2036</v>
      </c>
      <c r="B36" s="123">
        <v>1.4999999999999999E-2</v>
      </c>
      <c r="C36" s="1766" t="s">
        <v>2037</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6" t="s">
        <v>2038</v>
      </c>
      <c r="B37" s="124">
        <v>0.02</v>
      </c>
      <c r="C37" s="1766" t="s">
        <v>2039</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3" t="s">
        <v>2040</v>
      </c>
      <c r="B38" s="122">
        <v>0.02</v>
      </c>
      <c r="C38" s="1766" t="s">
        <v>2039</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27" t="s">
        <v>2041</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2042</v>
      </c>
      <c r="B40" s="1303">
        <f ca="1">存贷款利率!G1</f>
        <v>4.7500000000000001E-2</v>
      </c>
      <c r="C40" s="1766" t="s">
        <v>2043</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0" t="s">
        <v>2044</v>
      </c>
      <c r="B41" s="125">
        <f>B42+B43</f>
        <v>5.5000000000000007E-2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28" t="s">
        <v>2045</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28" t="s">
        <v>2046</v>
      </c>
      <c r="B43" s="127">
        <f>B42*(B44+B45+B46)+B47</f>
        <v>5.000000000000001E-3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0" t="s">
        <v>2047</v>
      </c>
      <c r="B44" s="128">
        <v>0.05</v>
      </c>
      <c r="C44" s="1766" t="s">
        <v>2048</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0" t="s">
        <v>2049</v>
      </c>
      <c r="B45" s="126">
        <v>0.03</v>
      </c>
      <c r="C45" s="1767" t="s">
        <v>2050</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0" t="s">
        <v>2051</v>
      </c>
      <c r="B46" s="126">
        <v>0.02</v>
      </c>
      <c r="C46" s="1767" t="s">
        <v>2052</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2053</v>
      </c>
      <c r="B47" s="129"/>
      <c r="C47" s="1767" t="s">
        <v>2054</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2" t="s">
        <v>2055</v>
      </c>
      <c r="B48" s="130">
        <v>0.03</v>
      </c>
      <c r="C48" s="1774" t="s">
        <v>2056</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2057</v>
      </c>
      <c r="B49" s="126">
        <v>5.0000000000000001E-4</v>
      </c>
      <c r="C49" s="1774" t="s">
        <v>2058</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3" t="s">
        <v>2059</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2060</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3" t="s">
        <v>2061</v>
      </c>
      <c r="B52" s="133">
        <f>SUMIF(A54:A63,B53,B54:B63)</f>
        <v>1.5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3" t="s">
        <v>2062</v>
      </c>
      <c r="B53" s="2334" t="s">
        <v>56</v>
      </c>
      <c r="C53" s="1430" t="s">
        <v>2063</v>
      </c>
      <c r="D53" s="2335" t="s">
        <v>2064</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6" t="s">
        <v>2065</v>
      </c>
      <c r="B54" s="84"/>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6" t="s">
        <v>2066</v>
      </c>
      <c r="B55" s="84"/>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6" t="s">
        <v>2067</v>
      </c>
      <c r="B56" s="84"/>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6" t="s">
        <v>2068</v>
      </c>
      <c r="B57" s="84"/>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6" t="s">
        <v>2069</v>
      </c>
      <c r="B58" s="84"/>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6" t="s">
        <v>2070</v>
      </c>
      <c r="B59" s="84">
        <v>1.5</v>
      </c>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6" t="s">
        <v>2071</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6" t="s">
        <v>2072</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6" t="s">
        <v>2073</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2074</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62" t="s">
        <v>2075</v>
      </c>
      <c r="B1" s="3063"/>
      <c r="C1" s="3063"/>
      <c r="D1" s="3063"/>
      <c r="E1" s="3063"/>
      <c r="F1" s="3063"/>
      <c r="G1" s="306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2076</v>
      </c>
      <c r="D2" s="2364"/>
      <c r="E2" s="2365"/>
      <c r="F2" s="2284"/>
      <c r="G2" s="2363" t="s">
        <v>2077</v>
      </c>
      <c r="H2" s="2366"/>
      <c r="I2" s="2366"/>
      <c r="J2" s="2366"/>
      <c r="K2" s="2366"/>
      <c r="L2" s="2366"/>
      <c r="M2" s="2366"/>
      <c r="N2" s="2366"/>
      <c r="O2" s="2366"/>
      <c r="P2" s="2366"/>
      <c r="Q2" s="2366"/>
      <c r="R2" s="2366"/>
    </row>
    <row r="3" spans="1:29" ht="57.6">
      <c r="A3" s="415" t="s">
        <v>2078</v>
      </c>
      <c r="B3" s="1271" t="s">
        <v>2079</v>
      </c>
      <c r="C3" s="2368" t="s">
        <v>2080</v>
      </c>
      <c r="D3" s="2369"/>
      <c r="E3" s="431" t="s">
        <v>2078</v>
      </c>
      <c r="F3" s="2370" t="s">
        <v>2081</v>
      </c>
      <c r="G3" s="2371" t="s">
        <v>2082</v>
      </c>
      <c r="H3" s="2366"/>
      <c r="I3" s="2366"/>
      <c r="J3" s="2366"/>
      <c r="K3" s="2366"/>
      <c r="L3" s="2366"/>
      <c r="M3" s="2366"/>
      <c r="N3" s="2366"/>
      <c r="O3" s="2366"/>
      <c r="P3" s="2366"/>
      <c r="Q3" s="2366"/>
      <c r="R3" s="2366"/>
    </row>
    <row r="4" spans="1:29" ht="43.2">
      <c r="A4" s="431"/>
      <c r="B4" s="1798" t="s">
        <v>2083</v>
      </c>
      <c r="C4" s="2372" t="s">
        <v>2084</v>
      </c>
      <c r="D4" s="2369"/>
      <c r="E4" s="2373"/>
      <c r="F4" s="42" t="s">
        <v>2085</v>
      </c>
      <c r="G4" s="2374" t="s">
        <v>2086</v>
      </c>
      <c r="H4" s="2366"/>
      <c r="I4" s="2366"/>
      <c r="J4" s="2366"/>
      <c r="K4" s="2366"/>
      <c r="L4" s="2366"/>
      <c r="M4" s="2366"/>
      <c r="N4" s="2366"/>
      <c r="O4" s="2366"/>
      <c r="P4" s="2366"/>
      <c r="Q4" s="2366"/>
      <c r="R4" s="2366"/>
    </row>
    <row r="5" spans="1:29" ht="43.2">
      <c r="A5" s="431"/>
      <c r="B5" s="1798" t="s">
        <v>2087</v>
      </c>
      <c r="C5" s="2372" t="s">
        <v>2088</v>
      </c>
      <c r="D5" s="2369"/>
      <c r="E5" s="2373"/>
      <c r="F5" s="1798" t="s">
        <v>2089</v>
      </c>
      <c r="G5" s="2374" t="s">
        <v>2090</v>
      </c>
      <c r="H5" s="2366"/>
      <c r="I5" s="2366"/>
      <c r="J5" s="2366"/>
      <c r="K5" s="2366"/>
      <c r="L5" s="2366"/>
      <c r="M5" s="2366"/>
      <c r="N5" s="2366"/>
      <c r="O5" s="2366"/>
      <c r="P5" s="2366"/>
      <c r="Q5" s="2366"/>
      <c r="R5" s="2366"/>
    </row>
    <row r="6" spans="1:29" ht="57.6">
      <c r="A6" s="431"/>
      <c r="B6" s="1798" t="s">
        <v>2091</v>
      </c>
      <c r="C6" s="2374" t="s">
        <v>2086</v>
      </c>
      <c r="D6" s="2369"/>
      <c r="E6" s="2373"/>
      <c r="F6" s="1798" t="s">
        <v>2092</v>
      </c>
      <c r="G6" s="2374" t="s">
        <v>2093</v>
      </c>
      <c r="H6" s="2366"/>
      <c r="I6" s="2366"/>
      <c r="J6" s="2366"/>
      <c r="K6" s="2366"/>
      <c r="L6" s="2366"/>
      <c r="M6" s="2366"/>
      <c r="N6" s="2366"/>
      <c r="O6" s="2366"/>
      <c r="P6" s="2366"/>
      <c r="Q6" s="2366"/>
      <c r="R6" s="2366"/>
    </row>
    <row r="7" spans="1:29" ht="43.8" thickBot="1">
      <c r="A7" s="431"/>
      <c r="B7" s="1798" t="s">
        <v>2089</v>
      </c>
      <c r="C7" s="2374" t="s">
        <v>2090</v>
      </c>
      <c r="D7" s="2375"/>
      <c r="E7" s="2376"/>
      <c r="F7" s="2377" t="s">
        <v>2094</v>
      </c>
      <c r="G7" s="2378" t="s">
        <v>2095</v>
      </c>
      <c r="H7" s="2366"/>
      <c r="I7" s="2366"/>
      <c r="J7" s="2366"/>
      <c r="K7" s="2366"/>
      <c r="L7" s="2366"/>
      <c r="M7" s="2366"/>
      <c r="N7" s="2366"/>
      <c r="O7" s="2366"/>
      <c r="P7" s="2366"/>
      <c r="Q7" s="2366"/>
      <c r="R7" s="2366"/>
    </row>
    <row r="8" spans="1:29" ht="28.8">
      <c r="A8" s="431"/>
      <c r="B8" s="1798" t="s">
        <v>2092</v>
      </c>
      <c r="C8" s="2374" t="s">
        <v>2093</v>
      </c>
      <c r="D8" s="2375"/>
      <c r="E8" s="2375"/>
      <c r="F8" s="1136"/>
      <c r="G8" s="1136"/>
      <c r="H8" s="2366"/>
      <c r="I8" s="2366"/>
      <c r="J8" s="2366"/>
      <c r="K8" s="2366"/>
      <c r="L8" s="2366"/>
      <c r="M8" s="2366"/>
      <c r="N8" s="2366"/>
      <c r="O8" s="2366"/>
      <c r="P8" s="2366"/>
      <c r="Q8" s="2366"/>
      <c r="R8" s="2366"/>
    </row>
    <row r="9" spans="1:29" ht="43.2">
      <c r="A9" s="431"/>
      <c r="B9" s="1798" t="s">
        <v>2096</v>
      </c>
      <c r="C9" s="2372" t="s">
        <v>2097</v>
      </c>
      <c r="D9" s="2369"/>
      <c r="E9" s="2375"/>
      <c r="F9" s="1136"/>
      <c r="G9" s="1136"/>
      <c r="H9" s="2366"/>
      <c r="I9" s="2366"/>
      <c r="J9" s="2366"/>
      <c r="K9" s="2366"/>
      <c r="L9" s="2366"/>
      <c r="M9" s="2366"/>
      <c r="N9" s="2366"/>
      <c r="O9" s="2366"/>
      <c r="P9" s="2366"/>
      <c r="Q9" s="2366"/>
      <c r="R9" s="2366"/>
    </row>
    <row r="10" spans="1:29" s="117" customFormat="1" ht="15" thickBot="1">
      <c r="A10" s="2379"/>
      <c r="B10" s="2380" t="s">
        <v>2098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2099</v>
      </c>
      <c r="B13" s="2386"/>
      <c r="C13" s="2386"/>
      <c r="D13" s="2393"/>
      <c r="E13" s="2386"/>
      <c r="F13" s="2386"/>
      <c r="G13" s="2386"/>
    </row>
    <row r="14" spans="1:29" ht="15" thickBot="1">
      <c r="A14" s="2397"/>
      <c r="B14" s="2398"/>
      <c r="C14" s="2399" t="s">
        <v>2100</v>
      </c>
      <c r="D14" s="2369"/>
      <c r="E14" s="2400"/>
      <c r="F14" s="2400"/>
      <c r="G14" s="2363" t="s">
        <v>2101</v>
      </c>
    </row>
    <row r="15" spans="1:29" ht="55.2">
      <c r="A15" s="68" t="s">
        <v>2102</v>
      </c>
      <c r="B15" s="1270" t="s">
        <v>2079</v>
      </c>
      <c r="C15" s="2401" t="str">
        <f>C3</f>
        <v>估价对象周边居住用地比例、居住小区规模和社区发展完善程度，综合评价居住社区成熟度一般</v>
      </c>
      <c r="D15" s="2369"/>
      <c r="E15" s="2402" t="s">
        <v>2103</v>
      </c>
      <c r="F15" s="1270" t="s">
        <v>2104</v>
      </c>
      <c r="G15" s="135" t="str">
        <f>G3</f>
        <v>估价对象位于XX开发区，园区建设成熟度XX，产业集聚程度XX</v>
      </c>
    </row>
    <row r="16" spans="1:29" ht="41.4">
      <c r="A16" s="645"/>
      <c r="B16" s="2403" t="s">
        <v>2083</v>
      </c>
      <c r="C16" s="2404" t="str">
        <f>C4</f>
        <v>估价对象位于XX商圈，周边商业氛围成熟，人流量大，商业繁华度好</v>
      </c>
      <c r="D16" s="2369"/>
      <c r="E16" s="2405"/>
      <c r="F16" s="2406" t="s">
        <v>2085</v>
      </c>
      <c r="G16" s="136" t="str">
        <f>G4</f>
        <v>估价对象周边道路状况、公共交通通达情况、停车便捷程度，综合评价交通便捷度较好</v>
      </c>
    </row>
    <row r="17" spans="1:18" ht="41.4">
      <c r="A17" s="645"/>
      <c r="B17" s="2403" t="s">
        <v>2087</v>
      </c>
      <c r="C17" s="2404" t="str">
        <f>C5</f>
        <v>估价对象位于XX商圈，周边办公楼项目较多，入驻率高，办公集聚程度较好</v>
      </c>
      <c r="D17" s="2375"/>
      <c r="E17" s="2405"/>
      <c r="F17" s="2406" t="s">
        <v>2105</v>
      </c>
      <c r="G17" s="1572"/>
    </row>
    <row r="18" spans="1:18" ht="55.2">
      <c r="A18" s="645"/>
      <c r="B18" s="2406" t="s">
        <v>2091</v>
      </c>
      <c r="C18" s="136" t="str">
        <f>C6</f>
        <v>估价对象周边道路状况、公共交通通达情况、停车便捷程度，综合评价交通便捷度较好</v>
      </c>
      <c r="D18" s="2375"/>
      <c r="E18" s="2405"/>
      <c r="F18" s="2406" t="s">
        <v>2094</v>
      </c>
      <c r="G18" s="136" t="str">
        <f>G7</f>
        <v>该园区内是否有污染型企业，绿化情况，卫生条件，整体环境状况判断</v>
      </c>
    </row>
    <row r="19" spans="1:18" ht="27.6">
      <c r="A19" s="645"/>
      <c r="B19" s="2406" t="s">
        <v>2106</v>
      </c>
      <c r="C19" s="1572"/>
      <c r="D19" s="2369"/>
      <c r="E19" s="2405"/>
      <c r="F19" s="1798" t="s">
        <v>2089</v>
      </c>
      <c r="G19" s="136" t="str">
        <f>G5</f>
        <v>估价对象所在区域公共配套设施齐备情况</v>
      </c>
    </row>
    <row r="20" spans="1:18" ht="41.4">
      <c r="A20" s="645"/>
      <c r="B20" s="2406" t="s">
        <v>2107</v>
      </c>
      <c r="C20" s="2404" t="str">
        <f>C9</f>
        <v>区域自然环境：；人文环境；综合评价环境状况一般</v>
      </c>
      <c r="D20" s="2375"/>
      <c r="E20" s="2405"/>
      <c r="F20" s="1798" t="s">
        <v>2108</v>
      </c>
      <c r="G20" s="136" t="str">
        <f>G6</f>
        <v>估价对象所在区域基础设施水平</v>
      </c>
    </row>
    <row r="21" spans="1:18" ht="27.6">
      <c r="A21" s="645"/>
      <c r="B21" s="1798" t="s">
        <v>2089</v>
      </c>
      <c r="C21" s="136" t="str">
        <f>C7</f>
        <v>估价对象所在区域公共配套设施齐备情况</v>
      </c>
      <c r="D21" s="2369"/>
      <c r="E21" s="2405"/>
      <c r="F21" s="2406" t="s">
        <v>2109</v>
      </c>
      <c r="G21" s="2407"/>
    </row>
    <row r="22" spans="1:18" ht="13.5" customHeight="1">
      <c r="A22" s="645"/>
      <c r="B22" s="1798" t="s">
        <v>2092</v>
      </c>
      <c r="C22" s="136" t="str">
        <f>C8</f>
        <v>估价对象所在区域基础设施水平</v>
      </c>
      <c r="D22" s="2369"/>
      <c r="E22" s="2405"/>
      <c r="F22" s="2406" t="s">
        <v>2098</v>
      </c>
      <c r="G22" s="1572"/>
    </row>
    <row r="23" spans="1:18" s="2366" customFormat="1" ht="1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53162.09</v>
      </c>
      <c r="C1" s="1745"/>
      <c r="D1" s="1745"/>
      <c r="E1" s="1745"/>
      <c r="F1" s="1745"/>
      <c r="G1" s="1743"/>
    </row>
    <row r="2" spans="1:10" ht="16.2">
      <c r="A2" s="1746" t="s">
        <v>1349</v>
      </c>
      <c r="B2" s="1746">
        <f>SUM(C14:C23)</f>
        <v>63000</v>
      </c>
      <c r="C2" s="1745"/>
      <c r="D2" s="1745"/>
      <c r="E2" s="1745"/>
      <c r="F2" s="1745"/>
      <c r="G2" s="1743"/>
    </row>
    <row r="3" spans="1:10" ht="15.6">
      <c r="A3" s="1746" t="s">
        <v>1358</v>
      </c>
      <c r="B3" s="1747">
        <f>项目基本情况!D3</f>
        <v>43544</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51832</v>
      </c>
      <c r="C5" s="1746">
        <f ca="1">ROUND(B5*10000/$B$1,0)</f>
        <v>9750</v>
      </c>
      <c r="D5" s="1746">
        <f ca="1">ROUND(B5*10000/$B$2,0)</f>
        <v>8227</v>
      </c>
      <c r="E5" s="1745"/>
      <c r="F5" s="1743"/>
      <c r="G5" s="1743"/>
    </row>
    <row r="6" spans="1:10" ht="15.6">
      <c r="A6" s="1746" t="s">
        <v>1352</v>
      </c>
      <c r="B6" s="1746">
        <f ca="1">SUM(G14:G23)</f>
        <v>51832</v>
      </c>
      <c r="C6" s="1746">
        <f ca="1">ROUND(B6*10000/$B$1,0)</f>
        <v>9750</v>
      </c>
      <c r="D6" s="1746">
        <f ca="1">ROUND(B6*10000/$B$2,0)</f>
        <v>8227</v>
      </c>
      <c r="E6" s="1745"/>
      <c r="F6" s="1743"/>
      <c r="G6" s="1743"/>
    </row>
    <row r="7" spans="1:10" ht="15.6">
      <c r="A7" s="1746" t="s">
        <v>1360</v>
      </c>
      <c r="B7" s="1746">
        <f>SUM(H14:H23)</f>
        <v>0</v>
      </c>
      <c r="C7" s="1746">
        <f>ROUND(B7*10000/$B$1,0)</f>
        <v>0</v>
      </c>
      <c r="D7" s="1746">
        <f>ROUND(B7*10000/$B$2,0)</f>
        <v>0</v>
      </c>
      <c r="E7" s="1745"/>
      <c r="F7" s="1743"/>
      <c r="G7" s="1743"/>
    </row>
    <row r="8" spans="1:10" ht="15.6">
      <c r="A8" s="1746" t="s">
        <v>1281</v>
      </c>
      <c r="B8" s="1746">
        <f>SUM(I14:I23)</f>
        <v>0</v>
      </c>
      <c r="C8" s="1746">
        <f>ROUND(B8*10000/$B$1,0)</f>
        <v>0</v>
      </c>
      <c r="D8" s="1746">
        <f>ROUND(B8*10000/$B$2,0)</f>
        <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53162.09</v>
      </c>
      <c r="C14" s="1744">
        <f>结果表!C118</f>
        <v>63000</v>
      </c>
      <c r="D14" s="1744">
        <f ca="1">结果表!H118</f>
        <v>51832</v>
      </c>
      <c r="E14" s="1744">
        <f ca="1">ROUND(D14*10000/B14,0)</f>
        <v>9750</v>
      </c>
      <c r="F14" s="1744">
        <f ca="1">ROUND(D14*10000/C14,0)</f>
        <v>8227</v>
      </c>
      <c r="G14" s="1744">
        <f ca="1">结果表!D122</f>
        <v>51832</v>
      </c>
      <c r="H14" s="1744" t="str">
        <f>结果表!D124</f>
        <v>——</v>
      </c>
      <c r="I14" s="1744" t="str">
        <f>结果表!D126</f>
        <v>——</v>
      </c>
      <c r="J14" s="1743"/>
    </row>
    <row r="15" spans="1:10" ht="15.6">
      <c r="A15" s="1742" t="s">
        <v>1345</v>
      </c>
      <c r="B15" s="1749"/>
      <c r="C15" s="1749"/>
      <c r="D15" s="1749"/>
      <c r="E15" s="1744" t="e">
        <f t="shared" ref="E15:E23" si="0">ROUND(D15*10000/B15,0)</f>
        <v>#DIV/0!</v>
      </c>
      <c r="F15" s="1744" t="e">
        <f t="shared" ref="F15:F23" si="1">ROUND(D15*10000/C15,0)</f>
        <v>#DIV/0!</v>
      </c>
      <c r="G15" s="1750"/>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80" zoomScaleNormal="100" zoomScaleSheetLayoutView="80" zoomScalePageLayoutView="80" workbookViewId="0">
      <selection activeCell="F26" sqref="F26"/>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3" t="s">
        <v>2112</v>
      </c>
      <c r="B1" s="2417"/>
      <c r="C1" s="2418" t="s">
        <v>3071</v>
      </c>
      <c r="D1" s="2417"/>
      <c r="E1" s="2417"/>
      <c r="F1" s="2419" t="s">
        <v>2113</v>
      </c>
      <c r="G1" s="2070" t="s">
        <v>3052</v>
      </c>
      <c r="H1" s="2420" t="str">
        <f>IF(G1="现房","——","估价对象范围")</f>
        <v>——</v>
      </c>
      <c r="I1" s="2421" t="s">
        <v>3145</v>
      </c>
    </row>
    <row r="2" spans="1:12" ht="21.75" customHeight="1" thickBot="1">
      <c r="A2" s="3097" t="str">
        <f>项目基本情况!S2</f>
        <v>北京市顺义区京顺路99号1幢等5幢办公用房房地产</v>
      </c>
      <c r="B2" s="3098"/>
      <c r="C2" s="3098"/>
      <c r="D2" s="3098"/>
      <c r="E2" s="3098"/>
      <c r="F2" s="3098"/>
      <c r="G2" s="3098"/>
      <c r="H2" s="3098"/>
      <c r="I2" s="3099"/>
    </row>
    <row r="3" spans="1:12" ht="13.2">
      <c r="A3" s="3101" t="s">
        <v>2114</v>
      </c>
      <c r="B3" s="3102"/>
      <c r="C3" s="3102"/>
      <c r="D3" s="3102"/>
      <c r="E3" s="3102"/>
      <c r="F3" s="3102"/>
      <c r="G3" s="3102"/>
      <c r="H3" s="3102"/>
      <c r="I3" s="3102"/>
    </row>
    <row r="4" spans="1:12" ht="14.4">
      <c r="A4" s="2424" t="s">
        <v>2115</v>
      </c>
      <c r="B4" s="2425" t="s">
        <v>2116</v>
      </c>
      <c r="C4" s="2426" t="s">
        <v>3087</v>
      </c>
      <c r="D4" s="2426" t="s">
        <v>3074</v>
      </c>
      <c r="E4" s="3094" t="s">
        <v>2117</v>
      </c>
      <c r="F4" s="3095"/>
      <c r="G4" s="3095"/>
      <c r="H4" s="3095"/>
      <c r="I4" s="310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3.2">
      <c r="A5" s="3077" t="s">
        <v>2118</v>
      </c>
      <c r="B5" s="3015">
        <v>25</v>
      </c>
      <c r="C5" s="3080"/>
      <c r="D5" s="3100"/>
      <c r="E5" s="140" t="s">
        <v>2119</v>
      </c>
      <c r="F5" s="2428"/>
      <c r="G5" s="2428"/>
      <c r="H5" s="2428"/>
      <c r="I5" s="1834"/>
    </row>
    <row r="6" spans="1:12" ht="13.2">
      <c r="A6" s="3077"/>
      <c r="B6" s="3015"/>
      <c r="C6" s="3081"/>
      <c r="D6" s="3100"/>
      <c r="E6" s="140" t="s">
        <v>2120</v>
      </c>
      <c r="F6" s="2428"/>
      <c r="G6" s="2428"/>
      <c r="H6" s="2428"/>
      <c r="I6" s="1834"/>
    </row>
    <row r="7" spans="1:12" ht="13.2">
      <c r="A7" s="3077"/>
      <c r="B7" s="3015"/>
      <c r="C7" s="3082"/>
      <c r="D7" s="3100"/>
      <c r="E7" s="140" t="s">
        <v>2121</v>
      </c>
      <c r="F7" s="2428"/>
      <c r="G7" s="2428"/>
      <c r="H7" s="2428"/>
      <c r="I7" s="1834"/>
    </row>
    <row r="8" spans="1:12" ht="13.2">
      <c r="A8" s="3077" t="s">
        <v>2122</v>
      </c>
      <c r="B8" s="3015">
        <v>15</v>
      </c>
      <c r="C8" s="3080"/>
      <c r="D8" s="3100"/>
      <c r="E8" s="140" t="s">
        <v>2123</v>
      </c>
      <c r="F8" s="2428"/>
      <c r="G8" s="2428"/>
      <c r="H8" s="2428"/>
      <c r="I8" s="1834"/>
    </row>
    <row r="9" spans="1:12" ht="13.2">
      <c r="A9" s="3077"/>
      <c r="B9" s="3015"/>
      <c r="C9" s="3082"/>
      <c r="D9" s="3100"/>
      <c r="E9" s="140" t="s">
        <v>2124</v>
      </c>
      <c r="F9" s="2428"/>
      <c r="G9" s="2428"/>
      <c r="H9" s="2428"/>
      <c r="I9" s="1834"/>
    </row>
    <row r="10" spans="1:12" ht="13.2">
      <c r="A10" s="3077" t="s">
        <v>2125</v>
      </c>
      <c r="B10" s="3015">
        <v>15</v>
      </c>
      <c r="C10" s="3080"/>
      <c r="D10" s="3100"/>
      <c r="E10" s="140" t="s">
        <v>2126</v>
      </c>
      <c r="F10" s="2428"/>
      <c r="G10" s="2428"/>
      <c r="H10" s="2428"/>
      <c r="I10" s="1834"/>
    </row>
    <row r="11" spans="1:12" ht="13.2">
      <c r="A11" s="3077"/>
      <c r="B11" s="3015"/>
      <c r="C11" s="3082"/>
      <c r="D11" s="3100"/>
      <c r="E11" s="140" t="s">
        <v>2127</v>
      </c>
      <c r="F11" s="2428"/>
      <c r="G11" s="2428"/>
      <c r="H11" s="2428"/>
      <c r="I11" s="1834"/>
    </row>
    <row r="12" spans="1:12" ht="13.2">
      <c r="A12" s="3077" t="s">
        <v>2128</v>
      </c>
      <c r="B12" s="3015">
        <v>15</v>
      </c>
      <c r="C12" s="3080"/>
      <c r="D12" s="3100"/>
      <c r="E12" s="140" t="s">
        <v>2129</v>
      </c>
      <c r="F12" s="2428"/>
      <c r="G12" s="2428"/>
      <c r="H12" s="2428"/>
      <c r="I12" s="1834"/>
    </row>
    <row r="13" spans="1:12" ht="13.2">
      <c r="A13" s="3077"/>
      <c r="B13" s="3015"/>
      <c r="C13" s="3082"/>
      <c r="D13" s="3100"/>
      <c r="E13" s="140" t="s">
        <v>2130</v>
      </c>
      <c r="F13" s="2428"/>
      <c r="G13" s="2428"/>
      <c r="H13" s="2428"/>
      <c r="I13" s="1834"/>
    </row>
    <row r="14" spans="1:12" ht="13.2">
      <c r="A14" s="3077" t="s">
        <v>2131</v>
      </c>
      <c r="B14" s="3015">
        <v>30</v>
      </c>
      <c r="C14" s="3080">
        <v>45</v>
      </c>
      <c r="D14" s="3100">
        <v>55</v>
      </c>
      <c r="E14" s="140" t="s">
        <v>2132</v>
      </c>
      <c r="F14" s="2428"/>
      <c r="G14" s="2428"/>
      <c r="H14" s="2428"/>
      <c r="I14" s="1834"/>
    </row>
    <row r="15" spans="1:12" ht="13.2">
      <c r="A15" s="3077"/>
      <c r="B15" s="3015"/>
      <c r="C15" s="3081"/>
      <c r="D15" s="3100"/>
      <c r="E15" s="140" t="s">
        <v>2133</v>
      </c>
      <c r="F15" s="2428"/>
      <c r="G15" s="2428"/>
      <c r="H15" s="2428"/>
      <c r="I15" s="1834"/>
    </row>
    <row r="16" spans="1:12" ht="13.2">
      <c r="A16" s="3077"/>
      <c r="B16" s="3015"/>
      <c r="C16" s="3082"/>
      <c r="D16" s="3100"/>
      <c r="E16" s="140" t="s">
        <v>2134</v>
      </c>
      <c r="F16" s="2428"/>
      <c r="G16" s="2428"/>
      <c r="H16" s="2428"/>
      <c r="I16" s="1834"/>
    </row>
    <row r="17" spans="1:35" ht="14.4">
      <c r="A17" s="2429" t="s">
        <v>2135</v>
      </c>
      <c r="B17" s="64"/>
      <c r="C17" s="141">
        <f>SUM(C5:C16)</f>
        <v>45</v>
      </c>
      <c r="D17" s="141">
        <f>SUM(D5:D16)</f>
        <v>55</v>
      </c>
      <c r="E17" s="138"/>
      <c r="F17" s="138"/>
      <c r="G17" s="138"/>
      <c r="H17" s="138"/>
      <c r="I17" s="138"/>
      <c r="K17" s="2427"/>
      <c r="L17" s="2430" t="s">
        <v>2136</v>
      </c>
      <c r="M17" s="2430" t="s">
        <v>2137</v>
      </c>
    </row>
    <row r="18" spans="1:35" ht="15" thickBot="1">
      <c r="A18" s="2431" t="s">
        <v>2138</v>
      </c>
      <c r="B18" s="2432"/>
      <c r="C18" s="142">
        <f>ROUND(C17/SUM(C17:D17),2)</f>
        <v>0.45</v>
      </c>
      <c r="D18" s="142">
        <f>1-C18</f>
        <v>0.55000000000000004</v>
      </c>
      <c r="E18" s="138"/>
      <c r="F18" s="138"/>
      <c r="G18" s="138"/>
      <c r="H18" s="138"/>
      <c r="I18" s="138"/>
      <c r="K18" s="2427" t="s">
        <v>2139</v>
      </c>
      <c r="L18" s="2427">
        <f>IF(C1="",'数据-汇总表'!E3,SUMIF(项目类型,C1,'数据-汇总表'!E17:E26)+SUMIF(项目类型,C1,'数据-汇总表'!I17:I26))</f>
        <v>53162.09</v>
      </c>
      <c r="M18" s="2427">
        <f>IF(C1="",'数据-汇总表'!E3,SUMIF(项目类型,C1,'数据-汇总表'!E17:E26))</f>
        <v>53162.09</v>
      </c>
    </row>
    <row r="19" spans="1:35" ht="14.4">
      <c r="A19" s="2433" t="s">
        <v>2140</v>
      </c>
      <c r="B19" s="2434" t="s">
        <v>2141</v>
      </c>
      <c r="C19" s="143">
        <f ca="1">SUMIF(INDIRECT("'"&amp;C4&amp;"'"&amp;"!A:A"),结果表!B19,INDIRECT("'"&amp;C4&amp;"'"&amp;"!B:B"))</f>
        <v>68410</v>
      </c>
      <c r="D19" s="144">
        <f ca="1">SUMIF(INDIRECT("'"&amp;D4&amp;"'"&amp;"!A:A"),结果表!B19,INDIRECT("'"&amp;D4&amp;"'"&amp;"!B:B"))</f>
        <v>38268</v>
      </c>
      <c r="E19" s="2433" t="s">
        <v>2142</v>
      </c>
      <c r="F19" s="2434" t="s">
        <v>2141</v>
      </c>
      <c r="G19" s="145">
        <f ca="1">ROUND(C19*$C$18+D19*$D$18,0)</f>
        <v>51832</v>
      </c>
      <c r="H19" s="2435" t="s">
        <v>2143</v>
      </c>
      <c r="I19" s="138"/>
      <c r="K19" s="2427" t="s">
        <v>2144</v>
      </c>
      <c r="L19" s="2427">
        <f>IF(C1="",'数据-汇总表'!D3,SUMIF(项目类型,C1,'数据-汇总表'!D17:D26)+SUMIF(项目类型,C1,'数据-汇总表'!H17:H27))</f>
        <v>63000</v>
      </c>
      <c r="M19" s="2427">
        <f>IF(C1="",'数据-汇总表'!D3,SUMIF(项目类型,C1,'数据-汇总表'!D17:D26))</f>
        <v>63000</v>
      </c>
    </row>
    <row r="20" spans="1:35" ht="14.4">
      <c r="A20" s="2436"/>
      <c r="B20" s="1250" t="s">
        <v>2145</v>
      </c>
      <c r="C20" s="146">
        <f ca="1">SUMIF(INDIRECT("'"&amp;C4&amp;"'"&amp;"!A:A"),结果表!B20,INDIRECT("'"&amp;C4&amp;"'"&amp;"!B:B"))</f>
        <v>12868</v>
      </c>
      <c r="D20" s="147">
        <f ca="1">SUMIF(INDIRECT("'"&amp;D4&amp;"'"&amp;"!A:A"),结果表!B20,INDIRECT("'"&amp;D4&amp;"'"&amp;"!B:B"))</f>
        <v>7198</v>
      </c>
      <c r="E20" s="2436"/>
      <c r="F20" s="1250" t="s">
        <v>2145</v>
      </c>
      <c r="G20" s="148">
        <f ca="1">ROUND(C20*$C$18+D20*$D$18,0)</f>
        <v>9750</v>
      </c>
      <c r="H20" s="983" t="s">
        <v>2146</v>
      </c>
      <c r="I20" s="138"/>
    </row>
    <row r="21" spans="1:35" ht="15" customHeight="1" thickBot="1">
      <c r="A21" s="1003"/>
      <c r="B21" s="2437" t="s">
        <v>2147</v>
      </c>
      <c r="C21" s="789">
        <f ca="1">ROUND(C19*10000/L19,0)</f>
        <v>10859</v>
      </c>
      <c r="D21" s="790">
        <f ca="1">ROUND(D19*10000/L19,0)</f>
        <v>6074</v>
      </c>
      <c r="E21" s="1003"/>
      <c r="F21" s="2437" t="s">
        <v>2147</v>
      </c>
      <c r="G21" s="149">
        <f ca="1">ROUND(G19*10000/L19,0)</f>
        <v>8227</v>
      </c>
      <c r="H21" s="2438" t="s">
        <v>2146</v>
      </c>
      <c r="I21" s="138"/>
    </row>
    <row r="22" spans="1:35" ht="15" thickBot="1">
      <c r="A22" s="2279" t="s">
        <v>2148</v>
      </c>
      <c r="B22" s="2439"/>
      <c r="C22" s="2440"/>
      <c r="D22" s="791">
        <f ca="1">IF(C19&lt;D19,D19/C19-1,C19/D19-1)</f>
        <v>0.78765548238737315</v>
      </c>
      <c r="E22" s="138"/>
      <c r="F22" s="138"/>
      <c r="G22" s="138"/>
      <c r="H22" s="138"/>
      <c r="I22" s="138"/>
    </row>
    <row r="23" spans="1:35" ht="13.8" thickBot="1">
      <c r="A23" s="2417"/>
      <c r="B23" s="2417"/>
      <c r="C23" s="2417"/>
      <c r="D23" s="2417"/>
      <c r="E23" s="138"/>
      <c r="F23" s="138"/>
      <c r="G23" s="138"/>
      <c r="H23" s="138"/>
      <c r="I23" s="138"/>
    </row>
    <row r="24" spans="1:35" ht="14.4">
      <c r="A24" s="3071" t="s">
        <v>2149</v>
      </c>
      <c r="B24" s="2434" t="s">
        <v>2141</v>
      </c>
      <c r="C24" s="145">
        <f>IF(B30=0,0,D30)</f>
        <v>0</v>
      </c>
      <c r="D24" s="2441"/>
      <c r="E24" s="138"/>
      <c r="F24" s="138"/>
      <c r="G24" s="138"/>
      <c r="H24" s="138"/>
      <c r="I24" s="138"/>
    </row>
    <row r="25" spans="1:35" ht="14.4">
      <c r="A25" s="3072"/>
      <c r="B25" s="1250"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2154</v>
      </c>
      <c r="B30" s="151"/>
      <c r="C30" s="151"/>
      <c r="D30" s="151"/>
      <c r="E30" s="2924" t="s">
        <v>3027</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2155</v>
      </c>
      <c r="B32" s="2447"/>
      <c r="C32" s="153">
        <f ca="1">IF(D32="总价",G19-C24,G20-C25)</f>
        <v>51832</v>
      </c>
      <c r="D32" s="2448" t="s">
        <v>2156</v>
      </c>
      <c r="E32" s="138"/>
      <c r="F32" s="138"/>
      <c r="G32" s="138"/>
      <c r="H32" s="138"/>
      <c r="I32" s="138"/>
    </row>
    <row r="33" spans="1:15" ht="14.4">
      <c r="A33" s="960" t="s">
        <v>2157</v>
      </c>
      <c r="B33" s="2449"/>
      <c r="C33" s="2450" t="s">
        <v>3095</v>
      </c>
      <c r="D33" s="2451" t="s">
        <v>3087</v>
      </c>
      <c r="E33" s="2452" t="s">
        <v>2158</v>
      </c>
      <c r="F33" s="2453" t="str">
        <f>IF(D32="楼面单价","取值（单价）","取值（总价）")</f>
        <v>取值（总价）</v>
      </c>
      <c r="G33" s="138"/>
      <c r="H33" s="138"/>
      <c r="I33" s="138"/>
    </row>
    <row r="34" spans="1:15" ht="14.4">
      <c r="A34" s="2454"/>
      <c r="B34" s="2455" t="s">
        <v>2159</v>
      </c>
      <c r="C34" s="157">
        <f ca="1">IF(C33="自定义",F34,C32-C35)</f>
        <v>34779</v>
      </c>
      <c r="D34" s="1058">
        <f ca="1">IF(C33="自定义",ROUND(C34/C32,3),IF(C33="收益比率",SUMIF(INDIRECT("'"&amp;D33&amp;"'"&amp;"!b:b"),"土地收益比率",INDIRECT("'"&amp;D33&amp;"'"&amp;"!c:c")),SUMIF(INDIRECT("'"&amp;D33&amp;"'"&amp;"!b:b"),"土地成本比率",INDIRECT("'"&amp;D33&amp;"'"&amp;"!c:c"))))</f>
        <v>0.67100000000000004</v>
      </c>
      <c r="E34" s="2456" t="s">
        <v>2160</v>
      </c>
      <c r="F34" s="1739"/>
      <c r="G34" s="138"/>
      <c r="H34" s="138"/>
      <c r="I34" s="138"/>
    </row>
    <row r="35" spans="1:15" ht="15" thickBot="1">
      <c r="A35" s="2457"/>
      <c r="B35" s="2458" t="s">
        <v>2161</v>
      </c>
      <c r="C35" s="1444">
        <f ca="1">IF(C33="自定义",F35,ROUND(C32*D35,0))</f>
        <v>17053</v>
      </c>
      <c r="D35" s="1445">
        <f ca="1">IF(C33="自定义",ROUND(C35/C32,3),IF(C33="收益比率",SUMIF(INDIRECT("'"&amp;D33&amp;"'"&amp;"!b:b"),"建筑物收益比率",INDIRECT("'"&amp;D33&amp;"'"&amp;"!c:c")),SUMIF(INDIRECT("'"&amp;D33&amp;"'"&amp;"!b:b"),"建筑物成本比率",INDIRECT("'"&amp;D33&amp;"'"&amp;"!c:c"))))</f>
        <v>0.32900000000000001</v>
      </c>
      <c r="E35" s="2459" t="s">
        <v>2162</v>
      </c>
      <c r="F35" s="163"/>
      <c r="G35" s="138"/>
      <c r="H35" s="138"/>
      <c r="I35" s="138"/>
    </row>
    <row r="36" spans="1:15" ht="15" thickBot="1">
      <c r="A36" s="3089" t="s">
        <v>2163</v>
      </c>
      <c r="B36" s="2460" t="s">
        <v>2164</v>
      </c>
      <c r="C36" s="154"/>
      <c r="D36" s="2461"/>
      <c r="E36" s="2462"/>
      <c r="F36" s="2463"/>
      <c r="G36" s="138"/>
      <c r="H36" s="138"/>
      <c r="I36" s="138"/>
    </row>
    <row r="37" spans="1:15" ht="15" thickBot="1">
      <c r="A37" s="3090"/>
      <c r="B37" s="2265" t="s">
        <v>2165</v>
      </c>
      <c r="C37" s="156"/>
      <c r="D37" s="1395"/>
      <c r="E37" s="1395"/>
      <c r="F37" s="2463"/>
      <c r="G37" s="138"/>
      <c r="H37" s="138"/>
      <c r="I37" s="138"/>
    </row>
    <row r="38" spans="1:15" ht="15" thickBot="1">
      <c r="A38" s="3091"/>
      <c r="B38" s="2464" t="s">
        <v>2166</v>
      </c>
      <c r="C38" s="727"/>
      <c r="D38" s="2465" t="s">
        <v>2167</v>
      </c>
      <c r="E38" s="1395"/>
      <c r="F38" s="2463"/>
      <c r="G38" s="138"/>
      <c r="H38" s="138"/>
      <c r="I38" s="138"/>
    </row>
    <row r="39" spans="1:15" ht="14.4">
      <c r="A39" s="2436" t="s">
        <v>2168</v>
      </c>
      <c r="B39" s="2466" t="s">
        <v>2169</v>
      </c>
      <c r="C39" s="2467" t="s">
        <v>2170</v>
      </c>
      <c r="D39" s="2467" t="s">
        <v>2171</v>
      </c>
      <c r="E39" s="2468" t="s">
        <v>2172</v>
      </c>
      <c r="F39" s="2463"/>
      <c r="G39" s="138"/>
      <c r="H39" s="138"/>
      <c r="I39" s="138"/>
    </row>
    <row r="40" spans="1:15" ht="13.8">
      <c r="A40" s="2469" t="s">
        <v>2173</v>
      </c>
      <c r="B40" s="158"/>
      <c r="C40" s="159"/>
      <c r="D40" s="159"/>
      <c r="E40" s="160"/>
      <c r="F40" s="2463"/>
      <c r="G40" s="138"/>
      <c r="H40" s="138"/>
      <c r="I40" s="138"/>
    </row>
    <row r="41" spans="1:15" ht="13.8">
      <c r="A41" s="2469" t="s">
        <v>2174</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3"/>
      <c r="B43" s="2163"/>
      <c r="C43" s="2163"/>
      <c r="D43" s="2163"/>
      <c r="E43" s="2163"/>
      <c r="F43" s="2471"/>
      <c r="G43" s="2471"/>
      <c r="H43" s="2471"/>
      <c r="I43" s="2472"/>
    </row>
    <row r="44" spans="1:15" ht="17.399999999999999">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068" t="s">
        <v>2177</v>
      </c>
      <c r="B45" s="3069"/>
      <c r="C45" s="3070"/>
      <c r="D45" s="164">
        <f ca="1">ROUND(H101*F45,0)</f>
        <v>51832</v>
      </c>
      <c r="E45" s="165" t="s">
        <v>2178</v>
      </c>
      <c r="F45" s="166">
        <v>1</v>
      </c>
      <c r="G45" s="167" t="s">
        <v>2179</v>
      </c>
      <c r="H45" s="138"/>
      <c r="I45" s="138"/>
      <c r="J45" s="3128" t="s">
        <v>2180</v>
      </c>
      <c r="K45" s="3128"/>
      <c r="L45" s="3128"/>
      <c r="M45" s="3128"/>
      <c r="N45" s="3128"/>
      <c r="O45" s="3128"/>
    </row>
    <row r="46" spans="1:15" ht="14.25" customHeight="1">
      <c r="A46" s="3065" t="s">
        <v>2181</v>
      </c>
      <c r="B46" s="3066"/>
      <c r="C46" s="3066"/>
      <c r="D46" s="3066"/>
      <c r="E46" s="3066"/>
      <c r="F46" s="3066"/>
      <c r="G46" s="3067"/>
      <c r="H46" s="2479"/>
      <c r="I46" s="168"/>
      <c r="J46" s="1812">
        <v>1</v>
      </c>
      <c r="K46" s="3128" t="s">
        <v>2182</v>
      </c>
      <c r="L46" s="3128"/>
      <c r="M46" s="3148"/>
      <c r="N46" s="3148"/>
      <c r="O46" s="3148"/>
    </row>
    <row r="47" spans="1:15" ht="12" customHeight="1">
      <c r="A47" s="169" t="s">
        <v>2183</v>
      </c>
      <c r="B47" s="170"/>
      <c r="C47" s="171"/>
      <c r="D47" s="172" t="s">
        <v>2184</v>
      </c>
      <c r="E47" s="24" t="s">
        <v>2185</v>
      </c>
      <c r="F47" s="173" t="s">
        <v>2186</v>
      </c>
      <c r="G47" s="174" t="s">
        <v>2187</v>
      </c>
      <c r="H47" s="2479"/>
      <c r="I47" s="168"/>
      <c r="J47" s="1812">
        <v>2</v>
      </c>
      <c r="K47" s="3128" t="s">
        <v>2188</v>
      </c>
      <c r="L47" s="3128"/>
      <c r="M47" s="3149">
        <f>'数据-取费表'!B2</f>
        <v>43544</v>
      </c>
      <c r="N47" s="3149"/>
      <c r="O47" s="3149"/>
    </row>
    <row r="48" spans="1:15" ht="26.4">
      <c r="A48" s="3096" t="s">
        <v>2189</v>
      </c>
      <c r="B48" s="3079"/>
      <c r="C48" s="3079"/>
      <c r="D48" s="140">
        <f>IF(H48="情况1",0,IF(H48="情况2",D52,IF(H48="情况3",D53,IF(H48="情况4",D54))))</f>
        <v>0</v>
      </c>
      <c r="E48" s="1801" t="str">
        <f>IF(H48="情况4","(销售额-原购置价)×税（费）率","销售额×税（费）率")</f>
        <v>销售额×税（费）率</v>
      </c>
      <c r="F48" s="175" t="str">
        <f>IF(H48="情况1","免征",'数据-取费表'!B41)</f>
        <v>免征</v>
      </c>
      <c r="G48" s="2480" t="s">
        <v>2190</v>
      </c>
      <c r="H48" s="2481" t="s">
        <v>2191</v>
      </c>
      <c r="I48" s="2479"/>
      <c r="J48" s="1812">
        <v>3</v>
      </c>
      <c r="K48" s="3128" t="s">
        <v>2192</v>
      </c>
      <c r="L48" s="3128"/>
      <c r="M48" s="3150">
        <f ca="1">H101</f>
        <v>51832</v>
      </c>
      <c r="N48" s="3150"/>
      <c r="O48" s="3150"/>
    </row>
    <row r="49" spans="1:35" ht="25.5" customHeight="1">
      <c r="A49" s="176" t="s">
        <v>2193</v>
      </c>
      <c r="B49" s="3064" t="s">
        <v>2194</v>
      </c>
      <c r="C49" s="3064"/>
      <c r="D49" s="177">
        <v>0</v>
      </c>
      <c r="E49" s="23" t="s">
        <v>2195</v>
      </c>
      <c r="F49" s="28" t="s">
        <v>34</v>
      </c>
      <c r="G49" s="3134"/>
      <c r="H49" s="138"/>
      <c r="I49" s="2482"/>
      <c r="J49" s="1812">
        <v>4</v>
      </c>
      <c r="K49" s="3128" t="str">
        <f>IF(项目基本情况!E8="房地产抵押价值","房地产抵押价值","抵押担保权已注销时的房地产抵押价值")</f>
        <v>房地产抵押价值</v>
      </c>
      <c r="L49" s="3128"/>
      <c r="M49" s="3150">
        <f ca="1">IF(项目基本情况!E8="房地产抵押价值",H107,H109)</f>
        <v>51832</v>
      </c>
      <c r="N49" s="3150"/>
      <c r="O49" s="3150"/>
    </row>
    <row r="50" spans="1:35" ht="25.5" customHeight="1">
      <c r="A50" s="178"/>
      <c r="B50" s="3064" t="s">
        <v>2196</v>
      </c>
      <c r="C50" s="3064"/>
      <c r="D50" s="179"/>
      <c r="E50" s="31"/>
      <c r="F50" s="180"/>
      <c r="G50" s="3135"/>
      <c r="H50" s="138"/>
      <c r="I50" s="2482"/>
      <c r="J50" s="3128" t="s">
        <v>2197</v>
      </c>
      <c r="K50" s="3128"/>
      <c r="L50" s="3128"/>
      <c r="M50" s="3128"/>
      <c r="N50" s="3128"/>
      <c r="O50" s="3128"/>
    </row>
    <row r="51" spans="1:35" ht="12" customHeight="1">
      <c r="A51" s="181"/>
      <c r="B51" s="3064" t="s">
        <v>2198</v>
      </c>
      <c r="C51" s="3064"/>
      <c r="D51" s="182"/>
      <c r="E51" s="30"/>
      <c r="F51" s="180"/>
      <c r="G51" s="3136"/>
      <c r="H51" s="138"/>
      <c r="I51" s="2482"/>
      <c r="J51" s="2483" t="s">
        <v>2199</v>
      </c>
      <c r="K51" s="3128" t="s">
        <v>2200</v>
      </c>
      <c r="L51" s="3128"/>
      <c r="M51" s="2483" t="s">
        <v>2201</v>
      </c>
      <c r="N51" s="2483" t="s">
        <v>2202</v>
      </c>
      <c r="O51" s="2483" t="s">
        <v>2203</v>
      </c>
    </row>
    <row r="52" spans="1:35" ht="24" customHeight="1">
      <c r="A52" s="183" t="s">
        <v>2204</v>
      </c>
      <c r="B52" s="3064" t="s">
        <v>2205</v>
      </c>
      <c r="C52" s="3064"/>
      <c r="D52" s="182">
        <f ca="1">ROUND(D45*'数据-取费表'!B41/(1+'数据-取费表'!C42),0)</f>
        <v>2715</v>
      </c>
      <c r="E52" s="11" t="s">
        <v>2206</v>
      </c>
      <c r="F52" s="184">
        <f>'数据-取费表'!B41</f>
        <v>5.5000000000000007E-2</v>
      </c>
      <c r="G52" s="2484"/>
      <c r="H52" s="138"/>
      <c r="I52" s="2482"/>
      <c r="J52" s="1812">
        <v>1</v>
      </c>
      <c r="K52" s="3129" t="s">
        <v>2207</v>
      </c>
      <c r="L52" s="3129"/>
      <c r="M52" s="1754">
        <f>D48</f>
        <v>0</v>
      </c>
      <c r="N52" s="1812" t="str">
        <f>E48</f>
        <v>销售额×税（费）率</v>
      </c>
      <c r="O52" s="1755" t="str">
        <f>F48</f>
        <v>免征</v>
      </c>
    </row>
    <row r="53" spans="1:35" ht="12" customHeight="1">
      <c r="A53" s="183" t="s">
        <v>2208</v>
      </c>
      <c r="B53" s="3087" t="s">
        <v>2209</v>
      </c>
      <c r="C53" s="3088"/>
      <c r="D53" s="182">
        <f ca="1">ROUND(D45*'数据-取费表'!B41/(1+'数据-取费表'!C42),0)</f>
        <v>2715</v>
      </c>
      <c r="E53" s="11" t="s">
        <v>2206</v>
      </c>
      <c r="F53" s="184">
        <f>'数据-取费表'!B41</f>
        <v>5.5000000000000007E-2</v>
      </c>
      <c r="G53" s="2484"/>
      <c r="H53" s="138"/>
      <c r="I53" s="2482"/>
      <c r="J53" s="1812">
        <v>2</v>
      </c>
      <c r="K53" s="3129" t="s">
        <v>2210</v>
      </c>
      <c r="L53" s="3129"/>
      <c r="M53" s="1754">
        <f t="shared" ref="M53:O54" ca="1" si="0">D55</f>
        <v>26</v>
      </c>
      <c r="N53" s="1812" t="str">
        <f t="shared" si="0"/>
        <v>销售额×税（费）率</v>
      </c>
      <c r="O53" s="1755">
        <f t="shared" si="0"/>
        <v>5.0000000000000001E-4</v>
      </c>
    </row>
    <row r="54" spans="1:35" ht="12" customHeight="1">
      <c r="A54" s="183" t="s">
        <v>2211</v>
      </c>
      <c r="B54" s="3087" t="s">
        <v>2212</v>
      </c>
      <c r="C54" s="3088"/>
      <c r="D54" s="182">
        <f ca="1">C68</f>
        <v>2715</v>
      </c>
      <c r="E54" s="30" t="s">
        <v>2213</v>
      </c>
      <c r="F54" s="184">
        <f>'数据-取费表'!B41</f>
        <v>5.5000000000000007E-2</v>
      </c>
      <c r="G54" s="2484"/>
      <c r="H54" s="2485"/>
      <c r="I54" s="2482"/>
      <c r="J54" s="1812">
        <v>3</v>
      </c>
      <c r="K54" s="3129" t="s">
        <v>2214</v>
      </c>
      <c r="L54" s="3129"/>
      <c r="M54" s="1754">
        <f t="shared" ca="1" si="0"/>
        <v>29384</v>
      </c>
      <c r="N54" s="1812" t="str">
        <f t="shared" si="0"/>
        <v>增值额×税（费）率</v>
      </c>
      <c r="O54" s="1756" t="str">
        <f t="shared" si="0"/>
        <v>——</v>
      </c>
    </row>
    <row r="55" spans="1:35" ht="24" customHeight="1">
      <c r="A55" s="3078" t="s">
        <v>2215</v>
      </c>
      <c r="B55" s="3079"/>
      <c r="C55" s="3079"/>
      <c r="D55" s="185">
        <f ca="1">IF(H55="个人住宅",0,ROUND(D45*I55,0))</f>
        <v>26</v>
      </c>
      <c r="E55" s="11" t="s">
        <v>2216</v>
      </c>
      <c r="F55" s="184">
        <f>IF(H55="正常",I55,"免征")</f>
        <v>5.0000000000000001E-4</v>
      </c>
      <c r="G55" s="2484"/>
      <c r="H55" s="2481" t="s">
        <v>2217</v>
      </c>
      <c r="I55" s="186">
        <f>'数据-取费表'!B49</f>
        <v>5.0000000000000001E-4</v>
      </c>
      <c r="J55" s="1812" t="str">
        <f>IF(H59="非个人房产","",4)</f>
        <v/>
      </c>
      <c r="K55" s="3129" t="str">
        <f>IF(H59="非个人房产","——","个人所得税")</f>
        <v>——</v>
      </c>
      <c r="L55" s="3129"/>
      <c r="M55" s="1757" t="str">
        <f>D59</f>
        <v>——</v>
      </c>
      <c r="N55" s="1810" t="str">
        <f>E59</f>
        <v>——</v>
      </c>
      <c r="O55" s="1758" t="str">
        <f>F59</f>
        <v>——</v>
      </c>
    </row>
    <row r="56" spans="1:35" ht="25.2">
      <c r="A56" s="3078" t="s">
        <v>2218</v>
      </c>
      <c r="B56" s="3079"/>
      <c r="C56" s="3079"/>
      <c r="D56" s="185">
        <f ca="1">IF(H56="个人住宅",D57,D58)</f>
        <v>29384</v>
      </c>
      <c r="E56" s="11" t="s">
        <v>2219</v>
      </c>
      <c r="F56" s="184" t="str">
        <f>IF(H56="正常",F58,"免征")</f>
        <v>——</v>
      </c>
      <c r="G56" s="2486" t="s">
        <v>2220</v>
      </c>
      <c r="H56" s="2487" t="s">
        <v>2217</v>
      </c>
      <c r="I56" s="2488"/>
      <c r="J56" s="1812" t="str">
        <f>IF(项目基本情况!K6="上海银行",IF(J55="",4,J55+1),"")</f>
        <v/>
      </c>
      <c r="K56" s="3152" t="str">
        <f>IF(项目基本情况!K6="上海银行","其他处置费用","")</f>
        <v/>
      </c>
      <c r="L56" s="3153"/>
      <c r="M56" s="1754" t="str">
        <f>IF(项目基本情况!K6="上海银行",M69,"")</f>
        <v/>
      </c>
      <c r="N56" s="3155" t="str">
        <f>IF(项目基本情况!K6="上海银行","包含处置中涉及的律师、诉讼、拍卖、评估等费用","")</f>
        <v/>
      </c>
      <c r="O56" s="3156"/>
    </row>
    <row r="57" spans="1:35" ht="13.2">
      <c r="A57" s="183" t="s">
        <v>2193</v>
      </c>
      <c r="B57" s="3094" t="s">
        <v>2221</v>
      </c>
      <c r="C57" s="3103"/>
      <c r="D57" s="187">
        <v>0</v>
      </c>
      <c r="E57" s="23" t="s">
        <v>2195</v>
      </c>
      <c r="F57" s="155"/>
      <c r="G57" s="2484"/>
      <c r="H57" s="2488"/>
      <c r="I57" s="2488"/>
      <c r="J57" s="3129">
        <f>IF(AND(J55="",J56=""),4,IF(项目基本情况!K6="上海银行",结果表!J56+1,结果表!J55+1))</f>
        <v>4</v>
      </c>
      <c r="K57" s="3129" t="s">
        <v>2222</v>
      </c>
      <c r="L57" s="2489" t="s">
        <v>2223</v>
      </c>
      <c r="M57" s="1759"/>
      <c r="N57" s="1760">
        <f ca="1">SUMIF(M52:M56,"&lt;9e307")</f>
        <v>29410</v>
      </c>
      <c r="O57" s="2490"/>
      <c r="P57" s="1753">
        <f ca="1">N57/M49</f>
        <v>0.56741009415033183</v>
      </c>
    </row>
    <row r="58" spans="1:35" ht="25.2">
      <c r="A58" s="183" t="s">
        <v>2204</v>
      </c>
      <c r="B58" s="3094" t="s">
        <v>2224</v>
      </c>
      <c r="C58" s="3095"/>
      <c r="D58" s="185">
        <f ca="1">IF(H58="转让取得",C81,C97)</f>
        <v>29384</v>
      </c>
      <c r="E58" s="11" t="s">
        <v>2219</v>
      </c>
      <c r="F58" s="24" t="s">
        <v>34</v>
      </c>
      <c r="G58" s="2484"/>
      <c r="H58" s="2487" t="s">
        <v>2225</v>
      </c>
      <c r="I58" s="2488"/>
      <c r="J58" s="3129"/>
      <c r="K58" s="3129"/>
      <c r="L58" s="2489" t="s">
        <v>2226</v>
      </c>
      <c r="M58" s="1761"/>
      <c r="N58" s="2491" t="str">
        <f ca="1">NUMBERSTRING(INT(N57*10000),2)&amp;"元整"</f>
        <v>贰亿玖仟肆佰壹拾万元整</v>
      </c>
      <c r="O58" s="2492"/>
    </row>
    <row r="59" spans="1:35" ht="24.6" thickBot="1">
      <c r="A59" s="3132" t="s">
        <v>2227</v>
      </c>
      <c r="B59" s="3133"/>
      <c r="C59" s="3133"/>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130">
        <f>J57+1</f>
        <v>5</v>
      </c>
      <c r="K59" s="3129" t="s">
        <v>2229</v>
      </c>
      <c r="L59" s="1812" t="s">
        <v>2223</v>
      </c>
      <c r="M59" s="1762"/>
      <c r="N59" s="1763">
        <f ca="1">M49-N57</f>
        <v>22422</v>
      </c>
      <c r="O59" s="2494"/>
    </row>
    <row r="60" spans="1:35" ht="12" customHeight="1">
      <c r="A60" s="2495"/>
      <c r="B60" s="2417"/>
      <c r="C60" s="2417"/>
      <c r="D60" s="2417"/>
      <c r="E60" s="2164"/>
      <c r="F60" s="2488"/>
      <c r="G60" s="2488"/>
      <c r="H60" s="2496"/>
      <c r="I60" s="138"/>
      <c r="J60" s="3131"/>
      <c r="K60" s="3129"/>
      <c r="L60" s="2489" t="s">
        <v>2226</v>
      </c>
      <c r="M60" s="1761"/>
      <c r="N60" s="2491" t="str">
        <f ca="1">NUMBERSTRING(INT(N59*10000),2)&amp;"元整"</f>
        <v>贰亿贰仟肆佰贰拾贰万元整</v>
      </c>
      <c r="O60" s="2492"/>
    </row>
    <row r="61" spans="1:35" ht="13.8" thickBot="1">
      <c r="A61" s="3076" t="s">
        <v>2230</v>
      </c>
      <c r="B61" s="3076"/>
      <c r="C61" s="3076"/>
      <c r="D61" s="3076"/>
      <c r="E61" s="3076"/>
      <c r="F61" s="2488"/>
      <c r="G61" s="2488"/>
      <c r="H61" s="2496"/>
      <c r="I61" s="138"/>
      <c r="J61" s="1812">
        <f>J59+1</f>
        <v>6</v>
      </c>
      <c r="K61" s="3129" t="s">
        <v>2231</v>
      </c>
      <c r="L61" s="3129"/>
      <c r="M61" s="1764"/>
      <c r="N61" s="1765">
        <f ca="1">ROUND(N59*10000/'数据-汇总表'!E3,0)</f>
        <v>4218</v>
      </c>
      <c r="O61" s="2497"/>
    </row>
    <row r="62" spans="1:35" ht="13.2">
      <c r="A62" s="3092" t="s">
        <v>2232</v>
      </c>
      <c r="B62" s="3093"/>
      <c r="C62" s="1804"/>
      <c r="D62" s="1804" t="s">
        <v>2233</v>
      </c>
      <c r="E62" s="192" t="s">
        <v>2234</v>
      </c>
      <c r="F62" s="2488"/>
      <c r="G62" s="2488"/>
      <c r="H62" s="2496"/>
      <c r="I62" s="138"/>
    </row>
    <row r="63" spans="1:35" ht="13.2">
      <c r="A63" s="203" t="s">
        <v>775</v>
      </c>
      <c r="B63" s="193" t="s">
        <v>2235</v>
      </c>
      <c r="C63" s="194">
        <f ca="1">ROUND((C64+C65)/(1+'数据-取费表'!C42),0)</f>
        <v>49364</v>
      </c>
      <c r="D63" s="195"/>
      <c r="E63" s="196"/>
      <c r="F63" s="2488"/>
      <c r="G63" s="2488"/>
      <c r="H63" s="2496"/>
      <c r="I63" s="138"/>
      <c r="J63" s="3154" t="s">
        <v>2236</v>
      </c>
      <c r="K63" s="2498" t="s">
        <v>2237</v>
      </c>
      <c r="L63" s="1752">
        <f ca="1">IF(M49&gt;10000,M49*0.5%,IF(AND(M49&gt;1000,M49&lt;=10000),M49*1%,IF(AND(M49&gt;100,M49&lt;=1000),M49*3%,IF(AND(M49&gt;10,M49&lt;=100),M49*5%,M49*8%))))</f>
        <v>259.16000000000003</v>
      </c>
      <c r="M63" s="24">
        <f ca="1">ROUND(L63,1)</f>
        <v>259.2</v>
      </c>
      <c r="Z63" s="2422"/>
      <c r="AI63" s="2423"/>
    </row>
    <row r="64" spans="1:35" ht="14.25" customHeight="1">
      <c r="A64" s="197" t="s">
        <v>770</v>
      </c>
      <c r="B64" s="198" t="s">
        <v>2238</v>
      </c>
      <c r="C64" s="199">
        <f ca="1">D45</f>
        <v>51832</v>
      </c>
      <c r="D64" s="200" t="s">
        <v>32</v>
      </c>
      <c r="E64" s="201"/>
      <c r="F64" s="2488"/>
      <c r="G64" s="2488"/>
      <c r="H64" s="2496"/>
      <c r="I64" s="138"/>
      <c r="J64" s="3154"/>
      <c r="K64" s="2498" t="s">
        <v>2239</v>
      </c>
      <c r="L64" s="1752">
        <f ca="1">IF(M49&gt;2000,M49*0.5%,IF(AND(M49&gt;1000,M49&lt;=2000),M49*0.6%,IF(AND(M49&gt;500,M49&lt;=1000),M49*0.7%,IF(AND(M49&gt;200,M49&lt;=500),M49*0.8%,IF(AND(M49&gt;100,M49&lt;=200),M49*0.9%,IF(AND(M49&gt;50,M49&lt;=100),M49*1%,IF(AND(M49&gt;20,M49&lt;=50),M49*1.5%,IF(AND(M49&gt;10,M49&lt;=20),M49*2%,IF(AND(M49&gt;1,M49&lt;=10),M49*2.5%)))))))))</f>
        <v>259.16000000000003</v>
      </c>
      <c r="M64" s="24">
        <f t="shared" ref="M64:M65" ca="1" si="1">ROUND(L64,1)</f>
        <v>259.2</v>
      </c>
      <c r="N64" s="138" t="s">
        <v>2240</v>
      </c>
      <c r="Z64" s="2422"/>
      <c r="AI64" s="2423"/>
    </row>
    <row r="65" spans="1:35" ht="14.25" customHeight="1">
      <c r="A65" s="197" t="s">
        <v>771</v>
      </c>
      <c r="B65" s="198" t="s">
        <v>2241</v>
      </c>
      <c r="C65" s="202"/>
      <c r="D65" s="200"/>
      <c r="E65" s="201"/>
      <c r="F65" s="2488"/>
      <c r="G65" s="2488"/>
      <c r="H65" s="2496"/>
      <c r="I65" s="138"/>
      <c r="J65" s="3154"/>
      <c r="K65" s="2498" t="s">
        <v>2242</v>
      </c>
      <c r="L65" s="1752">
        <f ca="1">IF(M49&gt;1000,M49*0.1%,IF(AND(M49&gt;500,M49&lt;=1000),M49*0.5%,IF(AND(M49&gt;50,M49&lt;=500),M49*1%,IF(AND(M49&gt;1,M49&lt;=50),M49*1.5%))))</f>
        <v>51.832000000000001</v>
      </c>
      <c r="M65" s="24">
        <f t="shared" ca="1" si="1"/>
        <v>51.8</v>
      </c>
      <c r="N65" s="138" t="s">
        <v>2240</v>
      </c>
      <c r="Z65" s="2422"/>
      <c r="AI65" s="2423"/>
    </row>
    <row r="66" spans="1:35" ht="14.25" customHeight="1">
      <c r="A66" s="203" t="s">
        <v>772</v>
      </c>
      <c r="B66" s="204" t="s">
        <v>2243</v>
      </c>
      <c r="C66" s="205"/>
      <c r="D66" s="206" t="s">
        <v>32</v>
      </c>
      <c r="E66" s="1776" t="s">
        <v>1367</v>
      </c>
      <c r="F66" s="2488"/>
      <c r="G66" s="2488"/>
      <c r="H66" s="2496"/>
      <c r="I66" s="138"/>
      <c r="J66" s="3154"/>
      <c r="K66" s="2498" t="s">
        <v>2244</v>
      </c>
      <c r="L66" s="1752">
        <f ca="1">M49*0.5%</f>
        <v>259.16000000000003</v>
      </c>
      <c r="M66" s="24">
        <f ca="1">IF(L66&gt;0.5,0.5,ROUND(L66,0))</f>
        <v>0.5</v>
      </c>
      <c r="N66" s="138" t="s">
        <v>2245</v>
      </c>
      <c r="Z66" s="2422"/>
      <c r="AI66" s="2423"/>
    </row>
    <row r="67" spans="1:35" ht="14.25" customHeight="1">
      <c r="A67" s="203" t="s">
        <v>773</v>
      </c>
      <c r="B67" s="204" t="s">
        <v>2246</v>
      </c>
      <c r="C67" s="207">
        <f ca="1">C63-C66</f>
        <v>49364</v>
      </c>
      <c r="D67" s="200" t="s">
        <v>32</v>
      </c>
      <c r="E67" s="201"/>
      <c r="F67" s="2488"/>
      <c r="G67" s="2488"/>
      <c r="H67" s="2496"/>
      <c r="I67" s="138"/>
      <c r="J67" s="3154"/>
      <c r="K67" s="2498" t="s">
        <v>2247</v>
      </c>
      <c r="L67" s="1752">
        <f ca="1">IF(M49&gt;=10000,(8.25+(M49-10000)*0.01%),IF(AND(M49&gt;=8000,M49&lt;10000),(7.85+(M49-8000)*0.02%),IF(AND(M49&gt;=5000,M49&lt;8000),(6.65+(M49-5000)*0.04%),IF(AND(M49&gt;=2000,M49&lt;5000),(4.25+(PM49-2000)*0.08%),IF(AND(M49&gt;=1000,M49&lt;2000),(2.75+(M49-1000)*0.15%),IF(AND(M49&gt;=100,M49&lt;1000),(0.5+(M49-100)*0.25%),IF(AND(M49&gt;0,M49&lt;100),M49*0.5%)))))))</f>
        <v>12.433199999999999</v>
      </c>
      <c r="M67" s="24">
        <f ca="1">ROUND(L67*0.9,1)</f>
        <v>11.2</v>
      </c>
      <c r="Z67" s="2422"/>
      <c r="AI67" s="2423"/>
    </row>
    <row r="68" spans="1:35" ht="14.25" customHeight="1" thickBot="1">
      <c r="A68" s="208" t="s">
        <v>774</v>
      </c>
      <c r="B68" s="209" t="s">
        <v>2248</v>
      </c>
      <c r="C68" s="210">
        <f ca="1">IF(C67&lt;=0,0,ROUND(C67*D68,0))</f>
        <v>2715</v>
      </c>
      <c r="D68" s="211">
        <f>'数据-取费表'!B41</f>
        <v>5.5000000000000007E-2</v>
      </c>
      <c r="E68" s="212"/>
      <c r="F68" s="2488"/>
      <c r="G68" s="2488"/>
      <c r="H68" s="2496"/>
      <c r="I68" s="138"/>
      <c r="J68" s="3154"/>
      <c r="K68" s="2498" t="s">
        <v>2249</v>
      </c>
      <c r="L68" s="1752">
        <f ca="1">IF(M49&gt;10000,M49*0.5%,IF(AND(M49&gt;5000,M49&lt;=10000),M49*1%,IF(AND(M49&gt;1000,M49&lt;=5000),M49*2%,IF(AND(M49&gt;200,M49&lt;=1000),M49*3%,M49*5%))))</f>
        <v>259.16000000000003</v>
      </c>
      <c r="M68" s="24">
        <f ca="1">ROUND(L68,1)</f>
        <v>259.2</v>
      </c>
      <c r="Z68" s="2422"/>
      <c r="AI68" s="2423"/>
    </row>
    <row r="69" spans="1:35" s="2445" customFormat="1" ht="16.5" customHeight="1">
      <c r="A69" s="2499"/>
      <c r="B69" s="2500"/>
      <c r="C69" s="2501"/>
      <c r="D69" s="2502"/>
      <c r="E69" s="2503"/>
      <c r="F69" s="2164"/>
      <c r="G69" s="2164"/>
      <c r="H69" s="2163"/>
      <c r="I69" s="2417"/>
      <c r="J69" s="3154"/>
      <c r="K69" s="2498" t="s">
        <v>2250</v>
      </c>
      <c r="L69" s="2504"/>
      <c r="M69" s="24">
        <f ca="1">ROUND(SUM(M63:M68),0)</f>
        <v>841</v>
      </c>
      <c r="N69" s="1753">
        <f ca="1">M69/M49</f>
        <v>1.6225497762000309E-2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13" t="s">
        <v>2251</v>
      </c>
      <c r="B70" s="3114"/>
      <c r="C70" s="3114"/>
      <c r="D70" s="3114"/>
      <c r="E70" s="3114"/>
      <c r="F70" s="3114"/>
      <c r="G70" s="3114"/>
      <c r="H70" s="311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092" t="s">
        <v>2232</v>
      </c>
      <c r="B71" s="3093"/>
      <c r="C71" s="1804"/>
      <c r="D71" s="1804"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2252</v>
      </c>
      <c r="C72" s="207">
        <f ca="1">ROUND(D45/(1+'数据-取费表'!C42),0)</f>
        <v>49364</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2253</v>
      </c>
      <c r="C73" s="207">
        <f ca="1">C74+C78</f>
        <v>247</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087" t="s">
        <v>2260</v>
      </c>
      <c r="F76" s="3064"/>
      <c r="G76" s="3064"/>
      <c r="H76" s="311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247</v>
      </c>
      <c r="D78" s="226">
        <f>'数据-取费表'!B43</f>
        <v>5.000000000000001E-3</v>
      </c>
      <c r="E78" s="3073" t="s">
        <v>2265</v>
      </c>
      <c r="F78" s="3074"/>
      <c r="G78" s="3074"/>
      <c r="H78" s="308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2266</v>
      </c>
      <c r="C79" s="207">
        <f ca="1">C72-C73</f>
        <v>49117</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198.85425101214574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2268</v>
      </c>
      <c r="C81" s="228">
        <f ca="1">ROUND(IF(C79&lt;=0,0,IF(C80&gt;=200%,C79*60%-C73*35%,IF(C80&gt;=100%,C79*50%-C73*15%,IF(C80&gt;=50%,C79*40%-C73*5%,IF(C80&lt;50%,C79*30%,0))))),0)</f>
        <v>29384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13" t="s">
        <v>2269</v>
      </c>
      <c r="B83" s="3114"/>
      <c r="C83" s="3114"/>
      <c r="D83" s="3114"/>
      <c r="E83" s="3114"/>
      <c r="F83" s="3114"/>
      <c r="G83" s="3114"/>
      <c r="H83" s="311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092" t="s">
        <v>2232</v>
      </c>
      <c r="B84" s="3093"/>
      <c r="C84" s="1804"/>
      <c r="D84" s="1804"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2252</v>
      </c>
      <c r="C85" s="207">
        <f ca="1">ROUND(D45/(1+'数据-取费表'!C42),0)</f>
        <v>49364</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2253</v>
      </c>
      <c r="C86" s="207">
        <f ca="1">IF(H88="仅含出让金",C87+C90+C91+C92+C93+C94,C87+C91+C92+C93+C94)</f>
        <v>247</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2270</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2271</v>
      </c>
      <c r="C88" s="236"/>
      <c r="D88" s="226"/>
      <c r="E88" s="237" t="s">
        <v>2272</v>
      </c>
      <c r="F88" s="1800"/>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2261</v>
      </c>
      <c r="C89" s="225">
        <f>ROUND(C88*D89,0)</f>
        <v>0</v>
      </c>
      <c r="D89" s="226">
        <f>'数据-取费表'!B48+'数据-取费表'!B49</f>
        <v>3.0499999999999999E-2</v>
      </c>
      <c r="E89" s="237" t="s">
        <v>2274</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2275</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73" t="s">
        <v>2278</v>
      </c>
      <c r="F91" s="3074"/>
      <c r="G91" s="3074"/>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73" t="s">
        <v>2282</v>
      </c>
      <c r="F92" s="3074"/>
      <c r="G92" s="3074"/>
      <c r="H92" s="308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247</v>
      </c>
      <c r="D93" s="226">
        <f>'数据-取费表'!B43</f>
        <v>5.000000000000001E-3</v>
      </c>
      <c r="E93" s="3073" t="s">
        <v>2265</v>
      </c>
      <c r="F93" s="3074"/>
      <c r="G93" s="3074"/>
      <c r="H93" s="308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084" t="s">
        <v>2286</v>
      </c>
      <c r="F94" s="3085"/>
      <c r="G94" s="3085"/>
      <c r="H94" s="308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2266</v>
      </c>
      <c r="C95" s="207">
        <f ca="1">ROUND(C85-C86,0)</f>
        <v>49117</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198.85425101214574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2268</v>
      </c>
      <c r="C97" s="228">
        <f ca="1">ROUND(IF(C95&lt;=0,0,IF(C96&gt;=200%,C95*60%-C86*35%,IF(C96&gt;=100%,C95*50%-C86*15%,IF(C96&gt;=50%,C95*40%-C86*5%,IF(C96&lt;50%,C95*30%,0))))),0)</f>
        <v>29384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2287</v>
      </c>
      <c r="B99" s="2417"/>
      <c r="C99" s="2417"/>
      <c r="D99" s="2417"/>
      <c r="E99" s="2164"/>
      <c r="F99" s="2164"/>
      <c r="G99" s="2164"/>
      <c r="H99" s="2163"/>
      <c r="I99" s="138"/>
    </row>
    <row r="100" spans="1:35" ht="18.75" customHeight="1">
      <c r="A100" s="3058" t="s">
        <v>2288</v>
      </c>
      <c r="B100" s="3059"/>
      <c r="C100" s="3059"/>
      <c r="D100" s="3075"/>
      <c r="E100" s="3059" t="s">
        <v>2289</v>
      </c>
      <c r="F100" s="3059"/>
      <c r="G100" s="3059"/>
      <c r="H100" s="3075"/>
      <c r="I100" s="138"/>
    </row>
    <row r="101" spans="1:35" ht="18.75" customHeight="1">
      <c r="A101" s="3137" t="s">
        <v>2290</v>
      </c>
      <c r="B101" s="3138"/>
      <c r="C101" s="736" t="str">
        <f>C4</f>
        <v>成本法</v>
      </c>
      <c r="D101" s="737" t="str">
        <f>D4</f>
        <v>收益法</v>
      </c>
      <c r="E101" s="3151" t="s">
        <v>2291</v>
      </c>
      <c r="F101" s="3105"/>
      <c r="G101" s="2519" t="s">
        <v>2292</v>
      </c>
      <c r="H101" s="1048">
        <f ca="1">H118</f>
        <v>51832</v>
      </c>
      <c r="I101" s="138"/>
    </row>
    <row r="102" spans="1:35" ht="18.75" customHeight="1">
      <c r="A102" s="3107" t="s">
        <v>2293</v>
      </c>
      <c r="B102" s="2519" t="s">
        <v>2292</v>
      </c>
      <c r="C102" s="736">
        <f ca="1">C19</f>
        <v>68410</v>
      </c>
      <c r="D102" s="737">
        <f ca="1">D19</f>
        <v>38268</v>
      </c>
      <c r="E102" s="3151"/>
      <c r="F102" s="3105"/>
      <c r="G102" s="2519" t="s">
        <v>2294</v>
      </c>
      <c r="H102" s="371">
        <f ca="1">I118</f>
        <v>9750</v>
      </c>
      <c r="I102" s="138"/>
    </row>
    <row r="103" spans="1:35" ht="42.75" customHeight="1">
      <c r="A103" s="3107"/>
      <c r="B103" s="2519" t="s">
        <v>2294</v>
      </c>
      <c r="C103" s="738">
        <f ca="1">C20</f>
        <v>12868</v>
      </c>
      <c r="D103" s="739">
        <f ca="1">D20</f>
        <v>7198</v>
      </c>
      <c r="E103" s="3146" t="s">
        <v>2295</v>
      </c>
      <c r="F103" s="3147"/>
      <c r="G103" s="2520" t="s">
        <v>2296</v>
      </c>
      <c r="H103" s="1048">
        <f>IF(D36="正常操作",H104+H105+H106,H105+H106)</f>
        <v>0</v>
      </c>
      <c r="I103" s="138"/>
    </row>
    <row r="104" spans="1:35" ht="18.75" customHeight="1">
      <c r="A104" s="3107" t="s">
        <v>2297</v>
      </c>
      <c r="B104" s="2521" t="s">
        <v>2292</v>
      </c>
      <c r="C104" s="740">
        <f ca="1">H118</f>
        <v>51832</v>
      </c>
      <c r="D104" s="741"/>
      <c r="E104" s="2265" t="s">
        <v>2298</v>
      </c>
      <c r="F104" s="2256"/>
      <c r="G104" s="2520" t="s">
        <v>2296</v>
      </c>
      <c r="H104" s="1049">
        <f>IF(D36="同一抵押权人同一抵押物续贷",C36&amp;"（未扣减，详见特别提示）",C36)</f>
        <v>0</v>
      </c>
      <c r="I104" s="138"/>
    </row>
    <row r="105" spans="1:35" ht="18.75" customHeight="1" thickBot="1">
      <c r="A105" s="3108"/>
      <c r="B105" s="2522" t="s">
        <v>2294</v>
      </c>
      <c r="C105" s="742">
        <f ca="1">I118</f>
        <v>9750</v>
      </c>
      <c r="D105" s="743"/>
      <c r="E105" s="2265" t="s">
        <v>2299</v>
      </c>
      <c r="F105" s="2256"/>
      <c r="G105" s="2520" t="s">
        <v>2296</v>
      </c>
      <c r="H105" s="1049">
        <f>C37</f>
        <v>0</v>
      </c>
      <c r="I105" s="138"/>
    </row>
    <row r="106" spans="1:35" ht="18.75" customHeight="1">
      <c r="A106" s="2417" t="s">
        <v>2300</v>
      </c>
      <c r="B106" s="2417"/>
      <c r="C106" s="2417"/>
      <c r="D106" s="2417"/>
      <c r="E106" s="2523" t="s">
        <v>2301</v>
      </c>
      <c r="F106" s="2256"/>
      <c r="G106" s="2520" t="s">
        <v>2296</v>
      </c>
      <c r="H106" s="1049">
        <f>C38</f>
        <v>0</v>
      </c>
      <c r="I106" s="138"/>
    </row>
    <row r="107" spans="1:35" ht="18.75" customHeight="1">
      <c r="A107" s="138"/>
      <c r="B107" s="138"/>
      <c r="C107" s="138"/>
      <c r="D107" s="138"/>
      <c r="E107" s="3104" t="str">
        <f>IF(项目基本情况!E8="已注销","——","3.房地产抵押价值")</f>
        <v>3.房地产抵押价值</v>
      </c>
      <c r="F107" s="3105"/>
      <c r="G107" s="2519" t="s">
        <v>2292</v>
      </c>
      <c r="H107" s="1048">
        <f ca="1">IF(E107="——","——",H101-H103)</f>
        <v>51832</v>
      </c>
      <c r="I107" s="138"/>
    </row>
    <row r="108" spans="1:35" ht="18.75" customHeight="1">
      <c r="A108" s="138"/>
      <c r="B108" s="138"/>
      <c r="C108" s="138"/>
      <c r="D108" s="138"/>
      <c r="E108" s="3104"/>
      <c r="F108" s="3105"/>
      <c r="G108" s="2519" t="s">
        <v>2294</v>
      </c>
      <c r="H108" s="371">
        <f ca="1">ROUND(H107*10000/'数据-汇总表'!E3,0)</f>
        <v>9750</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9" t="s">
        <v>2292</v>
      </c>
      <c r="H109" s="348" t="str">
        <f>IF(E109="——","——",H101-H105-H106)</f>
        <v>——</v>
      </c>
      <c r="I109" s="138"/>
    </row>
    <row r="110" spans="1:35" ht="18.75" customHeight="1">
      <c r="A110" s="138"/>
      <c r="B110" s="138"/>
      <c r="C110" s="138"/>
      <c r="D110" s="138"/>
      <c r="E110" s="3104"/>
      <c r="F110" s="3105"/>
      <c r="G110" s="2519" t="s">
        <v>2294</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9" t="s">
        <v>2292</v>
      </c>
      <c r="H111" s="1048" t="str">
        <f>IF(E111="——","——",N59)</f>
        <v>——</v>
      </c>
      <c r="I111" s="138"/>
    </row>
    <row r="112" spans="1:35" ht="18.75" customHeight="1" thickBot="1">
      <c r="A112" s="138"/>
      <c r="B112" s="138"/>
      <c r="C112" s="138"/>
      <c r="D112" s="138"/>
      <c r="E112" s="3141"/>
      <c r="F112" s="3142"/>
      <c r="G112" s="2524" t="s">
        <v>2294</v>
      </c>
      <c r="H112" s="790" t="str">
        <f>IF(E111="——","——",N61)</f>
        <v>——</v>
      </c>
      <c r="I112" s="138"/>
    </row>
    <row r="113" spans="1:11" ht="18.75" customHeight="1">
      <c r="A113" s="138"/>
      <c r="B113" s="138"/>
      <c r="C113" s="138"/>
      <c r="D113" s="138"/>
      <c r="E113" s="3109" t="s">
        <v>2300</v>
      </c>
      <c r="F113" s="3109"/>
      <c r="G113" s="3109"/>
      <c r="H113" s="3109"/>
      <c r="I113" s="138"/>
    </row>
    <row r="114" spans="1:11" ht="3.75" customHeight="1">
      <c r="A114" s="2417"/>
      <c r="B114" s="2417"/>
      <c r="C114" s="2417"/>
      <c r="D114" s="2417"/>
      <c r="E114" s="2495"/>
      <c r="F114" s="2495"/>
      <c r="G114" s="2495"/>
      <c r="H114" s="2495"/>
      <c r="I114" s="2417"/>
    </row>
    <row r="115" spans="1:11" ht="18.75" customHeight="1">
      <c r="A115" s="3122" t="s">
        <v>2302</v>
      </c>
      <c r="B115" s="3123"/>
      <c r="C115" s="3123"/>
      <c r="D115" s="3123"/>
      <c r="E115" s="3123"/>
      <c r="F115" s="3123"/>
      <c r="G115" s="3123"/>
      <c r="H115" s="3123"/>
      <c r="I115" s="3124"/>
    </row>
    <row r="116" spans="1:11" ht="27" customHeight="1">
      <c r="A116" s="3015" t="s">
        <v>2303</v>
      </c>
      <c r="B116" s="3110" t="s">
        <v>3092</v>
      </c>
      <c r="C116" s="3110" t="s">
        <v>3093</v>
      </c>
      <c r="D116" s="3126" t="s">
        <v>2304</v>
      </c>
      <c r="E116" s="3127"/>
      <c r="F116" s="3118" t="s">
        <v>3094</v>
      </c>
      <c r="G116" s="3118"/>
      <c r="H116" s="3015" t="s">
        <v>2305</v>
      </c>
      <c r="I116" s="3015"/>
    </row>
    <row r="117" spans="1:11" ht="18.75" customHeight="1">
      <c r="A117" s="3015"/>
      <c r="B117" s="3111"/>
      <c r="C117" s="3111"/>
      <c r="D117" s="1798" t="s">
        <v>2306</v>
      </c>
      <c r="E117" s="1798" t="s">
        <v>2307</v>
      </c>
      <c r="F117" s="1798" t="s">
        <v>2306</v>
      </c>
      <c r="G117" s="1798" t="s">
        <v>2308</v>
      </c>
      <c r="H117" s="1798" t="s">
        <v>2306</v>
      </c>
      <c r="I117" s="1798" t="s">
        <v>2308</v>
      </c>
    </row>
    <row r="118" spans="1:11" ht="24.75" customHeight="1">
      <c r="A118" s="2525" t="str">
        <f>项目基本情况!S2</f>
        <v>北京市顺义区京顺路99号1幢等5幢办公用房房地产</v>
      </c>
      <c r="B118" s="1798">
        <f>M18</f>
        <v>53162.09</v>
      </c>
      <c r="C118" s="1798">
        <f>M19</f>
        <v>63000</v>
      </c>
      <c r="D118" s="1798">
        <f ca="1">ROUND(IF(D32="总价",C34,E118*B118/10000),0)</f>
        <v>34779</v>
      </c>
      <c r="E118" s="1798">
        <f ca="1">ROUND(IF(C33="自定义",IF(D32="楼面单价",C34,D118*10000/B118),I118-G118),0)</f>
        <v>6542</v>
      </c>
      <c r="F118" s="1798">
        <f ca="1">ROUND(IF(D32="总价",C35,G118*B118/10000),0)</f>
        <v>17053</v>
      </c>
      <c r="G118" s="1798">
        <f ca="1">ROUND(IF(D32="楼面单价",C35,F118*10000/B118),0)</f>
        <v>3208</v>
      </c>
      <c r="H118" s="1798">
        <f ca="1">ROUND(IF(D32="总价",C32,I118*B118/10000),0)</f>
        <v>51832</v>
      </c>
      <c r="I118" s="1798">
        <f ca="1">ROUND(IF(D32="楼面单价",C32,H118*10000/B118),0)</f>
        <v>9750</v>
      </c>
    </row>
    <row r="119" spans="1:11" ht="18.75" customHeight="1">
      <c r="A119" s="3015" t="s">
        <v>2309</v>
      </c>
      <c r="B119" s="3015"/>
      <c r="C119" s="3015"/>
      <c r="D119" s="3115" t="str">
        <f ca="1">NUMBERSTRING(INT(D118*10000),2)&amp;"元整"</f>
        <v>叁亿肆仟柒佰柒拾玖万元整</v>
      </c>
      <c r="E119" s="3117"/>
      <c r="F119" s="3115" t="str">
        <f ca="1">NUMBERSTRING(INT(F118*10000),2)&amp;"元整"</f>
        <v>壹亿柒仟零伍拾叁万元整</v>
      </c>
      <c r="G119" s="3117"/>
      <c r="H119" s="3115" t="str">
        <f ca="1">NUMBERSTRING(INT(H118*10000),2)&amp;"元整"</f>
        <v>伍亿壹仟捌佰叁拾贰万元整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2" t="str">
        <f>IF(D120=0,"故，本次评估不存在"&amp;A120,"故，本次评估"&amp;A120&amp;"为人民币"&amp;D120&amp;"万元整。")</f>
        <v>故，本次评估不存在估价师知悉的法定优先受偿款</v>
      </c>
    </row>
    <row r="121" spans="1:11" ht="18.75" customHeight="1">
      <c r="A121" s="3119" t="s">
        <v>2309</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51832</v>
      </c>
      <c r="E122" s="3144"/>
      <c r="F122" s="3144"/>
      <c r="G122" s="3144"/>
      <c r="H122" s="3144"/>
      <c r="I122" s="3145"/>
    </row>
    <row r="123" spans="1:11" ht="18.75" customHeight="1">
      <c r="A123" s="3015" t="s">
        <v>2309</v>
      </c>
      <c r="B123" s="3015"/>
      <c r="C123" s="3015"/>
      <c r="D123" s="3115" t="str">
        <f ca="1">NUMBERSTRING(INT(D122*10000),2)&amp;"元整"</f>
        <v>伍亿壹仟捌佰叁拾贰万元整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2309</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2309</v>
      </c>
      <c r="B127" s="3015"/>
      <c r="C127" s="3015"/>
      <c r="D127" s="3115" t="e">
        <f>NUMBERSTRING(INT(D126*10000),2)&amp;"元整"</f>
        <v>#VALUE!</v>
      </c>
      <c r="E127" s="3116"/>
      <c r="F127" s="3116"/>
      <c r="G127" s="3116"/>
      <c r="H127" s="3116"/>
      <c r="I127" s="3117"/>
    </row>
    <row r="128" spans="1:11" ht="21.75" customHeight="1">
      <c r="A128" s="3125" t="s">
        <v>2310</v>
      </c>
      <c r="B128" s="3125"/>
      <c r="C128" s="3125"/>
      <c r="D128" s="3125"/>
      <c r="E128" s="3125"/>
      <c r="F128" s="3125"/>
      <c r="G128" s="3125"/>
      <c r="H128" s="3125"/>
      <c r="I128" s="3125"/>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2313</v>
      </c>
      <c r="G135" s="2543"/>
      <c r="H135" s="2543"/>
      <c r="I135" s="2544" t="s">
        <v>2314</v>
      </c>
    </row>
    <row r="136" spans="1:35" ht="21.75" customHeight="1">
      <c r="A136" s="795"/>
      <c r="B136" s="2545"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2316</v>
      </c>
    </row>
    <row r="139" spans="1:35" ht="21.75" customHeight="1">
      <c r="A139" s="795"/>
      <c r="B139" s="2545" t="s">
        <v>2317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2316</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40"/>
      <c r="C1" s="242"/>
      <c r="D1" s="242"/>
      <c r="E1" s="242"/>
      <c r="F1" s="242"/>
      <c r="G1" s="1382">
        <f>MATCH(B1,'数据-取费表'!A6:A16,0)+5</f>
        <v>7</v>
      </c>
    </row>
    <row r="2" spans="1:9" s="244" customFormat="1" ht="18" customHeight="1">
      <c r="A2" s="245" t="s">
        <v>2319</v>
      </c>
      <c r="B2" s="246">
        <f ca="1">IF(D2="——",C52,C52-E2)</f>
        <v>68410</v>
      </c>
      <c r="C2" s="243" t="s">
        <v>2320</v>
      </c>
      <c r="D2" s="2548" t="s">
        <v>70</v>
      </c>
      <c r="E2" s="1443">
        <f ca="1">SUMIF(INDIRECT("'"&amp;G2&amp;"'"&amp;"!A:A"),"承租人权益价值",INDIRECT("'"&amp;G2&amp;"'"&amp;"!c:c"))</f>
        <v>-1273</v>
      </c>
      <c r="F2" s="2549" t="s">
        <v>2320</v>
      </c>
      <c r="G2" s="2550" t="s">
        <v>3074</v>
      </c>
    </row>
    <row r="3" spans="1:9" s="244" customFormat="1" ht="18" customHeight="1" thickBot="1">
      <c r="A3" s="247" t="s">
        <v>2321</v>
      </c>
      <c r="B3" s="248">
        <f ca="1">ROUND(B2*10000/(IF(B1="",'数据-汇总表'!E3,INDIRECT("'数据-取费表'!k"&amp;$G$1))),0)</f>
        <v>12868</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 ca="1">C6+C7+C8</f>
        <v>34064</v>
      </c>
      <c r="D5" s="255" t="s">
        <v>2326</v>
      </c>
      <c r="E5" s="256" t="s">
        <v>2327</v>
      </c>
      <c r="F5" s="256" t="s">
        <v>2328</v>
      </c>
      <c r="G5" s="257"/>
    </row>
    <row r="6" spans="1:9" s="258" customFormat="1" ht="13.5" customHeight="1">
      <c r="A6" s="952" t="s">
        <v>2329</v>
      </c>
      <c r="B6" s="259" t="s">
        <v>2330</v>
      </c>
      <c r="C6" s="260">
        <f ca="1">基准地价修正!B2</f>
        <v>33056</v>
      </c>
      <c r="D6" s="261"/>
      <c r="E6" s="262"/>
      <c r="F6" s="262"/>
      <c r="G6" s="263"/>
    </row>
    <row r="7" spans="1:9" s="258" customFormat="1" ht="13.5" customHeight="1">
      <c r="A7" s="952" t="s">
        <v>2331</v>
      </c>
      <c r="B7" s="259" t="s">
        <v>2332</v>
      </c>
      <c r="C7" s="264">
        <f ca="1">ROUND(C6*F7,0)</f>
        <v>1008</v>
      </c>
      <c r="D7" s="264"/>
      <c r="E7" s="262"/>
      <c r="F7" s="265">
        <f>'数据-取费表'!B48+'数据-取费表'!B49</f>
        <v>3.0499999999999999E-2</v>
      </c>
      <c r="G7" s="263"/>
    </row>
    <row r="8" spans="1:9" s="267" customFormat="1">
      <c r="A8" s="952" t="s">
        <v>2333</v>
      </c>
      <c r="B8" s="259" t="s">
        <v>2334</v>
      </c>
      <c r="C8" s="264" t="str">
        <f>IF(G8="已包含在土地购买价格中","0",IF(B1="",'数据-取费表'!B29,IF(G9="全部缴纳",C9+C10,H9)))</f>
        <v>0</v>
      </c>
      <c r="D8" s="266"/>
      <c r="E8" s="264"/>
      <c r="F8" s="265"/>
      <c r="G8" s="2551" t="s">
        <v>1145</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2" t="s">
        <v>3084</v>
      </c>
      <c r="H9" s="1393"/>
      <c r="I9" s="2553" t="s">
        <v>2336</v>
      </c>
    </row>
    <row r="10" spans="1:9" s="258" customFormat="1" ht="13.5" customHeight="1">
      <c r="A10" s="953" t="s">
        <v>801</v>
      </c>
      <c r="B10" s="268" t="s">
        <v>2337</v>
      </c>
      <c r="C10" s="269">
        <f ca="1">ROUND(D10*E10/10000,0)</f>
        <v>1063</v>
      </c>
      <c r="D10" s="1035">
        <f ca="1">IF(B1="",'数据-汇总表'!E6,IF(INDIRECT("'数据-取费表'!c"&amp;$G$1)="住宅",INDIRECT("'数据-取费表'!s"&amp;$G$1),INDIRECT("'数据-取费表'!k"&amp;$G$1)+INDIRECT("'数据-取费表'!s"&amp;$G$1)))</f>
        <v>53162.09</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53162.09</v>
      </c>
      <c r="E19" s="255">
        <f>'数据-取费表'!B31</f>
        <v>200</v>
      </c>
      <c r="F19" s="275"/>
      <c r="G19" s="2551" t="s">
        <v>3080</v>
      </c>
    </row>
    <row r="20" spans="1:7" s="258" customFormat="1" ht="13.5" customHeight="1">
      <c r="A20" s="299" t="s">
        <v>2350</v>
      </c>
      <c r="B20" s="254" t="s">
        <v>2351</v>
      </c>
      <c r="C20" s="276">
        <f ca="1">ROUND((C5+C19)*F20,0)</f>
        <v>681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2480</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2456</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24</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6.4">
      <c r="A27" s="299" t="s">
        <v>2369</v>
      </c>
      <c r="B27" s="288" t="s">
        <v>2370</v>
      </c>
      <c r="C27" s="289">
        <f ca="1">C28</f>
        <v>5212</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5212</v>
      </c>
      <c r="D28" s="279"/>
      <c r="E28" s="280"/>
      <c r="F28" s="290"/>
      <c r="G28" s="291"/>
    </row>
    <row r="29" spans="1:7" s="258" customFormat="1" ht="13.5" customHeight="1">
      <c r="A29" s="954"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45932</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782</v>
      </c>
      <c r="B33" s="254" t="s">
        <v>2381</v>
      </c>
      <c r="C33" s="300">
        <f ca="1">SUM(C34:C38)</f>
        <v>20693</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18607</v>
      </c>
      <c r="D34" s="261"/>
      <c r="E34" s="264"/>
      <c r="F34" s="301">
        <f ca="1">IF('数据-取费表'!B24=0,1,IF(B1="",'数据-取费表'!N16,INDIRECT("'数据-取费表'!n"&amp;$G$1)))</f>
        <v>1</v>
      </c>
      <c r="G34" s="263" t="s">
        <v>2383</v>
      </c>
    </row>
    <row r="35" spans="1:7" ht="13.5" customHeight="1">
      <c r="A35" s="954" t="s">
        <v>796</v>
      </c>
      <c r="B35" s="259" t="s">
        <v>2384</v>
      </c>
      <c r="C35" s="264">
        <f ca="1">ROUND(C34*F35,0)</f>
        <v>744</v>
      </c>
      <c r="D35" s="264"/>
      <c r="E35" s="264"/>
      <c r="F35" s="303">
        <f>'数据-取费表'!B33</f>
        <v>0.04</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1063</v>
      </c>
      <c r="D37" s="261">
        <f ca="1">D19</f>
        <v>53162.09</v>
      </c>
      <c r="E37" s="293">
        <f>'数据-取费表'!B35</f>
        <v>200</v>
      </c>
      <c r="F37" s="303"/>
      <c r="G37" s="305" t="s">
        <v>2389</v>
      </c>
    </row>
    <row r="38" spans="1:7" ht="13.5" customHeight="1">
      <c r="A38" s="954" t="s">
        <v>799</v>
      </c>
      <c r="B38" s="259" t="s">
        <v>2390</v>
      </c>
      <c r="C38" s="264">
        <f ca="1">ROUND(C34*F38,0)</f>
        <v>279</v>
      </c>
      <c r="D38" s="264"/>
      <c r="E38" s="264"/>
      <c r="F38" s="303">
        <f>'数据-取费表'!B36</f>
        <v>1.4999999999999999E-2</v>
      </c>
      <c r="G38" s="263" t="s">
        <v>2385</v>
      </c>
    </row>
    <row r="39" spans="1:7" s="258" customFormat="1" ht="13.5" customHeight="1">
      <c r="A39" s="299" t="s">
        <v>2391</v>
      </c>
      <c r="B39" s="254" t="s">
        <v>2392</v>
      </c>
      <c r="C39" s="276">
        <f ca="1">ROUND(C33*F20,0)</f>
        <v>414</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733</v>
      </c>
      <c r="D42" s="282"/>
      <c r="E42" s="282"/>
      <c r="F42" s="283"/>
      <c r="G42" s="3157" t="s">
        <v>2401</v>
      </c>
    </row>
    <row r="43" spans="1:7" ht="13.5" customHeight="1">
      <c r="A43" s="954" t="s">
        <v>792</v>
      </c>
      <c r="B43" s="259" t="s">
        <v>2402</v>
      </c>
      <c r="C43" s="282">
        <f ca="1">ROUND(IF('数据-取费表'!B22&lt;=1,C39*F22*'数据-取费表'!B21/2,C39*(POWER((1+F22),'数据-取费表'!B21/2)-1)),0)</f>
        <v>15</v>
      </c>
      <c r="D43" s="282"/>
      <c r="E43" s="282"/>
      <c r="F43" s="283"/>
      <c r="G43" s="3158"/>
    </row>
    <row r="44" spans="1:7" ht="13.5" customHeight="1">
      <c r="A44" s="954" t="s">
        <v>793</v>
      </c>
      <c r="B44" s="259" t="s">
        <v>2403</v>
      </c>
      <c r="C44" s="282">
        <f ca="1">ROUND(IF('数据-取费表'!B22&lt;=1,C40*F22*'数据-取费表'!B21/2,C40*(POWER((1+F22),'数据-取费表'!B21/2)-1)),4)</f>
        <v>6.9999999999999999E-4</v>
      </c>
      <c r="D44" s="282"/>
      <c r="E44" s="282"/>
      <c r="F44" s="283"/>
      <c r="G44" s="3159"/>
    </row>
    <row r="45" spans="1:7" s="258" customFormat="1" ht="13.5" customHeight="1">
      <c r="A45" s="299" t="s">
        <v>2404</v>
      </c>
      <c r="B45" s="288" t="s">
        <v>2370</v>
      </c>
      <c r="C45" s="289">
        <f ca="1">C46</f>
        <v>3166</v>
      </c>
      <c r="D45" s="279">
        <f ca="1">C47</f>
        <v>3.0000000000000001E-3</v>
      </c>
      <c r="E45" s="280" t="s">
        <v>2396</v>
      </c>
      <c r="F45" s="290"/>
      <c r="G45" s="291" t="s">
        <v>2405</v>
      </c>
    </row>
    <row r="46" spans="1:7" s="258" customFormat="1" ht="13.5" customHeight="1">
      <c r="A46" s="954" t="s">
        <v>791</v>
      </c>
      <c r="B46" s="292" t="s">
        <v>2406</v>
      </c>
      <c r="C46" s="293">
        <f ca="1">ROUND((C33+C39)*F27,0)</f>
        <v>3166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27082</v>
      </c>
      <c r="D49" s="276"/>
      <c r="E49" s="276"/>
      <c r="F49" s="308"/>
      <c r="G49" s="278" t="s">
        <v>2411</v>
      </c>
    </row>
    <row r="50" spans="1:7" s="302" customFormat="1" ht="24">
      <c r="A50" s="299" t="s">
        <v>2412</v>
      </c>
      <c r="B50" s="254" t="s">
        <v>2413</v>
      </c>
      <c r="C50" s="276"/>
      <c r="D50" s="276"/>
      <c r="E50" s="276"/>
      <c r="F50" s="308">
        <f>IF('数据-取费表'!B24=0,'数据-取费表'!N16,1)</f>
        <v>0.83</v>
      </c>
      <c r="G50" s="291" t="s">
        <v>2414</v>
      </c>
    </row>
    <row r="51" spans="1:7" ht="16.5" customHeight="1">
      <c r="A51" s="299" t="s">
        <v>2415</v>
      </c>
      <c r="B51" s="254" t="s">
        <v>2416</v>
      </c>
      <c r="C51" s="276">
        <f ca="1">ROUND(C49*F50,0)</f>
        <v>22478</v>
      </c>
      <c r="D51" s="276"/>
      <c r="E51" s="276"/>
      <c r="F51" s="308"/>
      <c r="G51" s="278" t="s">
        <v>2417</v>
      </c>
    </row>
    <row r="52" spans="1:7" s="252" customFormat="1" ht="16.8" thickBot="1">
      <c r="A52" s="309" t="s">
        <v>2418</v>
      </c>
      <c r="B52" s="310"/>
      <c r="C52" s="311">
        <f ca="1">C31+C51</f>
        <v>68410</v>
      </c>
      <c r="D52" s="310"/>
      <c r="E52" s="310"/>
      <c r="F52" s="310"/>
      <c r="G52" s="312"/>
    </row>
    <row r="55" spans="1:7" ht="15">
      <c r="B55" s="314" t="s">
        <v>2419</v>
      </c>
      <c r="C55" s="315"/>
    </row>
    <row r="56" spans="1:7">
      <c r="B56" s="317" t="s">
        <v>1508</v>
      </c>
      <c r="C56" s="319">
        <f ca="1">1-C57</f>
        <v>0.67100000000000004</v>
      </c>
    </row>
    <row r="57" spans="1:7">
      <c r="B57" s="317" t="s">
        <v>1509</v>
      </c>
      <c r="C57" s="318">
        <f ca="1">ROUND(C51/C52,3)</f>
        <v>0.32900000000000001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北京市顺义区京顺路99号1幢等5幢办公用房房地产抵押价值预评估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北京博华东方教育投资管理咨询有限公司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康正预评字2019-1-0159-P01DYGJ1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40"/>
      <c r="C1" s="2554"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25345</v>
      </c>
      <c r="C2" s="243" t="s">
        <v>2320</v>
      </c>
      <c r="D2" s="2548" t="s">
        <v>70</v>
      </c>
      <c r="E2" s="1443" t="e">
        <f ca="1">SUMIF(INDIRECT("'"&amp;G2&amp;"'"&amp;"!A:A"),"承租人权益价值",INDIRECT("'"&amp;G2&amp;"'"&amp;"!c:c"))</f>
        <v>#REF!</v>
      </c>
      <c r="F2" s="2549" t="s">
        <v>2320</v>
      </c>
      <c r="G2" s="2550"/>
    </row>
    <row r="3" spans="1:8" s="244" customFormat="1" ht="18" customHeight="1" thickBot="1">
      <c r="A3" s="247" t="s">
        <v>2321</v>
      </c>
      <c r="B3" s="248">
        <f ca="1">ROUND(B2*10000/(IF(B1="",'数据-汇总表'!E3,INDIRECT("'数据-取费表'!k"&amp;$G$1))),0)</f>
        <v>4767</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10632418</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10632418</v>
      </c>
      <c r="D8" s="266"/>
      <c r="E8" s="264"/>
      <c r="F8" s="265"/>
      <c r="G8" s="2551"/>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10632418</v>
      </c>
      <c r="D10" s="1035">
        <f ca="1">IF(B1="",'数据-汇总表'!E6,IF(INDIRECT("'数据-取费表'!c"&amp;$G$1)="住宅",INDIRECT("'数据-取费表'!s"&amp;$G$1),INDIRECT("'数据-取费表'!k"&amp;$G$1)+INDIRECT("'数据-取费表'!s"&amp;$G$1)))</f>
        <v>53162.09</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10632418</v>
      </c>
      <c r="D19" s="1039">
        <f ca="1">D9+D10</f>
        <v>53162.09</v>
      </c>
      <c r="E19" s="255">
        <f>'数据-取费表'!B31</f>
        <v>200</v>
      </c>
      <c r="F19" s="275"/>
      <c r="G19" s="2551"/>
    </row>
    <row r="20" spans="1:7" s="258" customFormat="1" ht="13.5" customHeight="1">
      <c r="A20" s="299" t="s">
        <v>2431</v>
      </c>
      <c r="B20" s="254" t="s">
        <v>2432</v>
      </c>
      <c r="C20" s="276">
        <f ca="1">ROUND((C5+C19)*F20,0)</f>
        <v>425297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1548035</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766486</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766486</v>
      </c>
      <c r="D24" s="282"/>
      <c r="E24" s="282"/>
      <c r="F24" s="283"/>
      <c r="G24" s="284" t="s">
        <v>2443</v>
      </c>
    </row>
    <row r="25" spans="1:7" s="258" customFormat="1" ht="24">
      <c r="A25" s="954" t="s">
        <v>2333</v>
      </c>
      <c r="B25" s="259" t="s">
        <v>2444</v>
      </c>
      <c r="C25" s="1384">
        <f ca="1">ROUND(IF('数据-取费表'!B22&lt;=1,C20*F22*'数据-取费表'!B22/2,C20*(POWER((1+F22),'数据-取费表'!B22/2)-1)),0)</f>
        <v>15063</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6.4">
      <c r="A27" s="299" t="s">
        <v>2369</v>
      </c>
      <c r="B27" s="288" t="s">
        <v>2370</v>
      </c>
      <c r="C27" s="289">
        <f ca="1">C28</f>
        <v>3253520</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ROUND((C5+C19+C20)*F27,0)</f>
        <v>3253520</v>
      </c>
      <c r="D28" s="279"/>
      <c r="E28" s="280"/>
      <c r="F28" s="290"/>
      <c r="G28" s="291"/>
    </row>
    <row r="29" spans="1:7" s="258" customFormat="1" ht="13.5" customHeight="1">
      <c r="A29" s="954"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28673761</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206933436</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186067315</v>
      </c>
      <c r="D34" s="261"/>
      <c r="E34" s="264"/>
      <c r="F34" s="301"/>
      <c r="G34" s="263"/>
    </row>
    <row r="35" spans="1:7" ht="13.5" customHeight="1">
      <c r="A35" s="954" t="s">
        <v>796</v>
      </c>
      <c r="B35" s="259" t="s">
        <v>2384</v>
      </c>
      <c r="C35" s="264">
        <f ca="1">ROUND(C34*F35,0)</f>
        <v>7442693</v>
      </c>
      <c r="D35" s="264"/>
      <c r="E35" s="264"/>
      <c r="F35" s="303">
        <f>'数据-取费表'!B33</f>
        <v>0.04</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10632418</v>
      </c>
      <c r="D37" s="261">
        <f ca="1">D19</f>
        <v>53162.09</v>
      </c>
      <c r="E37" s="293">
        <f>'数据-取费表'!B35</f>
        <v>200</v>
      </c>
      <c r="F37" s="303"/>
      <c r="G37" s="305"/>
    </row>
    <row r="38" spans="1:7" ht="13.5" customHeight="1">
      <c r="A38" s="954" t="s">
        <v>799</v>
      </c>
      <c r="B38" s="259" t="s">
        <v>2390</v>
      </c>
      <c r="C38" s="264">
        <f ca="1">ROUND(C34*F38,0)</f>
        <v>2791010</v>
      </c>
      <c r="D38" s="264"/>
      <c r="E38" s="264"/>
      <c r="F38" s="303">
        <f>'数据-取费表'!B36</f>
        <v>1.4999999999999999E-2</v>
      </c>
      <c r="G38" s="263" t="s">
        <v>2385</v>
      </c>
    </row>
    <row r="39" spans="1:7" s="258" customFormat="1" ht="13.5" customHeight="1">
      <c r="A39" s="299" t="s">
        <v>2391</v>
      </c>
      <c r="B39" s="254" t="s">
        <v>2392</v>
      </c>
      <c r="C39" s="276">
        <f ca="1">ROUND(C33*F20,0)</f>
        <v>4138669</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7475658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7329076</v>
      </c>
      <c r="D42" s="282"/>
      <c r="E42" s="282"/>
      <c r="F42" s="283"/>
      <c r="G42" s="3157" t="s">
        <v>2448</v>
      </c>
    </row>
    <row r="43" spans="1:7" ht="13.5" customHeight="1">
      <c r="A43" s="954" t="s">
        <v>792</v>
      </c>
      <c r="B43" s="259" t="s">
        <v>2402</v>
      </c>
      <c r="C43" s="282">
        <f ca="1">ROUND(IF('数据-取费表'!B22&lt;=1,C39*F22*'数据-取费表'!B20/2,C39*(POWER((1+F22),'数据-取费表'!B20/2)-1)),0)</f>
        <v>146582</v>
      </c>
      <c r="D43" s="282"/>
      <c r="E43" s="282"/>
      <c r="F43" s="283"/>
      <c r="G43" s="3158"/>
    </row>
    <row r="44" spans="1:7" ht="13.5" customHeight="1">
      <c r="A44" s="954" t="s">
        <v>793</v>
      </c>
      <c r="B44" s="259" t="s">
        <v>2403</v>
      </c>
      <c r="C44" s="282">
        <f ca="1">ROUND(IF('数据-取费表'!B22&lt;=1,C40*F22*'数据-取费表'!B20/2,C40*(POWER((1+F22),'数据-取费表'!B20/2)-1)),4)</f>
        <v>6.9999999999999999E-4</v>
      </c>
      <c r="D44" s="282"/>
      <c r="E44" s="282"/>
      <c r="F44" s="283"/>
      <c r="G44" s="3159"/>
    </row>
    <row r="45" spans="1:7" s="258" customFormat="1" ht="13.5" customHeight="1">
      <c r="A45" s="299" t="s">
        <v>2404</v>
      </c>
      <c r="B45" s="288" t="s">
        <v>2370</v>
      </c>
      <c r="C45" s="289">
        <f ca="1">C46</f>
        <v>31660816</v>
      </c>
      <c r="D45" s="279">
        <f ca="1">C47</f>
        <v>3.0000000000000001E-3</v>
      </c>
      <c r="E45" s="280" t="s">
        <v>2396</v>
      </c>
      <c r="F45" s="290"/>
      <c r="G45" s="291" t="s">
        <v>2405</v>
      </c>
    </row>
    <row r="46" spans="1:7" s="258" customFormat="1" ht="13.5" customHeight="1">
      <c r="A46" s="954" t="s">
        <v>791</v>
      </c>
      <c r="B46" s="292" t="s">
        <v>2406</v>
      </c>
      <c r="C46" s="293">
        <f ca="1">ROUND((C33+C39)*F27,0)</f>
        <v>31660816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270817815</v>
      </c>
      <c r="D49" s="276"/>
      <c r="E49" s="276"/>
      <c r="F49" s="308"/>
      <c r="G49" s="278" t="s">
        <v>2411</v>
      </c>
    </row>
    <row r="50" spans="1:7" s="302" customFormat="1">
      <c r="A50" s="299" t="s">
        <v>2412</v>
      </c>
      <c r="B50" s="254" t="s">
        <v>2413</v>
      </c>
      <c r="C50" s="276"/>
      <c r="D50" s="276"/>
      <c r="E50" s="276"/>
      <c r="F50" s="308">
        <f>IF('数据-取费表'!B24=0,'数据-取费表'!N16,1)</f>
        <v>0.83</v>
      </c>
      <c r="G50" s="291"/>
    </row>
    <row r="51" spans="1:7" ht="16.5" customHeight="1">
      <c r="A51" s="299" t="s">
        <v>2415</v>
      </c>
      <c r="B51" s="254" t="s">
        <v>2450</v>
      </c>
      <c r="C51" s="276">
        <f ca="1">ROUND(C49*F50,0)</f>
        <v>224778786</v>
      </c>
      <c r="D51" s="276"/>
      <c r="E51" s="276"/>
      <c r="F51" s="308"/>
      <c r="G51" s="278" t="s">
        <v>2417</v>
      </c>
    </row>
    <row r="52" spans="1:7" s="252" customFormat="1" ht="16.8" thickBot="1">
      <c r="A52" s="309" t="s">
        <v>2418</v>
      </c>
      <c r="B52" s="310"/>
      <c r="C52" s="311">
        <f ca="1">C31+C51</f>
        <v>253452547</v>
      </c>
      <c r="D52" s="310"/>
      <c r="E52" s="310"/>
      <c r="F52" s="310"/>
      <c r="G52" s="312"/>
    </row>
    <row r="55" spans="1:7" ht="15">
      <c r="B55" s="314" t="s">
        <v>2419</v>
      </c>
      <c r="C55" s="315"/>
    </row>
    <row r="56" spans="1:7">
      <c r="B56" s="317" t="s">
        <v>1508</v>
      </c>
      <c r="C56" s="319">
        <f ca="1">1-C57</f>
        <v>0.11299999999999999</v>
      </c>
    </row>
    <row r="57" spans="1:7">
      <c r="B57" s="317" t="s">
        <v>1509</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2451</v>
      </c>
      <c r="B1" s="1584"/>
      <c r="C1" s="1585"/>
      <c r="D1" s="1583"/>
      <c r="E1" s="320"/>
      <c r="F1" s="320"/>
      <c r="G1" s="1584"/>
      <c r="H1" s="320"/>
      <c r="I1" s="320"/>
      <c r="J1" s="320"/>
      <c r="K1" s="320">
        <f>MATCH(C1,'数据-取费表'!A6:A16,0)+5</f>
        <v>7</v>
      </c>
    </row>
    <row r="2" spans="1:33" ht="18" customHeight="1">
      <c r="A2" s="245" t="s">
        <v>2319</v>
      </c>
      <c r="B2" s="248">
        <f ca="1">C32</f>
        <v>-1212</v>
      </c>
      <c r="C2" s="320" t="s">
        <v>2452</v>
      </c>
      <c r="D2" s="320"/>
      <c r="E2" s="320"/>
      <c r="F2" s="320"/>
      <c r="G2" s="320"/>
      <c r="H2" s="320"/>
      <c r="I2" s="320"/>
      <c r="J2" s="320"/>
      <c r="K2" s="320"/>
    </row>
    <row r="3" spans="1:33" ht="18" customHeight="1" thickBot="1">
      <c r="A3" s="247" t="s">
        <v>2321</v>
      </c>
      <c r="B3" s="248">
        <f ca="1">ROUND(B2*10000/IF(C1="",'数据-汇总表'!E3,INDIRECT("'数据-取费表'!K"&amp;$K$1)),0)</f>
        <v>-228</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5.2">
      <c r="A5" s="960" t="s">
        <v>2455</v>
      </c>
      <c r="B5" s="961" t="s">
        <v>2456</v>
      </c>
      <c r="C5" s="2555" t="s">
        <v>2457</v>
      </c>
      <c r="D5" s="2555" t="s">
        <v>2458</v>
      </c>
      <c r="E5" s="2555" t="s">
        <v>2459</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0.04</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53162.09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53162.09</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1063</v>
      </c>
      <c r="D18" s="1036"/>
      <c r="E18" s="24"/>
      <c r="F18" s="979"/>
      <c r="G18" s="2557"/>
      <c r="H18" s="1580"/>
      <c r="I18" s="2558"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2487</v>
      </c>
      <c r="C20" s="24">
        <f ca="1">ROUND(D20*E20/10000,0)</f>
        <v>1063</v>
      </c>
      <c r="D20" s="1036">
        <f ca="1">IF(C1="",'数据-汇总表'!E6,IF(INDIRECT("'数据-取费表'!c"&amp;$K$1)="住宅",INDIRECT("'数据-取费表'!s"&amp;$K$1),INDIRECT("'数据-取费表'!k"&amp;$K$1)+INDIRECT("'数据-取费表'!s"&amp;$K$1)))</f>
        <v>53162.09</v>
      </c>
      <c r="E20" s="24">
        <f>'数据-取费表'!B28</f>
        <v>200</v>
      </c>
      <c r="F20" s="979"/>
      <c r="G20" s="15"/>
      <c r="H20" s="984"/>
      <c r="I20" s="984"/>
      <c r="J20" s="984"/>
      <c r="K20" s="985"/>
    </row>
    <row r="21" spans="1:33" s="978" customFormat="1" ht="13.5" customHeight="1">
      <c r="A21" s="964" t="s">
        <v>802</v>
      </c>
      <c r="B21" s="988" t="s">
        <v>2488</v>
      </c>
      <c r="C21" s="989">
        <f ca="1">C16+C17+C18</f>
        <v>1063</v>
      </c>
      <c r="D21" s="990"/>
      <c r="E21" s="325"/>
      <c r="F21" s="325"/>
      <c r="G21" s="140" t="s">
        <v>2489</v>
      </c>
      <c r="H21" s="982"/>
      <c r="I21" s="982"/>
      <c r="J21" s="982"/>
      <c r="K21" s="983"/>
    </row>
    <row r="22" spans="1:33" s="978" customFormat="1" ht="13.5" customHeight="1">
      <c r="A22" s="964" t="s">
        <v>2461</v>
      </c>
      <c r="B22" s="988" t="s">
        <v>2490</v>
      </c>
      <c r="C22" s="989">
        <f ca="1">ROUND(C21*F22,0)</f>
        <v>21</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2501</v>
      </c>
      <c r="B28" s="2560" t="s">
        <v>2502</v>
      </c>
      <c r="C28" s="331">
        <f ca="1">C30</f>
        <v>163</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163</v>
      </c>
      <c r="D30" s="328"/>
      <c r="E30" s="329"/>
      <c r="F30" s="334"/>
      <c r="G30" s="140"/>
      <c r="H30" s="982"/>
      <c r="I30" s="982"/>
      <c r="J30" s="982"/>
      <c r="K30" s="983"/>
    </row>
    <row r="31" spans="1:33" s="978" customFormat="1" ht="13.5" customHeight="1" thickBot="1">
      <c r="A31" s="2561"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-1212</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E41" sqref="E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1583</v>
      </c>
      <c r="B1" s="782"/>
      <c r="C1" s="1840" t="s">
        <v>3071</v>
      </c>
      <c r="D1" s="1823" t="s">
        <v>70</v>
      </c>
      <c r="E1" s="1824" t="s">
        <v>1383</v>
      </c>
      <c r="F1" s="1286">
        <f ca="1">J53</f>
        <v>36.69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38268</v>
      </c>
      <c r="C2" s="1848" t="s">
        <v>1511</v>
      </c>
      <c r="D2" s="1848"/>
      <c r="E2" s="1849"/>
      <c r="F2" s="1850"/>
      <c r="G2" s="1851"/>
      <c r="H2" s="1843"/>
      <c r="I2" s="1843"/>
      <c r="J2" s="1843"/>
      <c r="K2" s="1844"/>
      <c r="L2" s="1843"/>
      <c r="M2" s="1843"/>
    </row>
    <row r="3" spans="1:37" ht="18" customHeight="1" thickBot="1">
      <c r="A3" s="1852" t="s">
        <v>1512</v>
      </c>
      <c r="B3" s="1853">
        <f ca="1">IF(ISERROR(B2*10000/F43),0,ROUND(B2*10000/F43,0))</f>
        <v>7198</v>
      </c>
      <c r="C3" s="1848" t="s">
        <v>1513</v>
      </c>
      <c r="D3" s="1848"/>
      <c r="E3" s="1849"/>
      <c r="F3" s="1850"/>
      <c r="G3" s="1851"/>
      <c r="H3" s="744" t="s">
        <v>1582</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2399</v>
      </c>
      <c r="D5" s="1825" t="s">
        <v>1398</v>
      </c>
      <c r="E5" s="1296"/>
      <c r="F5" s="1297"/>
      <c r="G5" s="1854"/>
      <c r="H5" s="344">
        <v>1</v>
      </c>
      <c r="I5" s="345" t="s">
        <v>1397</v>
      </c>
      <c r="J5" s="1295">
        <f ca="1">J6+J10+J12</f>
        <v>2273</v>
      </c>
      <c r="K5" s="1825" t="s">
        <v>1398</v>
      </c>
      <c r="L5" s="1296"/>
      <c r="M5" s="1297"/>
    </row>
    <row r="6" spans="1:37" ht="18" customHeight="1">
      <c r="A6" s="1294" t="s">
        <v>1032</v>
      </c>
      <c r="B6" s="3162" t="s">
        <v>1399</v>
      </c>
      <c r="C6" s="1299">
        <f ca="1">ROUND(F6*F8*F7*(1-F9)/10000,0)</f>
        <v>2396</v>
      </c>
      <c r="D6" s="164" t="s">
        <v>3023</v>
      </c>
      <c r="E6" s="347" t="s">
        <v>1401</v>
      </c>
      <c r="F6" s="348">
        <f ca="1">INDIRECT("'数据-取费表'!u"&amp;$G$1)</f>
        <v>1.3</v>
      </c>
      <c r="G6" s="1854"/>
      <c r="H6" s="1294" t="s">
        <v>1032</v>
      </c>
      <c r="I6" s="3162" t="s">
        <v>1399</v>
      </c>
      <c r="J6" s="346">
        <f ca="1">ROUND(M6*M8*M7*(1-M9)/10000,0)</f>
        <v>2270</v>
      </c>
      <c r="K6" s="164" t="s">
        <v>3022</v>
      </c>
      <c r="L6" s="347" t="s">
        <v>1401</v>
      </c>
      <c r="M6" s="348">
        <f ca="1">INDIRECT("'数据-取费表'!z"&amp;$G$1)</f>
        <v>1.3</v>
      </c>
    </row>
    <row r="7" spans="1:37" ht="18" customHeight="1">
      <c r="A7" s="1298"/>
      <c r="B7" s="3163"/>
      <c r="C7" s="1300"/>
      <c r="D7" s="352"/>
      <c r="E7" s="1301" t="s">
        <v>1402</v>
      </c>
      <c r="F7" s="348">
        <f ca="1">IF(INDIRECT("'数据-取费表'!ah"&amp;$G$1)="",INDIRECT("'数据-取费表'!k"&amp;$G$1),INDIRECT("'数据-取费表'!ah"&amp;$G$1))</f>
        <v>53162.09</v>
      </c>
      <c r="G7" s="1854"/>
      <c r="H7" s="349"/>
      <c r="I7" s="3163"/>
      <c r="J7" s="351"/>
      <c r="K7" s="352"/>
      <c r="L7" s="347" t="s">
        <v>1402</v>
      </c>
      <c r="M7" s="348">
        <f ca="1">F7</f>
        <v>53162.09</v>
      </c>
    </row>
    <row r="8" spans="1:37" ht="18" customHeight="1">
      <c r="A8" s="349"/>
      <c r="B8" s="3163"/>
      <c r="C8" s="351"/>
      <c r="D8" s="352"/>
      <c r="E8" s="347" t="s">
        <v>1403</v>
      </c>
      <c r="F8" s="348">
        <f ca="1">INDIRECT("'数据-取费表'!ai"&amp;$G$1)</f>
        <v>365</v>
      </c>
      <c r="G8" s="1854"/>
      <c r="H8" s="349"/>
      <c r="I8" s="3163"/>
      <c r="J8" s="351"/>
      <c r="K8" s="352"/>
      <c r="L8" s="347" t="s">
        <v>1403</v>
      </c>
      <c r="M8" s="348">
        <f ca="1">INDIRECT("'数据-取费表'!ai"&amp;$G$1)</f>
        <v>365</v>
      </c>
    </row>
    <row r="9" spans="1:37" ht="18" customHeight="1">
      <c r="A9" s="349"/>
      <c r="B9" s="3164"/>
      <c r="C9" s="351"/>
      <c r="D9" s="352"/>
      <c r="E9" s="347" t="s">
        <v>1404</v>
      </c>
      <c r="F9" s="357">
        <f ca="1">INDIRECT("'数据-取费表'!w"&amp;$G$1)</f>
        <v>0.05</v>
      </c>
      <c r="G9" s="1854"/>
      <c r="H9" s="349"/>
      <c r="I9" s="3164"/>
      <c r="J9" s="351"/>
      <c r="K9" s="352"/>
      <c r="L9" s="358" t="s">
        <v>1404</v>
      </c>
      <c r="M9" s="359">
        <f ca="1">INDIRECT("'数据-取费表'!ab"&amp;$G$1)</f>
        <v>0.1</v>
      </c>
    </row>
    <row r="10" spans="1:37" ht="18" customHeight="1">
      <c r="A10" s="1294" t="s">
        <v>1036</v>
      </c>
      <c r="B10" s="1826" t="s">
        <v>1405</v>
      </c>
      <c r="C10" s="361">
        <f ca="1">ROUND(IF(F10="押一",C6/12*F11,IF(F10="押二",C6/12*2*F11,IF(F10="押三",C6/12*3*F11,C11*F11))),0)</f>
        <v>3</v>
      </c>
      <c r="D10" s="1827" t="s">
        <v>3032</v>
      </c>
      <c r="E10" s="358" t="s">
        <v>1406</v>
      </c>
      <c r="F10" s="1369" t="s">
        <v>3085</v>
      </c>
      <c r="G10" s="1854"/>
      <c r="H10" s="1294" t="s">
        <v>1036</v>
      </c>
      <c r="I10" s="1826" t="s">
        <v>1405</v>
      </c>
      <c r="J10" s="346">
        <f ca="1">ROUND(IF(M10="押一",J6/12*M11,IF(M10="押二",J6/12*2*M11,IF(M10="押三",J6/12*3*M11,J11*M11))),0)</f>
        <v>3</v>
      </c>
      <c r="K10" s="1827" t="s">
        <v>3031</v>
      </c>
      <c r="L10" s="358" t="s">
        <v>1406</v>
      </c>
      <c r="M10" s="1369" t="s">
        <v>3085</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22478</v>
      </c>
      <c r="D13" s="1334" t="s">
        <v>1410</v>
      </c>
      <c r="E13" s="1334" t="s">
        <v>1411</v>
      </c>
      <c r="F13" s="1335">
        <f ca="1">INDIRECT("'数据-取费表'!y"&amp;$G$1)</f>
        <v>0.83</v>
      </c>
      <c r="G13" s="1854"/>
      <c r="H13" s="1332">
        <v>2</v>
      </c>
      <c r="I13" s="1333" t="s">
        <v>1409</v>
      </c>
      <c r="J13" s="1293">
        <f ca="1">ROUND(J14*J15,0)</f>
        <v>17874</v>
      </c>
      <c r="K13" s="1340" t="s">
        <v>1410</v>
      </c>
      <c r="L13" s="1855"/>
      <c r="M13" s="1856"/>
    </row>
    <row r="14" spans="1:37" ht="18" customHeight="1">
      <c r="A14" s="1204" t="s">
        <v>1031</v>
      </c>
      <c r="B14" s="347" t="s">
        <v>1412</v>
      </c>
      <c r="C14" s="363">
        <f ca="1">INDIRECT("'数据-取费表'!m"&amp;$G$1)+INDIRECT("'数据-取费表'!t"&amp;$G$1)</f>
        <v>18607</v>
      </c>
      <c r="D14" s="1803" t="s">
        <v>1413</v>
      </c>
      <c r="E14" s="1797"/>
      <c r="F14" s="364"/>
      <c r="G14" s="1854"/>
      <c r="H14" s="1204" t="s">
        <v>1032</v>
      </c>
      <c r="I14" s="347" t="s">
        <v>1414</v>
      </c>
      <c r="J14" s="24">
        <f ca="1">C29</f>
        <v>27082</v>
      </c>
      <c r="K14" s="15"/>
      <c r="L14" s="982"/>
      <c r="M14" s="983"/>
    </row>
    <row r="15" spans="1:37" s="1861" customFormat="1" ht="18" customHeight="1" thickBot="1">
      <c r="A15" s="1204" t="s">
        <v>1033</v>
      </c>
      <c r="B15" s="347" t="s">
        <v>1415</v>
      </c>
      <c r="C15" s="24">
        <f ca="1">ROUND(C14*F15,0)</f>
        <v>744</v>
      </c>
      <c r="D15" s="365" t="s">
        <v>1416</v>
      </c>
      <c r="E15" s="365" t="s">
        <v>1417</v>
      </c>
      <c r="F15" s="366">
        <f>'数据-取费表'!B33</f>
        <v>0.04</v>
      </c>
      <c r="G15" s="1857"/>
      <c r="H15" s="1342" t="s">
        <v>1036</v>
      </c>
      <c r="I15" s="1343" t="s">
        <v>1411</v>
      </c>
      <c r="J15" s="1352">
        <f ca="1">INDIRECT("'数据-取费表'!ad"&amp;$G$1)</f>
        <v>0.66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857</v>
      </c>
      <c r="K16" s="1340" t="s">
        <v>1420</v>
      </c>
      <c r="L16" s="1341"/>
      <c r="M16" s="1297"/>
    </row>
    <row r="17" spans="1:37" s="1861" customFormat="1" ht="18" customHeight="1">
      <c r="A17" s="1204" t="s">
        <v>1386</v>
      </c>
      <c r="B17" s="347" t="s">
        <v>1421</v>
      </c>
      <c r="C17" s="24">
        <f ca="1">ROUND(F17*(F43+INDIRECT("'数据-取费表'!S"&amp;$G$1))/10000,0)</f>
        <v>1063</v>
      </c>
      <c r="D17" s="347" t="s">
        <v>1422</v>
      </c>
      <c r="E17" s="347" t="s">
        <v>1423</v>
      </c>
      <c r="F17" s="26">
        <f>'数据-取费表'!B35</f>
        <v>200</v>
      </c>
      <c r="G17" s="1857"/>
      <c r="H17" s="1204" t="s">
        <v>1032</v>
      </c>
      <c r="I17" s="347" t="s">
        <v>1424</v>
      </c>
      <c r="J17" s="24">
        <f ca="1">ROUND(IF(项目基本情况!B11="自然人",J5*M17,J18+J19+J20),1)</f>
        <v>401.3</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279</v>
      </c>
      <c r="D18" s="347" t="s">
        <v>1416</v>
      </c>
      <c r="E18" s="347" t="s">
        <v>1417</v>
      </c>
      <c r="F18" s="367">
        <f>'数据-取费表'!B36</f>
        <v>1.4999999999999999E-2</v>
      </c>
      <c r="G18" s="1857"/>
      <c r="H18" s="1204" t="s">
        <v>1031</v>
      </c>
      <c r="I18" s="347" t="s">
        <v>1428</v>
      </c>
      <c r="J18" s="24">
        <f ca="1">ROUND(J5*M18/(1+'数据-取费表'!C42),2)</f>
        <v>119.06</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20693</v>
      </c>
      <c r="D19" s="140" t="s">
        <v>1431</v>
      </c>
      <c r="E19" s="1821"/>
      <c r="F19" s="26"/>
      <c r="G19" s="1854"/>
      <c r="H19" s="1204" t="s">
        <v>1033</v>
      </c>
      <c r="I19" s="347" t="s">
        <v>1432</v>
      </c>
      <c r="J19" s="24">
        <f ca="1">IF(K19="按租金收入计税",ROUND(J5*M19,2),ROUND(C29*M19*0.7,2))</f>
        <v>272.76</v>
      </c>
      <c r="K19" s="1831" t="s">
        <v>3086</v>
      </c>
      <c r="L19" s="347" t="s">
        <v>1417</v>
      </c>
      <c r="M19" s="367">
        <f>IF(K19="按租金收入计税",'数据-取费表'!B51,'数据-取费表'!B50)</f>
        <v>0.12</v>
      </c>
    </row>
    <row r="20" spans="1:37" s="1861" customFormat="1" ht="18" customHeight="1">
      <c r="A20" s="1204" t="s">
        <v>1036</v>
      </c>
      <c r="B20" s="347" t="s">
        <v>1434</v>
      </c>
      <c r="C20" s="24">
        <f ca="1">ROUND(C19*F20,0)</f>
        <v>414</v>
      </c>
      <c r="D20" s="369" t="s">
        <v>1435</v>
      </c>
      <c r="E20" s="347" t="s">
        <v>1417</v>
      </c>
      <c r="F20" s="367">
        <f>'数据-取费表'!B37</f>
        <v>0.02</v>
      </c>
      <c r="G20" s="1857"/>
      <c r="H20" s="1204" t="s">
        <v>1385</v>
      </c>
      <c r="I20" s="164" t="s">
        <v>1436</v>
      </c>
      <c r="J20" s="25">
        <f ca="1">ROUND(M20*M21/10000,2)</f>
        <v>9.4499999999999993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63000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406.2</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748</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26.8</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22.7</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1416</v>
      </c>
      <c r="K25" s="1348" t="s">
        <v>1459</v>
      </c>
      <c r="L25" s="1349"/>
      <c r="M25" s="1350"/>
    </row>
    <row r="26" spans="1:37">
      <c r="A26" s="1204" t="s">
        <v>1031</v>
      </c>
      <c r="B26" s="347" t="s">
        <v>1460</v>
      </c>
      <c r="C26" s="24">
        <f ca="1">ROUND((C19+C20)*F26,0)</f>
        <v>3166</v>
      </c>
      <c r="D26" s="369" t="s">
        <v>1461</v>
      </c>
      <c r="E26" s="358" t="s">
        <v>1462</v>
      </c>
      <c r="F26" s="357">
        <f ca="1">INDIRECT("'数据-取费表'!q"&amp;$G$1)</f>
        <v>0.15</v>
      </c>
      <c r="G26" s="1854"/>
      <c r="H26" s="344" t="s">
        <v>1029</v>
      </c>
      <c r="I26" s="345" t="s">
        <v>1463</v>
      </c>
      <c r="J26" s="346">
        <f ca="1">IF(J5&lt;&gt;0,ROUND(J25*(1-((1+M28)/(1+M26))^M27)/(M26-M28),0),0)</f>
        <v>0</v>
      </c>
      <c r="K26" s="370" t="s">
        <v>1464</v>
      </c>
      <c r="L26" s="347" t="s">
        <v>1465</v>
      </c>
      <c r="M26" s="357">
        <f ca="1">INDIRECT("'数据-取费表'!I"&amp;$G$1)</f>
        <v>0.05</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27082</v>
      </c>
      <c r="D29" s="1345"/>
      <c r="E29" s="1343"/>
      <c r="F29" s="1346"/>
      <c r="G29" s="1857"/>
      <c r="H29" s="380" t="s">
        <v>1030</v>
      </c>
      <c r="I29" s="381" t="s">
        <v>1474</v>
      </c>
      <c r="J29" s="382">
        <f ca="1">ROUND(J26/(1+F40)^F41,0)</f>
        <v>0</v>
      </c>
      <c r="K29" s="383" t="s">
        <v>1475</v>
      </c>
      <c r="L29" s="384"/>
      <c r="M29" s="385">
        <f ca="1">INDIRECT("'数据-取费表'!k"&amp;$G$1)</f>
        <v>53162.09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887</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423</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125.66</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287.88</v>
      </c>
      <c r="D33" s="1831" t="s">
        <v>3086</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9.4499999999999993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63000</v>
      </c>
      <c r="G35" s="1854"/>
      <c r="H35" s="745"/>
      <c r="I35" s="1863"/>
      <c r="J35" s="1864"/>
      <c r="K35" s="1865"/>
      <c r="L35" s="1862"/>
      <c r="M35" s="1862"/>
    </row>
    <row r="36" spans="1:18" ht="18" customHeight="1">
      <c r="A36" s="1355" t="s">
        <v>1036</v>
      </c>
      <c r="B36" s="347" t="s">
        <v>1444</v>
      </c>
      <c r="C36" s="24">
        <f ca="1">ROUND(C29*F36,1)</f>
        <v>406.2</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33.700000000000003</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24</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1512</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38268</v>
      </c>
      <c r="D40" s="370" t="s">
        <v>1464</v>
      </c>
      <c r="E40" s="347" t="s">
        <v>1465</v>
      </c>
      <c r="F40" s="357">
        <f ca="1">INDIRECT("'数据-取费表'!I"&amp;$G$1)</f>
        <v>0.05</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36.69</v>
      </c>
      <c r="G41" s="1854"/>
      <c r="H41" s="732"/>
      <c r="I41" s="1863"/>
      <c r="J41" s="1864"/>
      <c r="K41" s="751"/>
      <c r="L41" s="732"/>
      <c r="M41" s="732"/>
    </row>
    <row r="42" spans="1:18" ht="18" customHeight="1">
      <c r="A42" s="353"/>
      <c r="B42" s="354"/>
      <c r="C42" s="355"/>
      <c r="D42" s="373"/>
      <c r="E42" s="347" t="s">
        <v>1472</v>
      </c>
      <c r="F42" s="357">
        <f ca="1">INDIRECT("'数据-取费表'!v"&amp;$G$1)</f>
        <v>0.03</v>
      </c>
      <c r="G42" s="1854"/>
      <c r="H42" s="732"/>
      <c r="I42" s="1863"/>
      <c r="J42" s="1864"/>
      <c r="K42" s="751"/>
      <c r="L42" s="732"/>
      <c r="M42" s="732"/>
    </row>
    <row r="43" spans="1:18" ht="18" customHeight="1" thickBot="1">
      <c r="A43" s="380" t="s">
        <v>1030</v>
      </c>
      <c r="B43" s="381" t="s">
        <v>1482</v>
      </c>
      <c r="C43" s="382">
        <f ca="1">ROUND(C40*10000/F43,0)</f>
        <v>7198</v>
      </c>
      <c r="D43" s="383" t="s">
        <v>1483</v>
      </c>
      <c r="E43" s="384" t="s">
        <v>1484</v>
      </c>
      <c r="F43" s="385">
        <f ca="1">INDIRECT("'数据-取费表'!k"&amp;$G$1)</f>
        <v>53162.09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8" thickBot="1">
      <c r="A46" s="1873" t="s">
        <v>1515</v>
      </c>
      <c r="C46" s="1874">
        <f ca="1">C68-C40</f>
        <v>-1273</v>
      </c>
      <c r="D46" s="1875" t="str">
        <f>C2</f>
        <v>万元</v>
      </c>
      <c r="E46" s="1869"/>
      <c r="F46" s="1869"/>
      <c r="I46" s="1876" t="s">
        <v>1516</v>
      </c>
      <c r="J46" s="1877"/>
      <c r="K46" s="1878"/>
      <c r="L46" s="1879" t="str">
        <f ca="1">IF(M47="住宅",0,IF(L48&gt;J51,L60,J60))</f>
        <v>0</v>
      </c>
      <c r="O46" s="1880" t="s">
        <v>1517</v>
      </c>
      <c r="P46" s="1881" t="s">
        <v>1518</v>
      </c>
      <c r="Q46" s="1882" t="s">
        <v>1519</v>
      </c>
      <c r="R46" s="1882" t="s">
        <v>1520</v>
      </c>
    </row>
    <row r="47" spans="1:18" s="1845" customFormat="1" ht="13.8" thickBot="1">
      <c r="A47" s="1168" t="s">
        <v>1392</v>
      </c>
      <c r="B47" s="1200" t="s">
        <v>1393</v>
      </c>
      <c r="C47" s="1370" t="s">
        <v>1394</v>
      </c>
      <c r="D47" s="1200" t="s">
        <v>1395</v>
      </c>
      <c r="E47" s="1282" t="s">
        <v>1396</v>
      </c>
      <c r="F47" s="1283"/>
      <c r="G47" s="792"/>
      <c r="I47" s="1883" t="s">
        <v>1521</v>
      </c>
      <c r="J47" s="1884" t="s">
        <v>3081</v>
      </c>
      <c r="K47" s="1885" t="s">
        <v>1522</v>
      </c>
      <c r="L47" s="1886">
        <f ca="1">INDIRECT("'数据-取费表'!d"&amp;$G$1)</f>
        <v>50</v>
      </c>
      <c r="M47" s="1841" t="str">
        <f>IF(ISNUMBER(FIND("住宅",C1)),"住宅","非住宅")</f>
        <v>非住宅</v>
      </c>
      <c r="O47" s="1887" t="s">
        <v>1037</v>
      </c>
      <c r="P47" s="1888" t="s">
        <v>1523</v>
      </c>
      <c r="Q47" s="1889">
        <f ca="1">C40+J29</f>
        <v>38268</v>
      </c>
      <c r="R47" s="1889" t="s">
        <v>1524</v>
      </c>
    </row>
    <row r="48" spans="1:18" s="1845" customFormat="1" ht="40.200000000000003" thickBot="1">
      <c r="A48" s="1363" t="s">
        <v>1132</v>
      </c>
      <c r="B48" s="345" t="s">
        <v>1397</v>
      </c>
      <c r="C48" s="1820">
        <f ca="1">C49+C53+C55</f>
        <v>2623</v>
      </c>
      <c r="D48" s="1365"/>
      <c r="E48" s="1366"/>
      <c r="F48" s="1184"/>
      <c r="G48" s="792"/>
      <c r="H48" s="793"/>
      <c r="I48" s="1890" t="s">
        <v>1525</v>
      </c>
      <c r="J48" s="1891" t="s">
        <v>3082</v>
      </c>
      <c r="K48" s="1892" t="s">
        <v>1526</v>
      </c>
      <c r="L48" s="1893">
        <f ca="1">INDIRECT("'数据-取费表'!f"&amp;$G$1)</f>
        <v>36.69</v>
      </c>
      <c r="O48" s="1887" t="s">
        <v>1038</v>
      </c>
      <c r="P48" s="1888" t="s">
        <v>1527</v>
      </c>
      <c r="Q48" s="1889" t="str">
        <f ca="1">J60</f>
        <v>0</v>
      </c>
      <c r="R48" s="1889" t="s">
        <v>1528</v>
      </c>
    </row>
    <row r="49" spans="1:18" s="1845" customFormat="1" ht="13.8" thickBot="1">
      <c r="A49" s="1197" t="s">
        <v>1133</v>
      </c>
      <c r="B49" s="1832" t="s">
        <v>1485</v>
      </c>
      <c r="C49" s="1367">
        <f ca="1">ROUND(F49*F51*F50*(1-F52)/10000,0)</f>
        <v>2620</v>
      </c>
      <c r="D49" s="1279" t="s">
        <v>3024</v>
      </c>
      <c r="E49" s="1833" t="s">
        <v>1486</v>
      </c>
      <c r="F49" s="1284">
        <v>1.5</v>
      </c>
      <c r="G49" s="1894"/>
      <c r="H49" s="793"/>
      <c r="I49" s="1890" t="s">
        <v>1529</v>
      </c>
      <c r="J49" s="1895">
        <v>2006</v>
      </c>
      <c r="K49" s="1892" t="s">
        <v>1530</v>
      </c>
      <c r="L49" s="1896"/>
      <c r="O49" s="1897" t="s">
        <v>1039</v>
      </c>
      <c r="P49" s="1888" t="s">
        <v>1531</v>
      </c>
      <c r="Q49" s="1889">
        <f ca="1">C29</f>
        <v>27082</v>
      </c>
      <c r="R49" s="1889" t="s">
        <v>1524</v>
      </c>
    </row>
    <row r="50" spans="1:18" s="1845" customFormat="1" ht="13.8" thickBot="1">
      <c r="A50" s="1198"/>
      <c r="B50" s="1201"/>
      <c r="C50" s="1371"/>
      <c r="D50" s="1175"/>
      <c r="E50" s="1280" t="s">
        <v>1402</v>
      </c>
      <c r="F50" s="1281">
        <f ca="1">F7</f>
        <v>53162.09</v>
      </c>
      <c r="H50" s="793"/>
      <c r="I50" s="1890" t="s">
        <v>1532</v>
      </c>
      <c r="J50" s="1898">
        <f>SUMPRODUCT((I63:I65=J47)*(J62:L62=J48)*(J63:L65))</f>
        <v>50</v>
      </c>
      <c r="K50" s="1892" t="s">
        <v>1533</v>
      </c>
      <c r="L50" s="1896"/>
      <c r="M50" s="1899"/>
      <c r="O50" s="1897" t="s">
        <v>1040</v>
      </c>
      <c r="P50" s="1888" t="s">
        <v>1534</v>
      </c>
      <c r="Q50" s="1900" t="e">
        <f ca="1">J58</f>
        <v>#VALUE!</v>
      </c>
      <c r="R50" s="1889"/>
    </row>
    <row r="51" spans="1:18" s="1845" customFormat="1" ht="13.8" thickBot="1">
      <c r="A51" s="1199"/>
      <c r="B51" s="1201"/>
      <c r="C51" s="1202"/>
      <c r="D51" s="1175"/>
      <c r="E51" s="1203" t="s">
        <v>1403</v>
      </c>
      <c r="F51" s="348">
        <f ca="1">F8</f>
        <v>365</v>
      </c>
      <c r="I51" s="1901" t="s">
        <v>1535</v>
      </c>
      <c r="J51" s="1902">
        <f>IF(J49="",J50,J49+J50-YEAR('数据-取费表'!B2))</f>
        <v>37</v>
      </c>
      <c r="K51" s="1903" t="s">
        <v>1536</v>
      </c>
      <c r="L51" s="1904">
        <f ca="1">ROUND(-PV(INDIRECT("'数据-取费表'!h"&amp;$G$1),L48,(C39-C13*C76),0),0)</f>
        <v>-7097</v>
      </c>
      <c r="M51" s="1905"/>
      <c r="O51" s="1897" t="s">
        <v>1041</v>
      </c>
      <c r="P51" s="1888" t="s">
        <v>1537</v>
      </c>
      <c r="Q51" s="1900">
        <f>J52</f>
        <v>0.09</v>
      </c>
      <c r="R51" s="1889"/>
    </row>
    <row r="52" spans="1:18" s="1845" customFormat="1" ht="13.8" thickBot="1">
      <c r="A52" s="1199"/>
      <c r="B52" s="1201"/>
      <c r="C52" s="1202"/>
      <c r="D52" s="1175"/>
      <c r="E52" s="1203" t="s">
        <v>1404</v>
      </c>
      <c r="F52" s="1278">
        <v>0.1</v>
      </c>
      <c r="I52" s="1906" t="s">
        <v>1538</v>
      </c>
      <c r="J52" s="1907">
        <v>0.09</v>
      </c>
      <c r="K52" s="1906" t="s">
        <v>1539</v>
      </c>
      <c r="L52" s="1907"/>
      <c r="O52" s="1897" t="s">
        <v>1042</v>
      </c>
      <c r="P52" s="1888" t="s">
        <v>1540</v>
      </c>
      <c r="Q52" s="1889">
        <f ca="1">J53</f>
        <v>36.69</v>
      </c>
      <c r="R52" s="1889" t="s">
        <v>1541</v>
      </c>
    </row>
    <row r="53" spans="1:18" s="1845" customFormat="1" ht="36.6" thickBot="1">
      <c r="A53" s="1408" t="s">
        <v>1134</v>
      </c>
      <c r="B53" s="1834" t="s">
        <v>1405</v>
      </c>
      <c r="C53" s="361">
        <f ca="1">ROUND(IF(F53="押一",C49/12*F11,IF(F53="押二",C49/12*2*F11,IF(F53="押三",C49/12*3*F11,C54*F11))),0)</f>
        <v>3</v>
      </c>
      <c r="D53" s="1827" t="s">
        <v>3031</v>
      </c>
      <c r="E53" s="358" t="s">
        <v>1406</v>
      </c>
      <c r="F53" s="1369" t="s">
        <v>3085</v>
      </c>
      <c r="I53" s="1908" t="s">
        <v>1542</v>
      </c>
      <c r="J53" s="1909">
        <f ca="1">IF(M47="住宅",IF(D1="——",MAX(J51,L48),IF(D1="在建（套用方法）",MAX(J51,L48-'数据-取费表'!B24),MAX(J51,L48-'数据-取费表'!B20))),IF(D1="——",MIN(J51,L48),IF(D1="在建（套用方法）",MIN(J51,L48-'数据-取费表'!B24),IF(D1="土地（套用方法）",MIN(J51,L48-'数据-取费表'!B20)))))</f>
        <v>36.69</v>
      </c>
      <c r="K53" s="3160" t="s">
        <v>1543</v>
      </c>
      <c r="L53" s="3161"/>
      <c r="O53" s="1887" t="s">
        <v>1043</v>
      </c>
      <c r="P53" s="1888" t="s">
        <v>1544</v>
      </c>
      <c r="Q53" s="1889">
        <f ca="1">Q47+Q48</f>
        <v>38268</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8" thickBot="1">
      <c r="A55" s="1336" t="s">
        <v>1072</v>
      </c>
      <c r="B55" s="1830" t="s">
        <v>1408</v>
      </c>
      <c r="C55" s="1337"/>
      <c r="D55" s="1827"/>
      <c r="E55" s="1835"/>
      <c r="F55" s="1910"/>
      <c r="I55" s="1913" t="s">
        <v>1546</v>
      </c>
      <c r="J55" s="1914" t="e">
        <f ca="1">ROUND(IF(J47="钢混",J57/J50,1-(1-2%)*(J50-J57)/J50),3)</f>
        <v>#VALUE!</v>
      </c>
      <c r="K55" s="1915" t="s">
        <v>1547</v>
      </c>
      <c r="L55" s="1916" t="s">
        <v>3083</v>
      </c>
      <c r="O55" s="1880" t="s">
        <v>1517</v>
      </c>
      <c r="P55" s="1881" t="s">
        <v>1518</v>
      </c>
      <c r="Q55" s="1882" t="s">
        <v>1519</v>
      </c>
      <c r="R55" s="1882" t="s">
        <v>1520</v>
      </c>
    </row>
    <row r="56" spans="1:18" s="1845" customFormat="1" ht="37.200000000000003" thickTop="1" thickBot="1">
      <c r="A56" s="1179">
        <v>2</v>
      </c>
      <c r="B56" s="1180" t="s">
        <v>1409</v>
      </c>
      <c r="C56" s="276">
        <f ca="1">C13</f>
        <v>22478</v>
      </c>
      <c r="D56" s="1917"/>
      <c r="E56" s="1918"/>
      <c r="F56" s="1910"/>
      <c r="I56" s="1919" t="s">
        <v>1548</v>
      </c>
      <c r="J56" s="1920" t="s">
        <v>3066</v>
      </c>
      <c r="K56" s="1890" t="s">
        <v>1549</v>
      </c>
      <c r="L56" s="1893" t="str">
        <f ca="1">IF(L48&lt;J51,"——",L48-J53)</f>
        <v>——</v>
      </c>
      <c r="O56" s="1887" t="s">
        <v>1037</v>
      </c>
      <c r="P56" s="1888" t="s">
        <v>1523</v>
      </c>
      <c r="Q56" s="1889">
        <f ca="1">C40+J29</f>
        <v>38268</v>
      </c>
      <c r="R56" s="1889" t="s">
        <v>1524</v>
      </c>
    </row>
    <row r="57" spans="1:18" s="1845" customFormat="1" ht="24.6" thickBot="1">
      <c r="A57" s="1921"/>
      <c r="B57" s="1172" t="s">
        <v>1473</v>
      </c>
      <c r="C57" s="282">
        <f ca="1">C29</f>
        <v>27082</v>
      </c>
      <c r="D57" s="1922"/>
      <c r="E57" s="1923"/>
      <c r="F57" s="1924"/>
      <c r="I57" s="1925" t="s">
        <v>1550</v>
      </c>
      <c r="J57" s="1926" t="str">
        <f ca="1">IF(OR(M47="住宅",J51&lt;L48,J56="是"),"——",J51-L48)</f>
        <v>——</v>
      </c>
      <c r="K57" s="1890" t="s">
        <v>1551</v>
      </c>
      <c r="L57" s="1893" t="str">
        <f ca="1">IF(L48&lt;J51,"——",IF(L55="比较法",L49,IF(L55="基准地价",L50,L51)))</f>
        <v>——</v>
      </c>
      <c r="O57" s="1887" t="s">
        <v>1038</v>
      </c>
      <c r="P57" s="1888" t="s">
        <v>1552</v>
      </c>
      <c r="Q57" s="1889">
        <f ca="1">L60</f>
        <v>0</v>
      </c>
      <c r="R57" s="1889" t="s">
        <v>1553</v>
      </c>
    </row>
    <row r="58" spans="1:18" s="1845" customFormat="1" ht="24.6" thickBot="1">
      <c r="A58" s="360" t="s">
        <v>1027</v>
      </c>
      <c r="B58" s="1180" t="s">
        <v>1419</v>
      </c>
      <c r="C58" s="361">
        <f ca="1">ROUND(C59+C64+C65+C66,0)</f>
        <v>928</v>
      </c>
      <c r="D58" s="1182" t="s">
        <v>1420</v>
      </c>
      <c r="E58" s="1183"/>
      <c r="F58" s="1184"/>
      <c r="I58" s="1925" t="s">
        <v>1554</v>
      </c>
      <c r="J58" s="1927" t="e">
        <f ca="1">IF(J55&lt;0.4,0.4,J55)</f>
        <v>#VALUE!</v>
      </c>
      <c r="K58" s="1903" t="s">
        <v>1555</v>
      </c>
      <c r="L58" s="1893" t="e">
        <f ca="1">ROUND(POWER(1+L52,L47-L48)*(POWER(1+L52,L48)-1)/(POWER(1+L52,L47)-1),4)</f>
        <v>#DIV/0!</v>
      </c>
      <c r="O58" s="1897" t="s">
        <v>1039</v>
      </c>
      <c r="P58" s="1888" t="s">
        <v>1556</v>
      </c>
      <c r="Q58" s="1889">
        <f>IF(L55="比较法",L49,IF(L55="基准地价",L50,0))</f>
        <v>0</v>
      </c>
      <c r="R58" s="1889" t="s">
        <v>1524</v>
      </c>
    </row>
    <row r="59" spans="1:18" s="1845" customFormat="1" ht="24.6" thickBot="1">
      <c r="A59" s="1204" t="s">
        <v>1032</v>
      </c>
      <c r="B59" s="1172" t="s">
        <v>1424</v>
      </c>
      <c r="C59" s="24">
        <f ca="1">ROUND(IF(项目基本情况!B11="自然人",C48*F59,C60+C61+C62),1)</f>
        <v>461.6</v>
      </c>
      <c r="D59" s="1185" t="s">
        <v>1425</v>
      </c>
      <c r="E59" s="1186" t="s">
        <v>1426</v>
      </c>
      <c r="F59" s="368" t="str">
        <f ca="1">IF(项目基本情况!B11="企业","",IF(INDIRECT("'数据-取费表'!c"&amp;$G$1)="住宅",5%,IF(F49*F50*F51/12/(1+'数据-取费表'!C42)&gt;20000,12%,7%)))</f>
        <v/>
      </c>
      <c r="I59" s="1925" t="s">
        <v>1557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1558</v>
      </c>
      <c r="Q59" s="1900">
        <f>L52</f>
        <v>0</v>
      </c>
      <c r="R59" s="1889"/>
    </row>
    <row r="60" spans="1:18" s="1845" customFormat="1" ht="16.2" thickBot="1">
      <c r="A60" s="1204" t="s">
        <v>1031</v>
      </c>
      <c r="B60" s="1172" t="s">
        <v>1428</v>
      </c>
      <c r="C60" s="24">
        <f ca="1">IF(项目基本情况!B11="自然人","——",ROUND(C48*F60/(1+'数据-取费表'!C42),2))</f>
        <v>137.4</v>
      </c>
      <c r="D60" s="1186" t="s">
        <v>1429</v>
      </c>
      <c r="E60" s="1172" t="s">
        <v>1417</v>
      </c>
      <c r="F60" s="377">
        <f t="shared" ref="F60:F66" si="0">F32</f>
        <v>5.5000000000000007E-2</v>
      </c>
      <c r="I60" s="1928" t="s">
        <v>1559</v>
      </c>
      <c r="J60" s="1929" t="str">
        <f ca="1">IF(OR(M47="住宅",J51&lt;L48,J56="是"),"0",ROUND(J59/(1+J52)^J53,0))</f>
        <v>0</v>
      </c>
      <c r="K60" s="1930" t="s">
        <v>1560</v>
      </c>
      <c r="L60" s="1929">
        <f ca="1">IF(OR(M47="住宅",L48&lt;J51),0,ROUND(L57*(L58/L59-1),0))</f>
        <v>0</v>
      </c>
      <c r="O60" s="1897" t="s">
        <v>1041</v>
      </c>
      <c r="P60" s="1888" t="s">
        <v>1561</v>
      </c>
      <c r="Q60" s="1889" t="e">
        <f ca="1">L58</f>
        <v>#DIV/0!</v>
      </c>
      <c r="R60" s="1889" t="s">
        <v>1562</v>
      </c>
    </row>
    <row r="61" spans="1:18" s="1845" customFormat="1" ht="13.8" thickBot="1">
      <c r="A61" s="1204" t="s">
        <v>1487</v>
      </c>
      <c r="B61" s="1172" t="s">
        <v>1488</v>
      </c>
      <c r="C61" s="24">
        <f ca="1">IF(项目基本情况!B11="自然人","——",IF(D61="按租金收入计税",ROUND(C48*F61,2),IF(D61="按房产原值计税",ROUND(C57*F61*0.7,2),INDIRECT("'数据-取费表'!Aj"&amp;$G$1))))</f>
        <v>314.76</v>
      </c>
      <c r="D61" s="1831" t="s">
        <v>3086</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1563</v>
      </c>
    </row>
    <row r="62" spans="1:18" s="1845" customFormat="1" ht="13.8" thickBot="1">
      <c r="A62" s="1204" t="s">
        <v>1490</v>
      </c>
      <c r="B62" s="1171" t="s">
        <v>1491</v>
      </c>
      <c r="C62" s="25">
        <f ca="1">IF(项目基本情况!B11="自然人","——",ROUND(F62*F63/10000,2))</f>
        <v>9.4499999999999993</v>
      </c>
      <c r="D62" s="1187" t="s">
        <v>1492</v>
      </c>
      <c r="E62" s="1172" t="s">
        <v>1493</v>
      </c>
      <c r="F62" s="371">
        <f t="shared" si="0"/>
        <v>1.5</v>
      </c>
      <c r="I62" s="1932" t="s">
        <v>1564</v>
      </c>
      <c r="J62" s="1933" t="s">
        <v>1565</v>
      </c>
      <c r="K62" s="1933" t="s">
        <v>1566</v>
      </c>
      <c r="L62" s="1933" t="s">
        <v>1567</v>
      </c>
      <c r="M62" s="1934" t="s">
        <v>1568</v>
      </c>
      <c r="O62" s="1887" t="s">
        <v>1043</v>
      </c>
      <c r="P62" s="1888" t="s">
        <v>1569</v>
      </c>
      <c r="Q62" s="1889">
        <f ca="1">Q56+Q57</f>
        <v>38268</v>
      </c>
      <c r="R62" s="1889" t="s">
        <v>1044</v>
      </c>
    </row>
    <row r="63" spans="1:18" s="1845" customFormat="1" ht="13.8" thickBot="1">
      <c r="A63" s="372"/>
      <c r="B63" s="1178"/>
      <c r="C63" s="29"/>
      <c r="D63" s="1188"/>
      <c r="E63" s="1172" t="s">
        <v>1494</v>
      </c>
      <c r="F63" s="348">
        <f t="shared" ca="1" si="0"/>
        <v>63000</v>
      </c>
      <c r="I63" s="1932" t="s">
        <v>1570</v>
      </c>
      <c r="J63" s="1933">
        <v>70</v>
      </c>
      <c r="K63" s="1933">
        <v>50</v>
      </c>
      <c r="L63" s="1933">
        <v>80</v>
      </c>
      <c r="M63" s="1935">
        <v>0.02</v>
      </c>
      <c r="O63" s="1872" t="s">
        <v>1571</v>
      </c>
      <c r="P63" s="1842"/>
      <c r="Q63" s="1842"/>
      <c r="R63" s="1842"/>
    </row>
    <row r="64" spans="1:18" s="1845" customFormat="1" ht="13.8" thickBot="1">
      <c r="A64" s="1204" t="s">
        <v>1495</v>
      </c>
      <c r="B64" s="1172" t="s">
        <v>1496</v>
      </c>
      <c r="C64" s="24">
        <f ca="1">ROUND(C57*F64,1)</f>
        <v>406.2</v>
      </c>
      <c r="D64" s="1186" t="s">
        <v>1497</v>
      </c>
      <c r="E64" s="1172" t="s">
        <v>1489</v>
      </c>
      <c r="F64" s="374">
        <f t="shared" ca="1" si="0"/>
        <v>1.4999999999999999E-2</v>
      </c>
      <c r="I64" s="1932" t="s">
        <v>1572</v>
      </c>
      <c r="J64" s="1933">
        <v>50</v>
      </c>
      <c r="K64" s="1933">
        <v>35</v>
      </c>
      <c r="L64" s="1933">
        <v>60</v>
      </c>
      <c r="M64" s="1934">
        <v>0</v>
      </c>
      <c r="O64" s="1880" t="s">
        <v>1517</v>
      </c>
      <c r="P64" s="1881" t="s">
        <v>1518</v>
      </c>
      <c r="Q64" s="1882" t="s">
        <v>1519</v>
      </c>
      <c r="R64" s="1882" t="s">
        <v>1520</v>
      </c>
    </row>
    <row r="65" spans="1:18" s="1845" customFormat="1" ht="13.8" thickBot="1">
      <c r="A65" s="1204" t="s">
        <v>1498</v>
      </c>
      <c r="B65" s="1172" t="s">
        <v>1448</v>
      </c>
      <c r="C65" s="24">
        <f ca="1">ROUND(C56*F65,1)</f>
        <v>33.700000000000003</v>
      </c>
      <c r="D65" s="1186" t="s">
        <v>1449</v>
      </c>
      <c r="E65" s="1172" t="s">
        <v>1450</v>
      </c>
      <c r="F65" s="376">
        <f t="shared" ca="1" si="0"/>
        <v>1.5E-3</v>
      </c>
      <c r="I65" s="1932" t="s">
        <v>1573</v>
      </c>
      <c r="J65" s="1933">
        <v>40</v>
      </c>
      <c r="K65" s="1933">
        <v>30</v>
      </c>
      <c r="L65" s="1933">
        <v>50</v>
      </c>
      <c r="M65" s="1935">
        <v>0.02</v>
      </c>
      <c r="O65" s="1887" t="s">
        <v>1037</v>
      </c>
      <c r="P65" s="1888" t="s">
        <v>1574</v>
      </c>
      <c r="Q65" s="1889">
        <f ca="1">C40+J29</f>
        <v>38268</v>
      </c>
      <c r="R65" s="1889" t="s">
        <v>1524</v>
      </c>
    </row>
    <row r="66" spans="1:18" s="1845" customFormat="1" ht="16.2" thickBot="1">
      <c r="A66" s="1204" t="s">
        <v>1499</v>
      </c>
      <c r="B66" s="1172" t="s">
        <v>1434</v>
      </c>
      <c r="C66" s="24">
        <f ca="1">ROUND(C48*F66,1)</f>
        <v>26.2</v>
      </c>
      <c r="D66" s="1186" t="s">
        <v>1500</v>
      </c>
      <c r="E66" s="1172" t="s">
        <v>1417</v>
      </c>
      <c r="F66" s="357">
        <f t="shared" ca="1" si="0"/>
        <v>0.01</v>
      </c>
      <c r="O66" s="1887" t="s">
        <v>1038</v>
      </c>
      <c r="P66" s="1888" t="s">
        <v>1552</v>
      </c>
      <c r="Q66" s="1889">
        <f ca="1">L60</f>
        <v>0</v>
      </c>
      <c r="R66" s="1889" t="s">
        <v>1575</v>
      </c>
    </row>
    <row r="67" spans="1:18" s="1845" customFormat="1" ht="24.6" thickBot="1">
      <c r="A67" s="1179" t="s">
        <v>1028</v>
      </c>
      <c r="B67" s="1189" t="s">
        <v>1458</v>
      </c>
      <c r="C67" s="361">
        <f ca="1">C48-C58</f>
        <v>1695</v>
      </c>
      <c r="D67" s="1185" t="s">
        <v>1459</v>
      </c>
      <c r="E67" s="1190"/>
      <c r="F67" s="1191"/>
      <c r="O67" s="1897" t="s">
        <v>1039</v>
      </c>
      <c r="P67" s="1888" t="s">
        <v>1556</v>
      </c>
      <c r="Q67" s="1936">
        <f ca="1">L51</f>
        <v>-7097</v>
      </c>
      <c r="R67" s="1889" t="s">
        <v>1576</v>
      </c>
    </row>
    <row r="68" spans="1:18" s="1845" customFormat="1" ht="16.2" thickBot="1">
      <c r="A68" s="1169" t="s">
        <v>1029</v>
      </c>
      <c r="B68" s="1170" t="s">
        <v>1480</v>
      </c>
      <c r="C68" s="346">
        <f ca="1">ROUND(C67*(1-((1+F70)/(1+F68))^F69)/(F68-F70),0)</f>
        <v>36995</v>
      </c>
      <c r="D68" s="1187" t="s">
        <v>1464</v>
      </c>
      <c r="E68" s="1172" t="s">
        <v>1465</v>
      </c>
      <c r="F68" s="357">
        <f ca="1">F40</f>
        <v>0.05</v>
      </c>
      <c r="O68" s="1897" t="s">
        <v>1040</v>
      </c>
      <c r="P68" s="1937" t="s">
        <v>1577</v>
      </c>
      <c r="Q68" s="1889">
        <f ca="1">ROUND(Q69-Q70*Q71,0)</f>
        <v>-399</v>
      </c>
      <c r="R68" s="1889" t="s">
        <v>1048</v>
      </c>
    </row>
    <row r="69" spans="1:18" s="1845" customFormat="1" ht="13.8" thickBot="1">
      <c r="A69" s="1173"/>
      <c r="B69" s="1174"/>
      <c r="C69" s="351"/>
      <c r="D69" s="1192" t="s">
        <v>1468</v>
      </c>
      <c r="E69" s="1172" t="s">
        <v>1469</v>
      </c>
      <c r="F69" s="379">
        <f ca="1">F41</f>
        <v>36.69</v>
      </c>
      <c r="O69" s="1897" t="s">
        <v>1045</v>
      </c>
      <c r="P69" s="1937" t="s">
        <v>1578</v>
      </c>
      <c r="Q69" s="1889">
        <f ca="1">C39</f>
        <v>1512</v>
      </c>
      <c r="R69" s="1889" t="s">
        <v>1524</v>
      </c>
    </row>
    <row r="70" spans="1:18" s="1845" customFormat="1" ht="13.8" thickBot="1">
      <c r="A70" s="1176"/>
      <c r="B70" s="1177"/>
      <c r="C70" s="355"/>
      <c r="D70" s="1188"/>
      <c r="E70" s="1172" t="s">
        <v>1472</v>
      </c>
      <c r="F70" s="1278">
        <v>0.02</v>
      </c>
      <c r="O70" s="1897" t="s">
        <v>1046</v>
      </c>
      <c r="P70" s="1937" t="s">
        <v>1579</v>
      </c>
      <c r="Q70" s="1889">
        <f ca="1">C13</f>
        <v>22478</v>
      </c>
      <c r="R70" s="1889" t="s">
        <v>1524</v>
      </c>
    </row>
    <row r="71" spans="1:18" s="1845" customFormat="1" ht="13.8" thickBot="1">
      <c r="A71" s="1193" t="s">
        <v>1030</v>
      </c>
      <c r="B71" s="1194" t="s">
        <v>1482</v>
      </c>
      <c r="C71" s="382">
        <f ca="1">ROUND(C68*10000/F71,0)</f>
        <v>6959</v>
      </c>
      <c r="D71" s="1195" t="s">
        <v>1483</v>
      </c>
      <c r="E71" s="1196" t="s">
        <v>1484</v>
      </c>
      <c r="F71" s="385">
        <f ca="1">F43</f>
        <v>53162.09</v>
      </c>
      <c r="O71" s="1897" t="s">
        <v>1047</v>
      </c>
      <c r="P71" s="1937" t="s">
        <v>1580</v>
      </c>
      <c r="Q71" s="1900">
        <f ca="1">C76</f>
        <v>8.5000000000000006E-2</v>
      </c>
      <c r="R71" s="1889"/>
    </row>
    <row r="72" spans="1:18" s="1845" customFormat="1" ht="13.8" thickBot="1">
      <c r="B72" s="796"/>
      <c r="C72" s="796"/>
      <c r="O72" s="1897" t="s">
        <v>1041</v>
      </c>
      <c r="P72" s="1888" t="s">
        <v>1558</v>
      </c>
      <c r="Q72" s="1900">
        <f>L52</f>
        <v>0</v>
      </c>
      <c r="R72" s="1889"/>
    </row>
    <row r="73" spans="1:18" ht="16.2" thickBot="1">
      <c r="A73" s="1845"/>
      <c r="B73" s="796"/>
      <c r="C73" s="796"/>
      <c r="D73" s="1845"/>
      <c r="E73" s="1845"/>
      <c r="F73" s="1845"/>
      <c r="O73" s="1897" t="s">
        <v>1042</v>
      </c>
      <c r="P73" s="1888" t="s">
        <v>1561</v>
      </c>
      <c r="Q73" s="1889" t="e">
        <f ca="1">L58</f>
        <v>#DIV/0!</v>
      </c>
      <c r="R73" s="1889" t="s">
        <v>1562</v>
      </c>
    </row>
    <row r="74" spans="1:18" ht="13.8" thickBot="1">
      <c r="A74" s="1845"/>
      <c r="B74" s="317" t="s">
        <v>1581</v>
      </c>
      <c r="C74" s="1939"/>
      <c r="D74" s="1845"/>
      <c r="E74" s="1845"/>
      <c r="F74" s="1845"/>
      <c r="O74" s="1897" t="s">
        <v>1049</v>
      </c>
      <c r="P74" s="1888" t="str">
        <f>K59</f>
        <v>建筑物剩余耐用年限下的土地年期修正系数Kn</v>
      </c>
      <c r="Q74" s="1889" t="e">
        <f ca="1">L59</f>
        <v>#DIV/0!</v>
      </c>
      <c r="R74" s="1889" t="s">
        <v>1563</v>
      </c>
    </row>
    <row r="75" spans="1:18" ht="13.8" thickBot="1">
      <c r="A75" s="1845"/>
      <c r="B75" s="386" t="s">
        <v>1501</v>
      </c>
      <c r="C75" s="387">
        <f ca="1">ROUND(C13*C76,0)</f>
        <v>1911</v>
      </c>
      <c r="D75" s="1845"/>
      <c r="E75" s="1845"/>
      <c r="F75" s="1845"/>
      <c r="K75" s="1871"/>
      <c r="L75" s="1845"/>
      <c r="O75" s="1887" t="s">
        <v>1043</v>
      </c>
      <c r="P75" s="1888" t="s">
        <v>1544</v>
      </c>
      <c r="Q75" s="1889">
        <f ca="1">Q65+Q66</f>
        <v>38268</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-0.26400000000000001</v>
      </c>
    </row>
    <row r="80" spans="1:18">
      <c r="B80" s="386" t="s">
        <v>1506</v>
      </c>
      <c r="C80" s="318">
        <f ca="1">ROUND(C75/C39,3)</f>
        <v>1.264</v>
      </c>
    </row>
    <row r="81" spans="2:3">
      <c r="B81" s="314" t="s">
        <v>1507</v>
      </c>
      <c r="C81" s="282"/>
    </row>
    <row r="82" spans="2:3">
      <c r="B82" s="317" t="s">
        <v>1508</v>
      </c>
      <c r="C82" s="319">
        <f ca="1">1-C83</f>
        <v>0.41300000000000003</v>
      </c>
    </row>
    <row r="83" spans="2:3">
      <c r="B83" s="317" t="s">
        <v>1509</v>
      </c>
      <c r="C83" s="318">
        <f ca="1">ROUND(C13/C40,3)</f>
        <v>0.58699999999999997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1583</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1032</v>
      </c>
      <c r="B6" s="3162" t="s">
        <v>1399</v>
      </c>
      <c r="C6" s="1299">
        <f ca="1">ROUND(F6*F8*F7*(1-F9),0)</f>
        <v>0</v>
      </c>
      <c r="D6" s="164" t="s">
        <v>3020</v>
      </c>
      <c r="E6" s="347" t="s">
        <v>1401</v>
      </c>
      <c r="F6" s="348">
        <f ca="1">INDIRECT("'数据-取费表'!u"&amp;$G$1)</f>
        <v>0</v>
      </c>
      <c r="G6" s="1854"/>
      <c r="H6" s="1294" t="s">
        <v>1032</v>
      </c>
      <c r="I6" s="3162" t="s">
        <v>1399</v>
      </c>
      <c r="J6" s="346">
        <f ca="1">ROUND(M6*M8*M7*(1-M9),0)</f>
        <v>0</v>
      </c>
      <c r="K6" s="1837" t="s">
        <v>3021</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0</v>
      </c>
      <c r="G7" s="1854"/>
      <c r="H7" s="349"/>
      <c r="I7" s="3163"/>
      <c r="J7" s="351"/>
      <c r="K7" s="352"/>
      <c r="L7" s="347" t="s">
        <v>1402</v>
      </c>
      <c r="M7" s="348">
        <f ca="1">F7</f>
        <v>0</v>
      </c>
    </row>
    <row r="8" spans="1:37" ht="18" customHeight="1">
      <c r="A8" s="349"/>
      <c r="B8" s="3163"/>
      <c r="C8" s="351"/>
      <c r="D8" s="352"/>
      <c r="E8" s="347" t="s">
        <v>1403</v>
      </c>
      <c r="F8" s="348">
        <f ca="1">INDIRECT("'数据-取费表'!ai"&amp;$G$1)</f>
        <v>0</v>
      </c>
      <c r="G8" s="1854"/>
      <c r="H8" s="349"/>
      <c r="I8" s="3163"/>
      <c r="J8" s="351"/>
      <c r="K8" s="352"/>
      <c r="L8" s="347" t="s">
        <v>1403</v>
      </c>
      <c r="M8" s="348">
        <f ca="1">INDIRECT("'数据-取费表'!ai"&amp;$G$1)</f>
        <v>0</v>
      </c>
    </row>
    <row r="9" spans="1:37" ht="18" customHeight="1">
      <c r="A9" s="349"/>
      <c r="B9" s="3164"/>
      <c r="C9" s="351"/>
      <c r="D9" s="352"/>
      <c r="E9" s="347" t="s">
        <v>1404</v>
      </c>
      <c r="F9" s="357">
        <f ca="1">INDIRECT("'数据-取费表'!w"&amp;$G$1)</f>
        <v>0</v>
      </c>
      <c r="G9" s="1854"/>
      <c r="H9" s="349"/>
      <c r="I9" s="316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1596</v>
      </c>
      <c r="C11" s="1181"/>
      <c r="D11" s="352"/>
      <c r="E11" s="358" t="s">
        <v>1407</v>
      </c>
      <c r="F11" s="359">
        <f ca="1">'数据-取费表'!B39</f>
        <v>1.4999999999999999E-2</v>
      </c>
      <c r="G11" s="1854"/>
      <c r="H11" s="1302"/>
      <c r="I11" s="1828" t="s">
        <v>1597</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1514</v>
      </c>
      <c r="P45" s="1842"/>
      <c r="Q45" s="1842"/>
      <c r="R45" s="1842"/>
    </row>
    <row r="46" spans="1:18" s="1845" customFormat="1" ht="13.8"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8"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40.200000000000003"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8"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8"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8"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8"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60" t="s">
        <v>1543</v>
      </c>
      <c r="L53" s="3161"/>
      <c r="O53" s="1887" t="s">
        <v>1043</v>
      </c>
      <c r="P53" s="1888" t="s">
        <v>1544</v>
      </c>
      <c r="Q53" s="1889" t="e">
        <f ca="1">Q47+Q48</f>
        <v>#DIV/0!</v>
      </c>
      <c r="R53" s="1889" t="s">
        <v>1044</v>
      </c>
    </row>
    <row r="54" spans="1:18" s="1845" customFormat="1" ht="13.8"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8"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1548</v>
      </c>
      <c r="J56" s="1920"/>
      <c r="K56" s="1890" t="s">
        <v>1549</v>
      </c>
      <c r="L56" s="1893">
        <f ca="1">IF(L48&lt;J51,"——",L48-J51)</f>
        <v>0</v>
      </c>
      <c r="O56" s="1887" t="s">
        <v>1037</v>
      </c>
      <c r="P56" s="1888" t="s">
        <v>1523</v>
      </c>
      <c r="Q56" s="1889" t="e">
        <f ca="1">C40+J29</f>
        <v>#DIV/0!</v>
      </c>
      <c r="R56" s="1889" t="s">
        <v>1524</v>
      </c>
    </row>
    <row r="57" spans="1:18" s="1845" customFormat="1" ht="24.6" thickBot="1">
      <c r="A57" s="1921"/>
      <c r="B57" s="1172" t="s">
        <v>1473</v>
      </c>
      <c r="C57" s="282">
        <f ca="1">C29</f>
        <v>0</v>
      </c>
      <c r="D57" s="1922"/>
      <c r="E57" s="1923"/>
      <c r="F57" s="1924"/>
      <c r="I57" s="1925" t="s">
        <v>1550</v>
      </c>
      <c r="J57" s="1926">
        <f ca="1">IF(OR(M47="住宅",J51&lt;L48,J56="是"),"——",J51-L48)</f>
        <v>0</v>
      </c>
      <c r="K57" s="1890" t="s">
        <v>1599</v>
      </c>
      <c r="L57" s="1893">
        <f ca="1">IF(L48&lt;J51,"——",IF(L55="比较法",L49,IF(L55="基准地价",L50,L51)))</f>
        <v>0</v>
      </c>
      <c r="O57" s="1887" t="s">
        <v>1038</v>
      </c>
      <c r="P57" s="1888" t="s">
        <v>1600</v>
      </c>
      <c r="Q57" s="1889" t="e">
        <f ca="1">L60</f>
        <v>#DIV/0!</v>
      </c>
      <c r="R57" s="1889" t="s">
        <v>1601</v>
      </c>
    </row>
    <row r="58" spans="1:18" s="1845" customFormat="1" ht="24.6" thickBot="1">
      <c r="A58" s="360" t="s">
        <v>1027</v>
      </c>
      <c r="B58" s="1180" t="s">
        <v>1419</v>
      </c>
      <c r="C58" s="361">
        <f ca="1">ROUND(C59+C64+C65+C66,0)</f>
        <v>0</v>
      </c>
      <c r="D58" s="1182" t="s">
        <v>1420</v>
      </c>
      <c r="E58" s="1183"/>
      <c r="F58" s="1184"/>
      <c r="I58" s="1925" t="s">
        <v>1554</v>
      </c>
      <c r="J58" s="1927" t="e">
        <f ca="1">IF(J55&lt;0.4,0.4,J55)</f>
        <v>#DIV/0!</v>
      </c>
      <c r="K58" s="1903" t="s">
        <v>1602</v>
      </c>
      <c r="L58" s="1893" t="e">
        <f ca="1">ROUND(POWER(1+L52,L47-L48)*(POWER(1+L52,L48)-1)/(POWER(1+L52,L47)-1),4)</f>
        <v>#DIV/0!</v>
      </c>
      <c r="O58" s="1897" t="s">
        <v>1039</v>
      </c>
      <c r="P58" s="1888" t="s">
        <v>1556</v>
      </c>
      <c r="Q58" s="1889">
        <f>IF(L55="比较法",L49,IF(L55="基准地价",L50,0))</f>
        <v>0</v>
      </c>
      <c r="R58" s="1889" t="s">
        <v>1524</v>
      </c>
    </row>
    <row r="59" spans="1:18" s="1845" customFormat="1" ht="24.6"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1558</v>
      </c>
      <c r="Q59" s="1900">
        <f>L52</f>
        <v>0</v>
      </c>
      <c r="R59" s="1889"/>
    </row>
    <row r="60" spans="1:18" s="1845" customFormat="1" ht="16.2"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1559</v>
      </c>
      <c r="J60" s="1929" t="e">
        <f ca="1">IF(OR(M47="住宅",J51&lt;L48,J56="是"),"0",ROUND(J59/(1+J52)^J53,0))</f>
        <v>#DIV/0!</v>
      </c>
      <c r="K60" s="1930" t="s">
        <v>1560</v>
      </c>
      <c r="L60" s="1929" t="e">
        <f ca="1">IF(OR(M47="住宅",L48&lt;J51),0,ROUND(L57*(L58/L59-1),0))</f>
        <v>#DIV/0!</v>
      </c>
      <c r="O60" s="1897" t="s">
        <v>1041</v>
      </c>
      <c r="P60" s="1888" t="s">
        <v>1561</v>
      </c>
      <c r="Q60" s="1889" t="e">
        <f ca="1">L58</f>
        <v>#DIV/0!</v>
      </c>
      <c r="R60" s="1889" t="s">
        <v>1562</v>
      </c>
    </row>
    <row r="61" spans="1:18" s="1845" customFormat="1" ht="13.8"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1563</v>
      </c>
    </row>
    <row r="62" spans="1:18" s="1845" customFormat="1" ht="13.8" thickBot="1">
      <c r="A62" s="1204" t="s">
        <v>1490</v>
      </c>
      <c r="B62" s="1171" t="s">
        <v>1491</v>
      </c>
      <c r="C62" s="25">
        <f ca="1">IF(项目基本情况!B11="自然人","——",ROUND(F62*F63,0))</f>
        <v>0</v>
      </c>
      <c r="D62" s="1187" t="s">
        <v>1492</v>
      </c>
      <c r="E62" s="1172" t="s">
        <v>1493</v>
      </c>
      <c r="F62" s="371">
        <f t="shared" si="0"/>
        <v>1.5</v>
      </c>
      <c r="I62" s="1932" t="s">
        <v>1564</v>
      </c>
      <c r="J62" s="1933" t="s">
        <v>1565</v>
      </c>
      <c r="K62" s="1933" t="s">
        <v>1566</v>
      </c>
      <c r="L62" s="1933" t="s">
        <v>1567</v>
      </c>
      <c r="M62" s="1934" t="s">
        <v>1568</v>
      </c>
      <c r="O62" s="1887" t="s">
        <v>1043</v>
      </c>
      <c r="P62" s="1888" t="s">
        <v>1569</v>
      </c>
      <c r="Q62" s="1889" t="e">
        <f ca="1">Q56+Q57</f>
        <v>#DIV/0!</v>
      </c>
      <c r="R62" s="1889" t="s">
        <v>1044</v>
      </c>
    </row>
    <row r="63" spans="1:18" s="1845" customFormat="1" ht="13.8" thickBot="1">
      <c r="A63" s="372"/>
      <c r="B63" s="1178"/>
      <c r="C63" s="29"/>
      <c r="D63" s="1188"/>
      <c r="E63" s="1172" t="s">
        <v>1494</v>
      </c>
      <c r="F63" s="348">
        <f t="shared" ca="1" si="0"/>
        <v>0</v>
      </c>
      <c r="I63" s="1932" t="s">
        <v>1570</v>
      </c>
      <c r="J63" s="1933">
        <v>70</v>
      </c>
      <c r="K63" s="1933">
        <v>50</v>
      </c>
      <c r="L63" s="1933">
        <v>80</v>
      </c>
      <c r="M63" s="1935">
        <v>0.02</v>
      </c>
      <c r="O63" s="1872" t="s">
        <v>1571</v>
      </c>
      <c r="P63" s="1842"/>
      <c r="Q63" s="1842"/>
      <c r="R63" s="1842"/>
    </row>
    <row r="64" spans="1:18" s="1845" customFormat="1" ht="13.8" thickBot="1">
      <c r="A64" s="1204" t="s">
        <v>1495</v>
      </c>
      <c r="B64" s="1172" t="s">
        <v>1496</v>
      </c>
      <c r="C64" s="24">
        <f ca="1">ROUND(C57*F64,0)</f>
        <v>0</v>
      </c>
      <c r="D64" s="1186" t="s">
        <v>1497</v>
      </c>
      <c r="E64" s="1172" t="s">
        <v>1489</v>
      </c>
      <c r="F64" s="374">
        <f t="shared" ca="1" si="0"/>
        <v>0</v>
      </c>
      <c r="I64" s="1932" t="s">
        <v>1572</v>
      </c>
      <c r="J64" s="1933">
        <v>50</v>
      </c>
      <c r="K64" s="1933">
        <v>35</v>
      </c>
      <c r="L64" s="1933">
        <v>60</v>
      </c>
      <c r="M64" s="1934">
        <v>0</v>
      </c>
      <c r="O64" s="1880" t="s">
        <v>1517</v>
      </c>
      <c r="P64" s="1881" t="s">
        <v>1518</v>
      </c>
      <c r="Q64" s="1882" t="s">
        <v>1519</v>
      </c>
      <c r="R64" s="1882" t="s">
        <v>1520</v>
      </c>
    </row>
    <row r="65" spans="1:18" s="1845" customFormat="1" ht="13.8" thickBot="1">
      <c r="A65" s="1204" t="s">
        <v>1498</v>
      </c>
      <c r="B65" s="1172" t="s">
        <v>1448</v>
      </c>
      <c r="C65" s="24">
        <f ca="1">ROUND(C56*F65,0)</f>
        <v>0</v>
      </c>
      <c r="D65" s="1186" t="s">
        <v>1449</v>
      </c>
      <c r="E65" s="1172" t="s">
        <v>1450</v>
      </c>
      <c r="F65" s="376">
        <f t="shared" ca="1" si="0"/>
        <v>0</v>
      </c>
      <c r="I65" s="1932" t="s">
        <v>1573</v>
      </c>
      <c r="J65" s="1933">
        <v>40</v>
      </c>
      <c r="K65" s="1933">
        <v>30</v>
      </c>
      <c r="L65" s="1933">
        <v>50</v>
      </c>
      <c r="M65" s="1935">
        <v>0.02</v>
      </c>
      <c r="O65" s="1887" t="s">
        <v>1037</v>
      </c>
      <c r="P65" s="1888" t="s">
        <v>1574</v>
      </c>
      <c r="Q65" s="1889" t="e">
        <f ca="1">C40+J29</f>
        <v>#DIV/0!</v>
      </c>
      <c r="R65" s="1889" t="s">
        <v>1524</v>
      </c>
    </row>
    <row r="66" spans="1:18" s="1845" customFormat="1" ht="16.2" thickBot="1">
      <c r="A66" s="1204" t="s">
        <v>1499</v>
      </c>
      <c r="B66" s="1172" t="s">
        <v>1434</v>
      </c>
      <c r="C66" s="24">
        <f ca="1">ROUND(C48*F66,0)</f>
        <v>0</v>
      </c>
      <c r="D66" s="1186" t="s">
        <v>1500</v>
      </c>
      <c r="E66" s="1172" t="s">
        <v>1417</v>
      </c>
      <c r="F66" s="357">
        <f t="shared" ca="1" si="0"/>
        <v>0</v>
      </c>
      <c r="O66" s="1887" t="s">
        <v>1038</v>
      </c>
      <c r="P66" s="1888" t="s">
        <v>1552</v>
      </c>
      <c r="Q66" s="1889" t="e">
        <f ca="1">L60</f>
        <v>#DIV/0!</v>
      </c>
      <c r="R66" s="1889" t="s">
        <v>1575</v>
      </c>
    </row>
    <row r="67" spans="1:18" s="1845" customFormat="1" ht="24.6" thickBot="1">
      <c r="A67" s="1179" t="s">
        <v>1028</v>
      </c>
      <c r="B67" s="1189" t="s">
        <v>1458</v>
      </c>
      <c r="C67" s="361">
        <f ca="1">C48-C58</f>
        <v>0</v>
      </c>
      <c r="D67" s="1185" t="s">
        <v>1459</v>
      </c>
      <c r="E67" s="1190"/>
      <c r="F67" s="1191"/>
      <c r="O67" s="1897" t="s">
        <v>1039</v>
      </c>
      <c r="P67" s="1888" t="s">
        <v>1556</v>
      </c>
      <c r="Q67" s="1936">
        <f ca="1">L51</f>
        <v>0</v>
      </c>
      <c r="R67" s="1889" t="s">
        <v>1576</v>
      </c>
    </row>
    <row r="68" spans="1:18" s="1845" customFormat="1" ht="16.2" thickBot="1">
      <c r="A68" s="1169" t="s">
        <v>1029</v>
      </c>
      <c r="B68" s="1170" t="s">
        <v>1480</v>
      </c>
      <c r="C68" s="346" t="e">
        <f ca="1">ROUND(C67*(1-((1+F70)/(1+F68))^F69)/(F68-F70),0)</f>
        <v>#DIV/0!</v>
      </c>
      <c r="D68" s="1187" t="s">
        <v>1464</v>
      </c>
      <c r="E68" s="1172" t="s">
        <v>1465</v>
      </c>
      <c r="F68" s="357">
        <f ca="1">F40</f>
        <v>0</v>
      </c>
      <c r="O68" s="1897" t="s">
        <v>1040</v>
      </c>
      <c r="P68" s="1937" t="s">
        <v>1577</v>
      </c>
      <c r="Q68" s="1889">
        <f ca="1">ROUND(Q69-Q70*Q71,0)</f>
        <v>0</v>
      </c>
      <c r="R68" s="1889" t="s">
        <v>1048</v>
      </c>
    </row>
    <row r="69" spans="1:18" s="1845" customFormat="1" ht="13.8" thickBot="1">
      <c r="A69" s="1173"/>
      <c r="B69" s="1174"/>
      <c r="C69" s="351"/>
      <c r="D69" s="1192" t="s">
        <v>1468</v>
      </c>
      <c r="E69" s="1172" t="s">
        <v>1469</v>
      </c>
      <c r="F69" s="379">
        <f ca="1">F41</f>
        <v>0</v>
      </c>
      <c r="O69" s="1897" t="s">
        <v>1045</v>
      </c>
      <c r="P69" s="1937" t="s">
        <v>1578</v>
      </c>
      <c r="Q69" s="1889">
        <f ca="1">C39</f>
        <v>0</v>
      </c>
      <c r="R69" s="1889" t="s">
        <v>1524</v>
      </c>
    </row>
    <row r="70" spans="1:18" s="1845" customFormat="1" ht="13.8" thickBot="1">
      <c r="A70" s="1176"/>
      <c r="B70" s="1177"/>
      <c r="C70" s="355"/>
      <c r="D70" s="1188"/>
      <c r="E70" s="1172" t="s">
        <v>1472</v>
      </c>
      <c r="F70" s="1278">
        <f ca="1">F42</f>
        <v>0</v>
      </c>
      <c r="O70" s="1897" t="s">
        <v>1046</v>
      </c>
      <c r="P70" s="1937" t="s">
        <v>1579</v>
      </c>
      <c r="Q70" s="1889">
        <f ca="1">C13</f>
        <v>0</v>
      </c>
      <c r="R70" s="1889" t="s">
        <v>1524</v>
      </c>
    </row>
    <row r="71" spans="1:18" s="1845" customFormat="1" ht="13.8" thickBot="1">
      <c r="A71" s="1193" t="s">
        <v>1030</v>
      </c>
      <c r="B71" s="1194" t="s">
        <v>1482</v>
      </c>
      <c r="C71" s="382" t="e">
        <f ca="1">ROUND(C68/F71,0)</f>
        <v>#DIV/0!</v>
      </c>
      <c r="D71" s="1195" t="s">
        <v>1483</v>
      </c>
      <c r="E71" s="1196" t="s">
        <v>1484</v>
      </c>
      <c r="F71" s="385">
        <f ca="1">F43</f>
        <v>0</v>
      </c>
      <c r="O71" s="1897" t="s">
        <v>1047</v>
      </c>
      <c r="P71" s="1937" t="s">
        <v>1580</v>
      </c>
      <c r="Q71" s="1900">
        <f ca="1">C76</f>
        <v>0</v>
      </c>
      <c r="R71" s="1889"/>
    </row>
    <row r="72" spans="1:18" s="1845" customFormat="1" ht="13.8" thickBot="1">
      <c r="B72" s="796"/>
      <c r="C72" s="796"/>
      <c r="O72" s="1897" t="s">
        <v>1041</v>
      </c>
      <c r="P72" s="1888" t="s">
        <v>1558</v>
      </c>
      <c r="Q72" s="1900">
        <f>L52</f>
        <v>0</v>
      </c>
      <c r="R72" s="1889"/>
    </row>
    <row r="73" spans="1:18" ht="16.2" thickBot="1">
      <c r="A73" s="1845"/>
      <c r="B73" s="796"/>
      <c r="C73" s="796"/>
      <c r="D73" s="1845"/>
      <c r="E73" s="1845"/>
      <c r="F73" s="1845"/>
      <c r="O73" s="1897" t="s">
        <v>1042</v>
      </c>
      <c r="P73" s="1888" t="s">
        <v>1561</v>
      </c>
      <c r="Q73" s="1889" t="e">
        <f ca="1">L58</f>
        <v>#DIV/0!</v>
      </c>
      <c r="R73" s="1889" t="s">
        <v>1562</v>
      </c>
    </row>
    <row r="74" spans="1:18" ht="13.8" thickBot="1">
      <c r="A74" s="1845"/>
      <c r="B74" s="317" t="s">
        <v>1581</v>
      </c>
      <c r="C74" s="1939"/>
      <c r="D74" s="1845"/>
      <c r="E74" s="1845"/>
      <c r="F74" s="1845"/>
      <c r="O74" s="1897" t="s">
        <v>1049</v>
      </c>
      <c r="P74" s="1888" t="str">
        <f>K59</f>
        <v>建设期及建筑物耐用年限下的土地年期修正系数Kn</v>
      </c>
      <c r="Q74" s="1889" t="e">
        <f ca="1">L59</f>
        <v>#DIV/0!</v>
      </c>
      <c r="R74" s="1889" t="s">
        <v>1563</v>
      </c>
    </row>
    <row r="75" spans="1:18" ht="13.8"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2" t="s">
        <v>2518</v>
      </c>
      <c r="B1" s="2563"/>
      <c r="C1" s="2563"/>
      <c r="D1" s="2563"/>
      <c r="E1" s="2564"/>
    </row>
    <row r="2" spans="1:6" ht="15.6">
      <c r="A2" s="2565" t="s">
        <v>2319</v>
      </c>
      <c r="B2" s="2566">
        <f ca="1">SUMIF(B6:B13,"&lt;&gt;#ref!",B6:B13)</f>
        <v>38268</v>
      </c>
      <c r="C2" s="2567" t="s">
        <v>2511</v>
      </c>
      <c r="D2" s="2568" t="s">
        <v>2512</v>
      </c>
      <c r="E2" s="2569">
        <f>SUM(E6:E13)</f>
        <v>53162.09</v>
      </c>
    </row>
    <row r="3" spans="1:6" ht="15.6">
      <c r="A3" s="2565" t="s">
        <v>1391</v>
      </c>
      <c r="B3" s="2566">
        <f ca="1">ROUND(B2*10000/E2,0)</f>
        <v>7198</v>
      </c>
      <c r="C3" s="2567" t="s">
        <v>2519</v>
      </c>
      <c r="D3" s="2570"/>
      <c r="E3" s="2571"/>
    </row>
    <row r="4" spans="1:6" ht="15.6">
      <c r="A4" s="2572"/>
      <c r="B4" s="2570"/>
      <c r="C4" s="2570"/>
      <c r="D4" s="2570"/>
      <c r="E4" s="2571"/>
    </row>
    <row r="5" spans="1:6" ht="14.4">
      <c r="A5" s="2573" t="s">
        <v>2513</v>
      </c>
      <c r="B5" s="3165" t="s">
        <v>2514</v>
      </c>
      <c r="C5" s="3165"/>
      <c r="D5" s="2574"/>
      <c r="E5" s="2575" t="s">
        <v>2515</v>
      </c>
      <c r="F5" s="2576" t="s">
        <v>2516</v>
      </c>
    </row>
    <row r="6" spans="1:6" ht="14.4">
      <c r="A6" s="2577" t="str">
        <f>'数据-取费表'!AN6</f>
        <v>收益法</v>
      </c>
      <c r="B6" s="2576">
        <f ca="1">IF(F6="是",'数据-取费表'!AO6,0)</f>
        <v>38268</v>
      </c>
      <c r="C6" s="2567" t="s">
        <v>2511</v>
      </c>
      <c r="D6" s="2570"/>
      <c r="E6" s="2578">
        <f>IF(OR(A6=0,F6="否"),0,'数据-取费表'!K6+'数据-取费表'!S6)</f>
        <v>53162.09</v>
      </c>
      <c r="F6" s="2579" t="s">
        <v>2517</v>
      </c>
    </row>
    <row r="7" spans="1:6" ht="14.4">
      <c r="A7" s="2577">
        <f>'数据-取费表'!AN7</f>
        <v>0</v>
      </c>
      <c r="B7" s="2576" t="e">
        <f ca="1">IF(F7="是",'数据-取费表'!AO7,0)</f>
        <v>#REF!</v>
      </c>
      <c r="C7" s="2567" t="s">
        <v>2511</v>
      </c>
      <c r="D7" s="2570"/>
      <c r="E7" s="2578">
        <f>IF(OR(A7=0,F7="否"),0,'数据-取费表'!K7+'数据-取费表'!S7)</f>
        <v>0</v>
      </c>
      <c r="F7" s="2579" t="s">
        <v>2517</v>
      </c>
    </row>
    <row r="8" spans="1:6" ht="14.4">
      <c r="A8" s="2577">
        <f>'数据-取费表'!AN8</f>
        <v>0</v>
      </c>
      <c r="B8" s="2576" t="e">
        <f ca="1">IF(F8="是",'数据-取费表'!AO8,0)</f>
        <v>#REF!</v>
      </c>
      <c r="C8" s="2567" t="s">
        <v>2511</v>
      </c>
      <c r="D8" s="2570"/>
      <c r="E8" s="2578">
        <f>IF(OR(A8=0,F8="否"),0,'数据-取费表'!K8+'数据-取费表'!S8)</f>
        <v>0</v>
      </c>
      <c r="F8" s="2579" t="s">
        <v>2517</v>
      </c>
    </row>
    <row r="9" spans="1:6" ht="14.4">
      <c r="A9" s="2577">
        <f>'数据-取费表'!AN9</f>
        <v>0</v>
      </c>
      <c r="B9" s="2576" t="e">
        <f ca="1">IF(F9="是",'数据-取费表'!AO9,0)</f>
        <v>#REF!</v>
      </c>
      <c r="C9" s="2567" t="s">
        <v>2511</v>
      </c>
      <c r="D9" s="2570"/>
      <c r="E9" s="2578">
        <f>IF(OR(A9=0,F9="否"),0,'数据-取费表'!K9+'数据-取费表'!S9)</f>
        <v>0</v>
      </c>
      <c r="F9" s="2579" t="s">
        <v>2517</v>
      </c>
    </row>
    <row r="10" spans="1:6" ht="14.4">
      <c r="A10" s="2577">
        <f>'数据-取费表'!AN10</f>
        <v>0</v>
      </c>
      <c r="B10" s="2576" t="e">
        <f ca="1">IF(F10="是",'数据-取费表'!AO10,0)</f>
        <v>#REF!</v>
      </c>
      <c r="C10" s="2567" t="s">
        <v>2511</v>
      </c>
      <c r="D10" s="2570"/>
      <c r="E10" s="2578">
        <f>IF(OR(A10=0,F10="否"),0,'数据-取费表'!K10+'数据-取费表'!S10)</f>
        <v>0</v>
      </c>
      <c r="F10" s="2579" t="s">
        <v>2517</v>
      </c>
    </row>
    <row r="11" spans="1:6" ht="14.4">
      <c r="A11" s="2577">
        <f>'数据-取费表'!AN11</f>
        <v>0</v>
      </c>
      <c r="B11" s="2576" t="e">
        <f ca="1">IF(F11="是",'数据-取费表'!AO11,0)</f>
        <v>#REF!</v>
      </c>
      <c r="C11" s="2567" t="s">
        <v>2511</v>
      </c>
      <c r="D11" s="2570"/>
      <c r="E11" s="2578">
        <f>IF(OR(A11=0,F11="否"),0,'数据-取费表'!K11+'数据-取费表'!S11)</f>
        <v>0</v>
      </c>
      <c r="F11" s="2579" t="s">
        <v>2517</v>
      </c>
    </row>
    <row r="12" spans="1:6" ht="14.4">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3182" t="s">
        <v>1073</v>
      </c>
      <c r="B1" s="3183"/>
      <c r="C1" s="3184"/>
      <c r="D1" s="3185">
        <f>SUM(I10,I15,I20,I21,I23)</f>
        <v>0</v>
      </c>
      <c r="E1" s="3185"/>
      <c r="F1" s="3185"/>
      <c r="G1" s="3185"/>
      <c r="H1" s="3185"/>
      <c r="I1" s="3186"/>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5.6">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5.6">
      <c r="A17" s="3172"/>
      <c r="B17" s="3173" t="s">
        <v>1103</v>
      </c>
      <c r="C17" s="3173"/>
      <c r="D17" s="1306"/>
      <c r="E17" s="1306"/>
      <c r="F17" s="1307"/>
      <c r="G17" s="1308"/>
      <c r="H17" s="1318"/>
      <c r="I17" s="1319">
        <f>ROUND(D17*E17*F17*G17/10000,0)</f>
        <v>0</v>
      </c>
    </row>
    <row r="18" spans="1:9" ht="15.6">
      <c r="A18" s="3172"/>
      <c r="B18" s="3173" t="s">
        <v>1104</v>
      </c>
      <c r="C18" s="3173"/>
      <c r="D18" s="1306"/>
      <c r="E18" s="1306"/>
      <c r="F18" s="1307"/>
      <c r="G18" s="1308"/>
      <c r="H18" s="1318"/>
      <c r="I18" s="1319">
        <f>ROUND(D18*E18*F18*G18/10000,0)</f>
        <v>0</v>
      </c>
    </row>
    <row r="19" spans="1:9" ht="15.6">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5"/>
      <c r="C21" s="3175"/>
      <c r="D21" s="3175"/>
      <c r="E21" s="3175"/>
      <c r="F21" s="3175"/>
      <c r="G21" s="3175"/>
      <c r="H21" s="1768">
        <v>0.1</v>
      </c>
      <c r="I21" s="1313">
        <f>ROUND(I10*H21,0)</f>
        <v>0</v>
      </c>
    </row>
    <row r="22" spans="1:9" ht="15.6">
      <c r="A22" s="3176" t="s">
        <v>1107</v>
      </c>
      <c r="B22" s="3177"/>
      <c r="C22" s="3178"/>
      <c r="D22" s="1320" t="s">
        <v>1108</v>
      </c>
      <c r="E22" s="1320" t="s">
        <v>1109</v>
      </c>
      <c r="F22" s="1321" t="s">
        <v>1110</v>
      </c>
      <c r="G22" s="1321" t="s">
        <v>1111</v>
      </c>
      <c r="H22" s="1314" t="s">
        <v>1112</v>
      </c>
      <c r="I22" s="1305" t="s">
        <v>1113</v>
      </c>
    </row>
    <row r="23" spans="1:9" ht="15" thickBot="1">
      <c r="A23" s="3179"/>
      <c r="B23" s="3180"/>
      <c r="C23" s="3181"/>
      <c r="D23" s="1322"/>
      <c r="E23" s="1322"/>
      <c r="F23" s="1322"/>
      <c r="G23" s="1323"/>
      <c r="H23" s="1324"/>
      <c r="I23" s="1325">
        <f>ROUND(E23*D23*F23*(1-G23)/10000,0)</f>
        <v>0</v>
      </c>
    </row>
    <row r="26" spans="1:9">
      <c r="A26" s="1326" t="s">
        <v>1114</v>
      </c>
      <c r="B26" s="1326"/>
      <c r="C26" s="1326"/>
      <c r="D26" s="1326"/>
      <c r="E26" s="3169">
        <f>C27-C30-C31-C32</f>
        <v>0</v>
      </c>
      <c r="F26" s="3169"/>
      <c r="G26" s="3169"/>
      <c r="H26" s="1740" t="s">
        <v>1336</v>
      </c>
    </row>
    <row r="27" spans="1:9">
      <c r="A27" s="1327">
        <v>1</v>
      </c>
      <c r="B27" s="1328" t="s">
        <v>1115</v>
      </c>
      <c r="C27" s="1328">
        <f>C28+C29</f>
        <v>0</v>
      </c>
      <c r="D27" s="1328"/>
      <c r="E27" s="3170"/>
      <c r="F27" s="3170"/>
      <c r="G27" s="3170"/>
    </row>
    <row r="28" spans="1:9">
      <c r="A28" s="1329" t="s">
        <v>1116</v>
      </c>
      <c r="B28" s="1328" t="s">
        <v>1117</v>
      </c>
      <c r="C28" s="1328"/>
      <c r="D28" s="1328"/>
      <c r="E28" s="3170"/>
      <c r="F28" s="3170"/>
      <c r="G28" s="317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1"/>
      <c r="F32" s="3171"/>
      <c r="G32" s="3171"/>
    </row>
    <row r="33" spans="1:7" hidden="1">
      <c r="A33" s="3166" t="s">
        <v>1126</v>
      </c>
      <c r="B33" s="3167"/>
      <c r="C33" s="3167"/>
      <c r="D33" s="3168"/>
      <c r="E33" s="3169"/>
      <c r="F33" s="3169"/>
      <c r="G33" s="3169"/>
    </row>
    <row r="34" spans="1:7" hidden="1">
      <c r="A34" s="1331">
        <v>1</v>
      </c>
      <c r="B34" s="1328" t="s">
        <v>1127</v>
      </c>
      <c r="C34" s="1328"/>
      <c r="D34" s="1328"/>
      <c r="E34" s="3170"/>
      <c r="F34" s="3170"/>
      <c r="G34" s="3170"/>
    </row>
    <row r="35" spans="1:7" hidden="1">
      <c r="A35" s="1331">
        <v>2</v>
      </c>
      <c r="B35" s="1328" t="s">
        <v>1128</v>
      </c>
      <c r="C35" s="1328"/>
      <c r="D35" s="1328"/>
      <c r="E35" s="3170"/>
      <c r="F35" s="3170"/>
      <c r="G35" s="3170"/>
    </row>
    <row r="36" spans="1:7" hidden="1">
      <c r="A36" s="1331">
        <v>3</v>
      </c>
      <c r="B36" s="1328" t="s">
        <v>1129</v>
      </c>
      <c r="C36" s="1328"/>
      <c r="D36" s="1328"/>
      <c r="E36" s="3170"/>
      <c r="F36" s="3170"/>
      <c r="G36" s="3170"/>
    </row>
    <row r="37" spans="1:7" hidden="1">
      <c r="A37" s="1331">
        <v>4</v>
      </c>
      <c r="B37" s="1328" t="s">
        <v>1130</v>
      </c>
      <c r="C37" s="1328"/>
      <c r="D37" s="1328"/>
      <c r="E37" s="3170"/>
      <c r="F37" s="3170"/>
      <c r="G37" s="3170"/>
    </row>
    <row r="38" spans="1:7" hidden="1">
      <c r="A38" s="3166" t="s">
        <v>1131</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583" t="s">
        <v>2521</v>
      </c>
      <c r="C1" s="1637" t="s">
        <v>2522</v>
      </c>
      <c r="D1" s="1624"/>
      <c r="E1" s="2584"/>
      <c r="F1" s="2585" t="s">
        <v>2523</v>
      </c>
      <c r="G1" s="1634" t="s">
        <v>2524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7"/>
      <c r="D2" s="1368" t="e">
        <f ca="1">SUMIF(INDIRECT("'"&amp;F2&amp;"'"&amp;"!A:A"),"承租人权益价值",INDIRECT("'"&amp;F2&amp;"'"&amp;"!c:c"))</f>
        <v>#REF!</v>
      </c>
      <c r="E2" s="2588" t="s">
        <v>2525</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2526</v>
      </c>
      <c r="D3" s="399">
        <f>IF(D1="",'数据-汇总表'!E3,SUMIF('数据-汇总表'!$C19:$C33,D1,'数据-汇总表'!$E19:$E33))</f>
        <v>53162.09</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4.4">
      <c r="A4" s="401" t="s">
        <v>2527</v>
      </c>
      <c r="B4" s="402"/>
      <c r="C4" s="3205" t="s">
        <v>2528</v>
      </c>
      <c r="D4" s="3206"/>
      <c r="E4" s="3207" t="s">
        <v>2529</v>
      </c>
      <c r="F4" s="3208"/>
      <c r="G4" s="3205" t="s">
        <v>2530</v>
      </c>
      <c r="H4" s="3206"/>
      <c r="I4" s="3205" t="s">
        <v>2531</v>
      </c>
      <c r="J4" s="3206"/>
      <c r="K4" s="2597" t="s">
        <v>2532</v>
      </c>
      <c r="L4" s="1133"/>
      <c r="M4" s="1134"/>
      <c r="N4" s="1134"/>
      <c r="O4" s="1134"/>
      <c r="P4" s="3209" t="s">
        <v>2533</v>
      </c>
      <c r="Q4" s="3210"/>
      <c r="R4" s="3215" t="s">
        <v>2529</v>
      </c>
      <c r="S4" s="3216"/>
      <c r="T4" s="3215" t="s">
        <v>2530</v>
      </c>
      <c r="U4" s="3216"/>
      <c r="V4" s="3221" t="s">
        <v>2531</v>
      </c>
      <c r="W4" s="3221"/>
      <c r="X4" s="1816"/>
      <c r="Y4" s="3215" t="s">
        <v>2533</v>
      </c>
      <c r="Z4" s="3216"/>
      <c r="AA4" s="3202" t="s">
        <v>2529</v>
      </c>
      <c r="AB4" s="3202" t="s">
        <v>2530</v>
      </c>
      <c r="AC4" s="3202" t="s">
        <v>2531</v>
      </c>
    </row>
    <row r="5" spans="1:29">
      <c r="A5" s="404"/>
      <c r="B5" s="405"/>
      <c r="C5" s="3224" t="s">
        <v>2534</v>
      </c>
      <c r="D5" s="3225"/>
      <c r="E5" s="3231" t="s">
        <v>2535</v>
      </c>
      <c r="F5" s="3232"/>
      <c r="G5" s="3224" t="s">
        <v>2536</v>
      </c>
      <c r="H5" s="3225"/>
      <c r="I5" s="3224" t="s">
        <v>2537</v>
      </c>
      <c r="J5" s="3225"/>
      <c r="K5" s="2598"/>
      <c r="L5" s="1133"/>
      <c r="M5" s="1134"/>
      <c r="N5" s="1134"/>
      <c r="O5" s="1134"/>
      <c r="P5" s="3211"/>
      <c r="Q5" s="3212"/>
      <c r="R5" s="3217"/>
      <c r="S5" s="3218"/>
      <c r="T5" s="3217"/>
      <c r="U5" s="3218"/>
      <c r="V5" s="3221"/>
      <c r="W5" s="3221"/>
      <c r="X5" s="1816"/>
      <c r="Y5" s="3217"/>
      <c r="Z5" s="3218"/>
      <c r="AA5" s="3203"/>
      <c r="AB5" s="3203"/>
      <c r="AC5" s="3203"/>
    </row>
    <row r="6" spans="1:29" ht="15" thickBot="1">
      <c r="A6" s="406"/>
      <c r="B6" s="407"/>
      <c r="C6" s="3222" t="s">
        <v>2538</v>
      </c>
      <c r="D6" s="3223"/>
      <c r="E6" s="3229" t="s">
        <v>2538</v>
      </c>
      <c r="F6" s="3230"/>
      <c r="G6" s="3222" t="s">
        <v>2538</v>
      </c>
      <c r="H6" s="3223"/>
      <c r="I6" s="3222" t="s">
        <v>2538</v>
      </c>
      <c r="J6" s="3223"/>
      <c r="K6" s="2598" t="s">
        <v>2539</v>
      </c>
      <c r="L6" s="1133"/>
      <c r="M6" s="1134"/>
      <c r="N6" s="1134"/>
      <c r="O6" s="1134"/>
      <c r="P6" s="3213"/>
      <c r="Q6" s="3214"/>
      <c r="R6" s="3217"/>
      <c r="S6" s="3218"/>
      <c r="T6" s="3219"/>
      <c r="U6" s="3220"/>
      <c r="V6" s="3221"/>
      <c r="W6" s="3221"/>
      <c r="X6" s="1816"/>
      <c r="Y6" s="3219"/>
      <c r="Z6" s="3220"/>
      <c r="AA6" s="3204"/>
      <c r="AB6" s="3204"/>
      <c r="AC6" s="3204"/>
    </row>
    <row r="7" spans="1:29" s="117" customFormat="1" ht="1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6" t="s">
        <v>2541</v>
      </c>
      <c r="Q7" s="3228"/>
      <c r="R7" s="770" t="s">
        <v>23</v>
      </c>
      <c r="S7" s="771">
        <f t="shared" ref="S7:S15" si="0">F7</f>
        <v>0</v>
      </c>
      <c r="T7" s="770" t="s">
        <v>23</v>
      </c>
      <c r="U7" s="771">
        <f t="shared" ref="U7:U15" si="1">H7</f>
        <v>0</v>
      </c>
      <c r="V7" s="770" t="s">
        <v>23</v>
      </c>
      <c r="W7" s="771">
        <f t="shared" ref="W7:W15" si="2">J7</f>
        <v>0</v>
      </c>
      <c r="X7" s="772"/>
      <c r="Y7" s="3226" t="s">
        <v>2541</v>
      </c>
      <c r="Z7" s="3227"/>
      <c r="AA7" s="773" t="e">
        <f>D7/F7</f>
        <v>#DIV/0!</v>
      </c>
      <c r="AB7" s="773" t="e">
        <f>D7/H7</f>
        <v>#DIV/0!</v>
      </c>
      <c r="AC7" s="773" t="e">
        <f>D7/J7</f>
        <v>#DIV/0!</v>
      </c>
    </row>
    <row r="8" spans="1:29" s="117" customFormat="1" ht="15" thickBot="1">
      <c r="A8" s="408" t="s">
        <v>2542</v>
      </c>
      <c r="B8" s="409"/>
      <c r="C8" s="414" t="s">
        <v>2543</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6" t="s">
        <v>2544</v>
      </c>
      <c r="Q8" s="3227"/>
      <c r="R8" s="770" t="s">
        <v>23</v>
      </c>
      <c r="S8" s="771">
        <f t="shared" si="0"/>
        <v>0</v>
      </c>
      <c r="T8" s="770" t="s">
        <v>23</v>
      </c>
      <c r="U8" s="771">
        <f t="shared" si="1"/>
        <v>0</v>
      </c>
      <c r="V8" s="770" t="s">
        <v>23</v>
      </c>
      <c r="W8" s="771">
        <f t="shared" si="2"/>
        <v>0</v>
      </c>
      <c r="X8" s="772"/>
      <c r="Y8" s="3226" t="s">
        <v>2544</v>
      </c>
      <c r="Z8" s="3227"/>
      <c r="AA8" s="773" t="e">
        <f t="shared" ref="AA8:AA19" si="3">D8/F8</f>
        <v>#DIV/0!</v>
      </c>
      <c r="AB8" s="773" t="e">
        <f t="shared" ref="AB8:AB19" si="4">D8/H8</f>
        <v>#DIV/0!</v>
      </c>
      <c r="AC8" s="773" t="e">
        <f t="shared" ref="AC8:AC19" si="5">D8/J8</f>
        <v>#DIV/0!</v>
      </c>
    </row>
    <row r="9" spans="1:29" s="117" customFormat="1" ht="14.4">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1"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6.6">
      <c r="A15" s="440" t="s">
        <v>2551</v>
      </c>
      <c r="B15" s="69" t="s">
        <v>2079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2552</v>
      </c>
      <c r="Q15" s="1813" t="str">
        <f t="shared" si="6"/>
        <v>居住社区成熟度</v>
      </c>
      <c r="R15" s="774" t="s">
        <v>21</v>
      </c>
      <c r="S15" s="775">
        <f t="shared" si="0"/>
        <v>100</v>
      </c>
      <c r="T15" s="774" t="s">
        <v>21</v>
      </c>
      <c r="U15" s="775">
        <f t="shared" si="1"/>
        <v>100</v>
      </c>
      <c r="V15" s="774" t="s">
        <v>21</v>
      </c>
      <c r="W15" s="775">
        <f t="shared" si="2"/>
        <v>100</v>
      </c>
      <c r="X15" s="1816"/>
      <c r="Y15" s="3192" t="s">
        <v>2552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00"/>
      <c r="Q16" s="1813"/>
      <c r="R16" s="774"/>
      <c r="S16" s="775"/>
      <c r="T16" s="774"/>
      <c r="U16" s="775"/>
      <c r="V16" s="774"/>
      <c r="W16" s="775"/>
      <c r="X16" s="1816"/>
      <c r="Y16" s="3193"/>
      <c r="Z16" s="1817"/>
      <c r="AA16" s="1814">
        <v>1</v>
      </c>
      <c r="AB16" s="1814">
        <v>1</v>
      </c>
      <c r="AC16" s="1814">
        <v>1</v>
      </c>
    </row>
    <row r="17" spans="1:29" ht="82.8">
      <c r="A17" s="428"/>
      <c r="B17" s="451" t="s">
        <v>2091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00"/>
      <c r="Q18" s="1813"/>
      <c r="R18" s="774"/>
      <c r="S18" s="775"/>
      <c r="T18" s="774"/>
      <c r="U18" s="775"/>
      <c r="V18" s="774"/>
      <c r="W18" s="775"/>
      <c r="X18" s="1816"/>
      <c r="Y18" s="3193"/>
      <c r="Z18" s="1817"/>
      <c r="AA18" s="1814">
        <v>1</v>
      </c>
      <c r="AB18" s="1814">
        <v>1</v>
      </c>
      <c r="AC18" s="1814">
        <v>1</v>
      </c>
    </row>
    <row r="19" spans="1:29" ht="41.4">
      <c r="A19" s="428"/>
      <c r="B19" s="451" t="s">
        <v>2089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00"/>
      <c r="Q20" s="1813"/>
      <c r="R20" s="774"/>
      <c r="S20" s="775"/>
      <c r="T20" s="774"/>
      <c r="U20" s="775"/>
      <c r="V20" s="774"/>
      <c r="W20" s="775"/>
      <c r="X20" s="1816"/>
      <c r="Y20" s="3193"/>
      <c r="Z20" s="1817"/>
      <c r="AA20" s="1814">
        <v>1</v>
      </c>
      <c r="AB20" s="1814">
        <v>1</v>
      </c>
      <c r="AC20" s="1814">
        <v>1</v>
      </c>
    </row>
    <row r="21" spans="1:29" ht="27.6">
      <c r="A21" s="428"/>
      <c r="B21" s="1387" t="s">
        <v>2092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00"/>
      <c r="Q22" s="1813"/>
      <c r="R22" s="774"/>
      <c r="S22" s="775"/>
      <c r="T22" s="774"/>
      <c r="U22" s="775"/>
      <c r="V22" s="774"/>
      <c r="W22" s="775"/>
      <c r="X22" s="1816"/>
      <c r="Y22" s="3193"/>
      <c r="Z22" s="1817"/>
      <c r="AA22" s="1814">
        <v>1</v>
      </c>
      <c r="AB22" s="1814">
        <v>1</v>
      </c>
      <c r="AC22" s="1814">
        <v>1</v>
      </c>
    </row>
    <row r="23" spans="1:29" ht="55.2">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2553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2555</v>
      </c>
      <c r="B32" s="71" t="s">
        <v>2556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4" t="s">
        <v>2557</v>
      </c>
      <c r="Q32" s="1813" t="str">
        <f t="shared" si="11"/>
        <v>建筑类型</v>
      </c>
      <c r="R32" s="774" t="s">
        <v>21</v>
      </c>
      <c r="S32" s="775">
        <f t="shared" si="12"/>
        <v>100</v>
      </c>
      <c r="T32" s="774" t="s">
        <v>21</v>
      </c>
      <c r="U32" s="775">
        <f t="shared" si="13"/>
        <v>100</v>
      </c>
      <c r="V32" s="774" t="s">
        <v>21</v>
      </c>
      <c r="W32" s="775">
        <f t="shared" si="14"/>
        <v>100</v>
      </c>
      <c r="X32" s="1816"/>
      <c r="Y32" s="3197"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2559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2561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2563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5" t="s">
        <v>2557</v>
      </c>
      <c r="Q38" s="1813" t="str">
        <f t="shared" si="11"/>
        <v>物业管理</v>
      </c>
      <c r="R38" s="774" t="s">
        <v>21</v>
      </c>
      <c r="S38" s="775">
        <f t="shared" si="12"/>
        <v>100</v>
      </c>
      <c r="T38" s="774" t="s">
        <v>21</v>
      </c>
      <c r="U38" s="775">
        <f t="shared" si="13"/>
        <v>100</v>
      </c>
      <c r="V38" s="774" t="s">
        <v>21</v>
      </c>
      <c r="W38" s="775">
        <f t="shared" si="14"/>
        <v>100</v>
      </c>
      <c r="X38" s="1816"/>
      <c r="Y38" s="3197" t="s">
        <v>2557</v>
      </c>
      <c r="Z38" s="1817" t="str">
        <f t="shared" si="18"/>
        <v>物业管理</v>
      </c>
      <c r="AA38" s="1814">
        <f t="shared" si="15"/>
        <v>1</v>
      </c>
      <c r="AB38" s="1814">
        <f t="shared" si="16"/>
        <v>1</v>
      </c>
      <c r="AC38" s="1814">
        <f t="shared" si="17"/>
        <v>1</v>
      </c>
    </row>
    <row r="39" spans="1:29" ht="15">
      <c r="A39" s="472"/>
      <c r="B39" s="422" t="s">
        <v>2564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2565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8">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2567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28.8">
      <c r="A43" s="472"/>
      <c r="B43" s="422" t="s">
        <v>2568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4.4">
      <c r="A47" s="479" t="s">
        <v>2569</v>
      </c>
      <c r="B47" s="480"/>
      <c r="C47" s="1410" t="s">
        <v>19</v>
      </c>
      <c r="D47" s="1411"/>
      <c r="E47" s="1412"/>
      <c r="F47" s="1413"/>
      <c r="G47" s="1414"/>
      <c r="H47" s="1415"/>
      <c r="I47" s="1412"/>
      <c r="J47" s="1415"/>
      <c r="K47" s="2622"/>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 thickBot="1">
      <c r="A48" s="486" t="s">
        <v>2570</v>
      </c>
      <c r="B48" s="487"/>
      <c r="C48" s="1416" t="e">
        <f>R49</f>
        <v>#DIV/0!</v>
      </c>
      <c r="D48" s="1417"/>
      <c r="E48" s="1418" t="e">
        <f>R48</f>
        <v>#DIV/0!</v>
      </c>
      <c r="F48" s="1418"/>
      <c r="G48" s="1416" t="e">
        <f>T48</f>
        <v>#DIV/0!</v>
      </c>
      <c r="H48" s="1417"/>
      <c r="I48" s="1418" t="e">
        <f>V48</f>
        <v>#DIV/0!</v>
      </c>
      <c r="J48" s="1417"/>
      <c r="K48" s="2623"/>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 thickBot="1">
      <c r="A49" s="492" t="s">
        <v>2571</v>
      </c>
      <c r="B49" s="493"/>
      <c r="C49" s="1419" t="e">
        <f>R49</f>
        <v>#DIV/0!</v>
      </c>
      <c r="D49" s="1420"/>
      <c r="E49" s="1420"/>
      <c r="F49" s="1420"/>
      <c r="G49" s="1420"/>
      <c r="H49" s="1420"/>
      <c r="I49" s="1420"/>
      <c r="J49" s="1420"/>
      <c r="K49" s="2624"/>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2.2" thickBot="1">
      <c r="A57" s="763" t="s">
        <v>2575</v>
      </c>
      <c r="B57" s="759"/>
      <c r="C57" s="764"/>
      <c r="D57" s="764"/>
      <c r="E57" s="764"/>
      <c r="F57" s="765"/>
      <c r="G57" s="765"/>
      <c r="H57" s="764"/>
      <c r="I57" s="764"/>
      <c r="J57" s="764"/>
      <c r="K57" s="1163"/>
      <c r="L57" s="1164"/>
      <c r="M57" s="1162"/>
      <c r="N57" s="1162"/>
      <c r="O57" s="1162"/>
      <c r="P57" s="2627"/>
      <c r="Q57" s="504"/>
    </row>
    <row r="58" spans="1:29" s="508" customFormat="1" ht="14.4">
      <c r="A58" s="505" t="s">
        <v>2576</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c r="A59" s="509"/>
      <c r="B59" s="2628"/>
      <c r="C59" s="1576">
        <v>100</v>
      </c>
      <c r="D59" s="511"/>
      <c r="E59" s="512"/>
      <c r="F59" s="512"/>
      <c r="G59" s="512"/>
      <c r="H59" s="512"/>
      <c r="I59" s="512"/>
      <c r="J59" s="512"/>
      <c r="K59" s="512"/>
      <c r="L59" s="512"/>
      <c r="M59" s="513"/>
      <c r="N59" s="512"/>
      <c r="O59" s="513"/>
      <c r="P59" s="2629"/>
    </row>
    <row r="60" spans="1:29" s="117" customFormat="1" ht="15" thickBot="1">
      <c r="A60" s="515" t="s">
        <v>2577</v>
      </c>
      <c r="B60" s="516"/>
      <c r="C60" s="517"/>
      <c r="D60" s="518"/>
      <c r="E60" s="518"/>
      <c r="F60" s="518"/>
      <c r="G60" s="518"/>
      <c r="H60" s="518"/>
      <c r="I60" s="518"/>
      <c r="J60" s="518"/>
      <c r="K60" s="518"/>
      <c r="L60" s="518"/>
      <c r="M60" s="519"/>
      <c r="N60" s="518"/>
      <c r="O60" s="519"/>
      <c r="P60" s="2629"/>
      <c r="Q60" s="504"/>
    </row>
    <row r="61" spans="1:29" s="117" customFormat="1" ht="14.4">
      <c r="A61" s="521" t="s">
        <v>2578</v>
      </c>
      <c r="B61" s="510"/>
      <c r="C61" s="522" t="s">
        <v>2579</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2580</v>
      </c>
      <c r="B63" s="528" t="s">
        <v>2546</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60"/>
      <c r="E73" s="560"/>
      <c r="F73" s="560"/>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2092</v>
      </c>
      <c r="C82" s="539" t="s">
        <v>2596</v>
      </c>
      <c r="D82" s="539" t="s">
        <v>2597</v>
      </c>
      <c r="E82" s="539" t="s">
        <v>2598</v>
      </c>
      <c r="F82" s="539" t="s">
        <v>2599</v>
      </c>
      <c r="G82" s="539" t="s">
        <v>2600</v>
      </c>
      <c r="H82" s="539"/>
      <c r="I82" s="539"/>
      <c r="J82" s="539"/>
      <c r="K82" s="539"/>
      <c r="L82" s="539"/>
      <c r="M82" s="1385"/>
      <c r="N82" s="1156"/>
      <c r="O82" s="1156"/>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2602</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 thickTop="1">
      <c r="A88" s="579"/>
      <c r="B88" s="538" t="s">
        <v>2603</v>
      </c>
      <c r="C88" s="554"/>
      <c r="D88" s="554"/>
      <c r="E88" s="554"/>
      <c r="F88" s="2636"/>
      <c r="G88" s="554"/>
      <c r="H88" s="554"/>
      <c r="I88" s="554"/>
      <c r="J88" s="554"/>
      <c r="K88" s="554"/>
      <c r="L88" s="554"/>
      <c r="M88" s="581"/>
      <c r="N88" s="1154"/>
      <c r="O88" s="1154"/>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4.4" thickTop="1">
      <c r="A90" s="553"/>
      <c r="B90" s="538">
        <f>B27</f>
        <v>111</v>
      </c>
      <c r="C90" s="554"/>
      <c r="D90" s="554"/>
      <c r="E90" s="554"/>
      <c r="F90" s="554"/>
      <c r="G90" s="554"/>
      <c r="H90" s="555"/>
      <c r="I90" s="555"/>
      <c r="J90" s="555"/>
      <c r="K90" s="555"/>
      <c r="L90" s="556"/>
      <c r="M90" s="557"/>
      <c r="N90" s="1157"/>
      <c r="O90" s="1157"/>
      <c r="P90" s="2632"/>
      <c r="Q90" s="559"/>
    </row>
    <row r="91" spans="1:17" s="471" customFormat="1" ht="14.4" thickBot="1">
      <c r="A91" s="553"/>
      <c r="B91" s="543"/>
      <c r="C91" s="560"/>
      <c r="D91" s="560"/>
      <c r="E91" s="560"/>
      <c r="F91" s="560"/>
      <c r="G91" s="560"/>
      <c r="H91" s="562"/>
      <c r="I91" s="562"/>
      <c r="J91" s="562"/>
      <c r="K91" s="562"/>
      <c r="L91" s="562"/>
      <c r="M91" s="563"/>
      <c r="N91" s="1157"/>
      <c r="O91" s="1157"/>
      <c r="P91" s="2632"/>
      <c r="Q91" s="559"/>
    </row>
    <row r="92" spans="1:17" ht="14.4" thickTop="1">
      <c r="A92" s="534"/>
      <c r="B92" s="538">
        <f>B28</f>
        <v>111</v>
      </c>
      <c r="C92" s="554"/>
      <c r="D92" s="554"/>
      <c r="E92" s="554"/>
      <c r="F92" s="554"/>
      <c r="G92" s="583"/>
      <c r="H92" s="583"/>
      <c r="I92" s="583"/>
      <c r="J92" s="583"/>
      <c r="K92" s="584"/>
      <c r="L92" s="585"/>
      <c r="M92" s="586"/>
      <c r="N92" s="1155"/>
      <c r="O92" s="1155"/>
      <c r="P92" s="2631"/>
      <c r="Q92" s="504"/>
    </row>
    <row r="93" spans="1:17" ht="14.4" thickBot="1">
      <c r="A93" s="534"/>
      <c r="B93" s="543"/>
      <c r="C93" s="560"/>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60"/>
      <c r="E95" s="560"/>
      <c r="F95" s="560"/>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70"/>
      <c r="D97" s="570"/>
      <c r="E97" s="570"/>
      <c r="F97" s="570"/>
      <c r="G97" s="536"/>
      <c r="H97" s="536"/>
      <c r="I97" s="536"/>
      <c r="J97" s="536"/>
      <c r="K97" s="536"/>
      <c r="L97" s="536"/>
      <c r="M97" s="537"/>
      <c r="N97" s="1156"/>
      <c r="O97" s="1156"/>
      <c r="P97" s="2631"/>
      <c r="Q97" s="504"/>
    </row>
    <row r="98" spans="1:17" ht="14.4" thickTop="1">
      <c r="A98" s="534"/>
      <c r="B98" s="546">
        <f>B31</f>
        <v>111</v>
      </c>
      <c r="C98" s="587"/>
      <c r="D98" s="587"/>
      <c r="E98" s="587"/>
      <c r="F98" s="587"/>
      <c r="G98" s="587"/>
      <c r="H98" s="587"/>
      <c r="I98" s="587"/>
      <c r="J98" s="587"/>
      <c r="K98" s="588"/>
      <c r="L98" s="589"/>
      <c r="M98" s="590"/>
      <c r="N98" s="1155"/>
      <c r="O98" s="1155"/>
      <c r="P98" s="2631"/>
      <c r="Q98" s="504"/>
    </row>
    <row r="99" spans="1:17" ht="14.4" thickBot="1">
      <c r="A99" s="2637"/>
      <c r="B99" s="569"/>
      <c r="C99" s="591"/>
      <c r="D99" s="591"/>
      <c r="E99" s="591"/>
      <c r="F99" s="591"/>
      <c r="G99" s="591"/>
      <c r="H99" s="591"/>
      <c r="I99" s="591"/>
      <c r="J99" s="591"/>
      <c r="K99" s="591"/>
      <c r="L99" s="591"/>
      <c r="M99" s="592"/>
      <c r="N99" s="1156"/>
      <c r="O99" s="1156"/>
      <c r="P99" s="2631"/>
      <c r="Q99" s="504"/>
    </row>
    <row r="100" spans="1:17" ht="14.4">
      <c r="A100" s="527" t="s">
        <v>2555</v>
      </c>
      <c r="B100" s="528" t="s">
        <v>2604</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2607</v>
      </c>
      <c r="C107" s="583"/>
      <c r="D107" s="583"/>
      <c r="E107" s="583"/>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2608</v>
      </c>
      <c r="C109" s="554"/>
      <c r="D109" s="554"/>
      <c r="E109" s="554"/>
      <c r="F109" s="583"/>
      <c r="G109" s="583"/>
      <c r="H109" s="583"/>
      <c r="I109" s="583"/>
      <c r="J109" s="583"/>
      <c r="K109" s="584"/>
      <c r="L109" s="585"/>
      <c r="M109" s="586"/>
      <c r="N109" s="1155"/>
      <c r="O109" s="1155"/>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2609</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2610</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2611</v>
      </c>
      <c r="C118" s="583"/>
      <c r="D118" s="583"/>
      <c r="E118" s="583"/>
      <c r="F118" s="583"/>
      <c r="G118" s="583"/>
      <c r="H118" s="583"/>
      <c r="I118" s="583"/>
      <c r="J118" s="583"/>
      <c r="K118" s="584"/>
      <c r="L118" s="585"/>
      <c r="M118" s="586"/>
      <c r="N118" s="1155"/>
      <c r="O118" s="1155"/>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9.4" thickTop="1">
      <c r="A120" s="593"/>
      <c r="B120" s="538" t="s">
        <v>2566</v>
      </c>
      <c r="C120" s="554"/>
      <c r="D120" s="554"/>
      <c r="E120" s="554"/>
      <c r="F120" s="554"/>
      <c r="G120" s="554"/>
      <c r="H120" s="554"/>
      <c r="I120" s="554"/>
      <c r="J120" s="554"/>
      <c r="K120" s="554"/>
      <c r="L120" s="580"/>
      <c r="M120" s="581"/>
      <c r="N120" s="1157"/>
      <c r="O120" s="1157"/>
      <c r="P120" s="2632"/>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60"/>
      <c r="E129" s="560"/>
      <c r="F129" s="560"/>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6" t="s">
        <v>2617</v>
      </c>
      <c r="D138" s="146" t="s">
        <v>2618</v>
      </c>
      <c r="E138" s="2646" t="s">
        <v>2619</v>
      </c>
      <c r="F138" s="2647" t="s">
        <v>2620</v>
      </c>
      <c r="G138" s="146" t="s">
        <v>2618</v>
      </c>
      <c r="H138" s="147" t="s">
        <v>2619</v>
      </c>
      <c r="I138" s="2648"/>
      <c r="J138" s="146" t="s">
        <v>2621</v>
      </c>
      <c r="K138" s="147" t="s">
        <v>2622</v>
      </c>
    </row>
    <row r="139" spans="1:17" ht="15">
      <c r="B139" s="1087">
        <v>6</v>
      </c>
      <c r="C139" s="1088">
        <v>96</v>
      </c>
      <c r="D139" s="2649" t="s">
        <v>2623</v>
      </c>
      <c r="E139" s="1089">
        <v>100</v>
      </c>
      <c r="F139" s="1090">
        <v>102.5</v>
      </c>
      <c r="G139" s="2649" t="s">
        <v>2623</v>
      </c>
      <c r="H139" s="1091">
        <v>105</v>
      </c>
      <c r="I139" s="2650" t="s">
        <v>2624</v>
      </c>
      <c r="J139" s="1088">
        <v>20</v>
      </c>
      <c r="K139" s="1092">
        <f>C145/(J139-2)</f>
        <v>4.0555555555555553E-3</v>
      </c>
    </row>
    <row r="140" spans="1:17" ht="15">
      <c r="B140" s="1093">
        <v>5</v>
      </c>
      <c r="C140" s="1094">
        <v>100</v>
      </c>
      <c r="D140" s="1094"/>
      <c r="E140" s="1095"/>
      <c r="F140" s="1096">
        <v>102</v>
      </c>
      <c r="G140" s="1094"/>
      <c r="H140" s="1097"/>
      <c r="I140" s="2651" t="s">
        <v>2625</v>
      </c>
      <c r="J140" s="315">
        <f>ROUNDUP((J139-1)/2,0)</f>
        <v>10</v>
      </c>
      <c r="K140" s="1098">
        <v>100</v>
      </c>
    </row>
    <row r="141" spans="1:17" ht="15">
      <c r="B141" s="1093">
        <v>4</v>
      </c>
      <c r="C141" s="1094">
        <v>102</v>
      </c>
      <c r="D141" s="1094"/>
      <c r="E141" s="1095"/>
      <c r="F141" s="1096">
        <v>101.5</v>
      </c>
      <c r="G141" s="1094"/>
      <c r="H141" s="1097"/>
      <c r="I141" s="2651" t="s">
        <v>2626</v>
      </c>
      <c r="J141" s="315">
        <v>1</v>
      </c>
      <c r="K141" s="1099">
        <f>ROUND(100+(J141-J140)*K139*100,1)</f>
        <v>96.4</v>
      </c>
    </row>
    <row r="142" spans="1:17" ht="15">
      <c r="B142" s="1093">
        <v>3</v>
      </c>
      <c r="C142" s="1094">
        <v>103</v>
      </c>
      <c r="D142" s="1094"/>
      <c r="E142" s="1095"/>
      <c r="F142" s="1096">
        <v>101</v>
      </c>
      <c r="G142" s="1094"/>
      <c r="H142" s="1097"/>
      <c r="I142" s="2651" t="s">
        <v>2627</v>
      </c>
      <c r="J142" s="315">
        <f>J139</f>
        <v>20</v>
      </c>
      <c r="K142" s="1100">
        <v>95</v>
      </c>
    </row>
    <row r="143" spans="1:17" ht="15">
      <c r="B143" s="1093">
        <v>2</v>
      </c>
      <c r="C143" s="1094">
        <v>100</v>
      </c>
      <c r="D143" s="1094"/>
      <c r="E143" s="1095"/>
      <c r="F143" s="1096">
        <v>100.5</v>
      </c>
      <c r="G143" s="1094"/>
      <c r="H143" s="1097"/>
      <c r="I143" s="2651" t="s">
        <v>2628</v>
      </c>
      <c r="J143" s="1094">
        <v>15</v>
      </c>
      <c r="K143" s="1099">
        <f>ROUND(100+(J143-J140)*K139*100,1)</f>
        <v>102</v>
      </c>
    </row>
    <row r="144" spans="1:17" ht="15">
      <c r="B144" s="1093">
        <v>1</v>
      </c>
      <c r="C144" s="1094">
        <v>98</v>
      </c>
      <c r="D144" s="2652" t="s">
        <v>2629</v>
      </c>
      <c r="E144" s="1095">
        <v>102</v>
      </c>
      <c r="F144" s="1101">
        <v>100</v>
      </c>
      <c r="G144" s="2652" t="s">
        <v>2629</v>
      </c>
      <c r="H144" s="1097">
        <v>105</v>
      </c>
      <c r="I144" s="2651" t="s">
        <v>2628</v>
      </c>
      <c r="J144" s="1094">
        <v>18</v>
      </c>
      <c r="K144" s="1099">
        <f>ROUND(100+(J144-J140)*K139*100,1)</f>
        <v>103.2</v>
      </c>
    </row>
    <row r="145" spans="2:11" ht="16.2" thickBot="1">
      <c r="B145" s="2653" t="s">
        <v>2630</v>
      </c>
      <c r="C145" s="1102">
        <f>ROUND(MAX(C139:C144)/MIN(C139:C144)-1,3)</f>
        <v>7.2999999999999995E-2</v>
      </c>
      <c r="D145" s="1103"/>
      <c r="E145" s="1103"/>
      <c r="F145" s="2654" t="s">
        <v>2631</v>
      </c>
      <c r="G145" s="2655"/>
      <c r="H145" s="2656"/>
      <c r="I145" s="2657" t="s">
        <v>2628</v>
      </c>
      <c r="J145" s="1104">
        <v>8</v>
      </c>
      <c r="K145" s="1105">
        <f>ROUND(100+(J145-J140)*K139*100,1)</f>
        <v>99.2</v>
      </c>
    </row>
    <row r="147" spans="2:11" ht="14.4">
      <c r="B147" s="2638" t="s">
        <v>2632</v>
      </c>
    </row>
    <row r="148" spans="2:11" ht="14.4">
      <c r="B148" s="263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583" t="s">
        <v>2634</v>
      </c>
      <c r="C1" s="1637" t="s">
        <v>2522</v>
      </c>
      <c r="D1" s="1624"/>
      <c r="E1" s="2658"/>
      <c r="F1" s="2585"/>
      <c r="G1" s="1634" t="s">
        <v>2635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2319</v>
      </c>
      <c r="B2" s="1421" t="e">
        <f ca="1">IF(C2="——",ROUND(C49*D3/10000,0),ROUND(C49*D3/10000,0)-D2)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2321</v>
      </c>
      <c r="B3" s="609" t="e">
        <f ca="1">IF(C2="——",C49,ROUND(B2*10000/D3,0))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21" t="s">
        <v>2640</v>
      </c>
      <c r="AC4" s="3202" t="s">
        <v>2641</v>
      </c>
    </row>
    <row r="5" spans="1:29">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21"/>
      <c r="AC5" s="3203"/>
    </row>
    <row r="6" spans="1:29" ht="1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21"/>
      <c r="AC6" s="3204"/>
    </row>
    <row r="7" spans="1:29" s="117" customFormat="1" ht="1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6" si="3">D8/F8</f>
        <v>#DIV/0!</v>
      </c>
      <c r="AB8" s="773" t="e">
        <f t="shared" ref="AB8:AB46" si="4">D8/H8</f>
        <v>#DIV/0!</v>
      </c>
      <c r="AC8" s="773" t="e">
        <f t="shared" ref="AC8:AC46" si="5">D8/J8</f>
        <v>#DIV/0!</v>
      </c>
    </row>
    <row r="9" spans="1:29" s="117" customFormat="1" ht="14.4">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9">
      <c r="A15" s="440" t="s">
        <v>2551</v>
      </c>
      <c r="B15" s="69" t="s">
        <v>2645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2552</v>
      </c>
      <c r="Q15" s="1813" t="str">
        <f t="shared" si="6"/>
        <v>商业繁华度</v>
      </c>
      <c r="R15" s="774" t="s">
        <v>17</v>
      </c>
      <c r="S15" s="775">
        <f t="shared" si="0"/>
        <v>100</v>
      </c>
      <c r="T15" s="774" t="s">
        <v>17</v>
      </c>
      <c r="U15" s="775">
        <f t="shared" si="1"/>
        <v>100</v>
      </c>
      <c r="V15" s="774" t="s">
        <v>17</v>
      </c>
      <c r="W15" s="775">
        <f t="shared" si="2"/>
        <v>100</v>
      </c>
      <c r="X15" s="1816"/>
      <c r="Y15" s="3192"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2.8">
      <c r="A17" s="428"/>
      <c r="B17" s="451" t="s">
        <v>2091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1.4">
      <c r="A19" s="428"/>
      <c r="B19" s="451" t="s">
        <v>2646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7.6">
      <c r="A21" s="428"/>
      <c r="B21" s="1387" t="s">
        <v>2647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5.2">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2555</v>
      </c>
      <c r="B32" s="71" t="s">
        <v>2652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4" t="s">
        <v>2557</v>
      </c>
      <c r="Q32" s="1813" t="str">
        <f t="shared" si="11"/>
        <v>商业类型</v>
      </c>
      <c r="R32" s="774" t="s">
        <v>17</v>
      </c>
      <c r="S32" s="775">
        <f t="shared" si="12"/>
        <v>100</v>
      </c>
      <c r="T32" s="774" t="s">
        <v>17</v>
      </c>
      <c r="U32" s="775">
        <f t="shared" si="13"/>
        <v>100</v>
      </c>
      <c r="V32" s="774" t="s">
        <v>17</v>
      </c>
      <c r="W32" s="775">
        <f t="shared" si="14"/>
        <v>100</v>
      </c>
      <c r="X32" s="1816"/>
      <c r="Y32" s="3197"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2559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2653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2655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2656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5" t="s">
        <v>2557</v>
      </c>
      <c r="Q38" s="1813" t="str">
        <f t="shared" si="11"/>
        <v>业态</v>
      </c>
      <c r="R38" s="774" t="s">
        <v>17</v>
      </c>
      <c r="S38" s="775">
        <f t="shared" si="12"/>
        <v>100</v>
      </c>
      <c r="T38" s="774" t="s">
        <v>17</v>
      </c>
      <c r="U38" s="775">
        <f t="shared" si="13"/>
        <v>100</v>
      </c>
      <c r="V38" s="774" t="s">
        <v>17</v>
      </c>
      <c r="W38" s="775">
        <f t="shared" si="14"/>
        <v>100</v>
      </c>
      <c r="X38" s="1816"/>
      <c r="Y38" s="3197" t="s">
        <v>2557</v>
      </c>
      <c r="Z38" s="1817" t="str">
        <f t="shared" si="15"/>
        <v>业态</v>
      </c>
      <c r="AA38" s="1814">
        <f t="shared" si="3"/>
        <v>1</v>
      </c>
      <c r="AB38" s="1814">
        <f t="shared" si="4"/>
        <v>1</v>
      </c>
      <c r="AC38" s="1814">
        <f t="shared" si="5"/>
        <v>1</v>
      </c>
    </row>
    <row r="39" spans="1:29" ht="15">
      <c r="A39" s="472"/>
      <c r="B39" s="422" t="s">
        <v>2657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28.8">
      <c r="A43" s="472"/>
      <c r="B43" s="422" t="s">
        <v>2568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4.4">
      <c r="A47" s="479" t="s">
        <v>2569</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 thickBot="1">
      <c r="A49" s="492" t="s">
        <v>2662</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4.4">
      <c r="A58" s="505" t="s">
        <v>2540</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c r="A59" s="509"/>
      <c r="B59" s="510"/>
      <c r="C59" s="1576">
        <v>100</v>
      </c>
      <c r="D59" s="512"/>
      <c r="E59" s="512"/>
      <c r="F59" s="512"/>
      <c r="G59" s="512"/>
      <c r="H59" s="512"/>
      <c r="I59" s="512"/>
      <c r="J59" s="512"/>
      <c r="K59" s="512"/>
      <c r="L59" s="512"/>
      <c r="M59" s="513"/>
      <c r="N59" s="512"/>
      <c r="O59" s="513"/>
      <c r="P59" s="2629"/>
    </row>
    <row r="60" spans="1:29" s="117" customFormat="1" ht="15" thickBot="1">
      <c r="A60" s="515" t="s">
        <v>2577</v>
      </c>
      <c r="B60" s="516"/>
      <c r="C60" s="517"/>
      <c r="D60" s="518"/>
      <c r="E60" s="518"/>
      <c r="F60" s="518"/>
      <c r="G60" s="518"/>
      <c r="H60" s="518"/>
      <c r="I60" s="518"/>
      <c r="J60" s="518"/>
      <c r="K60" s="518"/>
      <c r="L60" s="518"/>
      <c r="M60" s="519"/>
      <c r="N60" s="518"/>
      <c r="O60" s="519"/>
      <c r="P60" s="2629"/>
      <c r="Q60" s="504"/>
    </row>
    <row r="61" spans="1:29" s="117" customFormat="1" ht="14.4">
      <c r="A61" s="521" t="s">
        <v>2542</v>
      </c>
      <c r="B61" s="510"/>
      <c r="C61" s="522" t="s">
        <v>2644</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2580</v>
      </c>
      <c r="B63" s="528" t="s">
        <v>2546</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36"/>
      <c r="E73" s="536"/>
      <c r="F73" s="536"/>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2647</v>
      </c>
      <c r="C82" s="660" t="s">
        <v>2667</v>
      </c>
      <c r="D82" s="660" t="s">
        <v>2668</v>
      </c>
      <c r="E82" s="660" t="s">
        <v>2669</v>
      </c>
      <c r="F82" s="660" t="s">
        <v>2670</v>
      </c>
      <c r="G82" s="660" t="s">
        <v>2671</v>
      </c>
      <c r="H82" s="539"/>
      <c r="I82" s="539"/>
      <c r="J82" s="539"/>
      <c r="K82" s="539"/>
      <c r="L82" s="539"/>
      <c r="M82" s="1385"/>
      <c r="N82" s="1156"/>
      <c r="O82" s="1156"/>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2672</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4.4" thickBot="1">
      <c r="A89" s="579"/>
      <c r="B89" s="543"/>
      <c r="C89" s="560"/>
      <c r="D89" s="536"/>
      <c r="E89" s="536"/>
      <c r="F89" s="536"/>
      <c r="G89" s="536"/>
      <c r="H89" s="536"/>
      <c r="I89" s="536"/>
      <c r="J89" s="536"/>
      <c r="K89" s="536"/>
      <c r="L89" s="536"/>
      <c r="M89" s="536"/>
      <c r="N89" s="1156"/>
      <c r="O89" s="1156"/>
      <c r="P89" s="2631"/>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4.4" thickTop="1">
      <c r="A92" s="534"/>
      <c r="B92" s="538" t="str">
        <f>B28</f>
        <v>楼层</v>
      </c>
      <c r="C92" s="554"/>
      <c r="D92" s="554"/>
      <c r="E92" s="554"/>
      <c r="F92" s="554"/>
      <c r="G92" s="554"/>
      <c r="H92" s="554"/>
      <c r="I92" s="554"/>
      <c r="J92" s="554"/>
      <c r="K92" s="554"/>
      <c r="L92" s="580"/>
      <c r="M92" s="581"/>
      <c r="N92" s="1155"/>
      <c r="O92" s="1155"/>
      <c r="P92" s="2631"/>
      <c r="Q92" s="504"/>
    </row>
    <row r="93" spans="1:17" ht="14.4" thickBot="1">
      <c r="A93" s="534"/>
      <c r="B93" s="543"/>
      <c r="C93" s="536"/>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36"/>
      <c r="E95" s="536"/>
      <c r="F95" s="536"/>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60"/>
      <c r="D97" s="536"/>
      <c r="E97" s="536"/>
      <c r="F97" s="536"/>
      <c r="G97" s="536"/>
      <c r="H97" s="536"/>
      <c r="I97" s="536"/>
      <c r="J97" s="536"/>
      <c r="K97" s="536"/>
      <c r="L97" s="536"/>
      <c r="M97" s="537"/>
      <c r="N97" s="1156"/>
      <c r="O97" s="1156"/>
      <c r="P97" s="2631"/>
      <c r="Q97" s="504"/>
    </row>
    <row r="98" spans="1:17" ht="14.4" thickTop="1">
      <c r="A98" s="534"/>
      <c r="B98" s="546">
        <f>B31</f>
        <v>111</v>
      </c>
      <c r="C98" s="554"/>
      <c r="D98" s="554"/>
      <c r="E98" s="554"/>
      <c r="F98" s="554"/>
      <c r="G98" s="587"/>
      <c r="H98" s="587"/>
      <c r="I98" s="587"/>
      <c r="J98" s="587"/>
      <c r="K98" s="588"/>
      <c r="L98" s="589"/>
      <c r="M98" s="590"/>
      <c r="N98" s="1155"/>
      <c r="O98" s="1155"/>
      <c r="P98" s="2631"/>
      <c r="Q98" s="504"/>
    </row>
    <row r="99" spans="1:17" ht="14.4" thickBot="1">
      <c r="A99" s="2637"/>
      <c r="B99" s="569"/>
      <c r="C99" s="570"/>
      <c r="D99" s="570"/>
      <c r="E99" s="570"/>
      <c r="F99" s="570"/>
      <c r="G99" s="591"/>
      <c r="H99" s="591"/>
      <c r="I99" s="591"/>
      <c r="J99" s="591"/>
      <c r="K99" s="591"/>
      <c r="L99" s="591"/>
      <c r="M99" s="592"/>
      <c r="N99" s="1156"/>
      <c r="O99" s="1156"/>
      <c r="P99" s="2631"/>
      <c r="Q99" s="504"/>
    </row>
    <row r="100" spans="1:17" ht="14.4">
      <c r="A100" s="527" t="s">
        <v>2555</v>
      </c>
      <c r="B100" s="528" t="s">
        <v>2673</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2608</v>
      </c>
      <c r="C107" s="554"/>
      <c r="D107" s="554"/>
      <c r="E107" s="554"/>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2674</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2675</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2676</v>
      </c>
      <c r="C118" s="627"/>
      <c r="D118" s="627"/>
      <c r="E118" s="627"/>
      <c r="F118" s="627"/>
      <c r="G118" s="627"/>
      <c r="H118" s="555"/>
      <c r="I118" s="555"/>
      <c r="J118" s="555"/>
      <c r="K118" s="555"/>
      <c r="L118" s="556"/>
      <c r="M118" s="557"/>
      <c r="N118" s="1155"/>
      <c r="O118" s="1155"/>
      <c r="P118" s="2631"/>
      <c r="Q118" s="504"/>
    </row>
    <row r="119" spans="1:17" ht="14.4"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36"/>
      <c r="E129" s="536"/>
      <c r="F129" s="536"/>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670" t="s">
        <v>2694</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7"/>
      <c r="D2" s="1127"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53162.09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 thickBot="1">
      <c r="A7" s="408" t="s">
        <v>2540</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0" si="3">D8/F8</f>
        <v>#DIV/0!</v>
      </c>
      <c r="AB8" s="773" t="e">
        <f t="shared" ref="AB8:AB40" si="4">D8/H8</f>
        <v>#DIV/0!</v>
      </c>
      <c r="AC8" s="773" t="e">
        <f t="shared" ref="AC8:AC40" si="5">D8/J8</f>
        <v>#DIV/0!</v>
      </c>
    </row>
    <row r="9" spans="1:29" s="117" customFormat="1" ht="14.4">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9">
      <c r="A15" s="440" t="s">
        <v>2551</v>
      </c>
      <c r="B15" s="69" t="s">
        <v>2695</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2552</v>
      </c>
      <c r="Q15" s="1813" t="str">
        <f t="shared" si="6"/>
        <v>产业集聚程度</v>
      </c>
      <c r="R15" s="774" t="s">
        <v>17</v>
      </c>
      <c r="S15" s="775">
        <f t="shared" si="0"/>
        <v>100</v>
      </c>
      <c r="T15" s="774" t="s">
        <v>17</v>
      </c>
      <c r="U15" s="775">
        <f t="shared" si="1"/>
        <v>100</v>
      </c>
      <c r="V15" s="774" t="s">
        <v>17</v>
      </c>
      <c r="W15" s="775">
        <f t="shared" si="2"/>
        <v>100</v>
      </c>
      <c r="X15" s="1816"/>
      <c r="Y15" s="3192"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96.6">
      <c r="A17" s="428"/>
      <c r="B17" s="451" t="s">
        <v>2091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1.4">
      <c r="A19" s="428"/>
      <c r="B19" s="451" t="s">
        <v>2680</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41.4">
      <c r="A21" s="428"/>
      <c r="B21" s="1387" t="s">
        <v>2681</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82.8">
      <c r="A23" s="428"/>
      <c r="B23" s="451" t="s">
        <v>2682</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30">
      <c r="A29" s="466" t="s">
        <v>2555</v>
      </c>
      <c r="B29" s="71" t="s">
        <v>2685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33" t="s">
        <v>2557</v>
      </c>
      <c r="Q29" s="1813" t="str">
        <f t="shared" si="11"/>
        <v>建筑类型</v>
      </c>
      <c r="R29" s="774" t="s">
        <v>17</v>
      </c>
      <c r="S29" s="775">
        <f t="shared" si="12"/>
        <v>100</v>
      </c>
      <c r="T29" s="774" t="s">
        <v>17</v>
      </c>
      <c r="U29" s="775">
        <f t="shared" si="13"/>
        <v>100</v>
      </c>
      <c r="V29" s="774" t="s">
        <v>17</v>
      </c>
      <c r="W29" s="775">
        <f t="shared" si="14"/>
        <v>100</v>
      </c>
      <c r="X29" s="1816"/>
      <c r="Y29" s="3197"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2557</v>
      </c>
      <c r="Q35" s="1813" t="str">
        <f t="shared" si="11"/>
        <v>市政基础设施</v>
      </c>
      <c r="R35" s="774" t="s">
        <v>17</v>
      </c>
      <c r="S35" s="775">
        <f t="shared" si="12"/>
        <v>100</v>
      </c>
      <c r="T35" s="774" t="s">
        <v>17</v>
      </c>
      <c r="U35" s="775">
        <f t="shared" si="13"/>
        <v>100</v>
      </c>
      <c r="V35" s="774" t="s">
        <v>17</v>
      </c>
      <c r="W35" s="775">
        <f t="shared" si="14"/>
        <v>100</v>
      </c>
      <c r="X35" s="1816"/>
      <c r="Y35" s="3197"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4.4">
      <c r="A41" s="479" t="s">
        <v>2569</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 thickBot="1">
      <c r="A43" s="492" t="s">
        <v>2662</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2666</v>
      </c>
      <c r="B51" s="759"/>
      <c r="C51" s="764"/>
      <c r="D51" s="764"/>
      <c r="E51" s="764"/>
      <c r="F51" s="765"/>
      <c r="G51" s="765"/>
      <c r="H51" s="764"/>
      <c r="I51" s="764"/>
      <c r="J51" s="764"/>
      <c r="K51" s="1163"/>
      <c r="L51" s="1164"/>
      <c r="M51" s="1162"/>
      <c r="N51" s="1162"/>
      <c r="O51" s="1162"/>
      <c r="P51" s="503"/>
      <c r="Q51" s="504"/>
    </row>
    <row r="52" spans="1:17" s="508" customFormat="1" ht="14.4">
      <c r="A52" s="505" t="s">
        <v>2540</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2577</v>
      </c>
      <c r="B54" s="516"/>
      <c r="C54" s="517"/>
      <c r="D54" s="518"/>
      <c r="E54" s="518"/>
      <c r="F54" s="518"/>
      <c r="G54" s="518"/>
      <c r="H54" s="518"/>
      <c r="I54" s="518"/>
      <c r="J54" s="518"/>
      <c r="K54" s="518"/>
      <c r="L54" s="518"/>
      <c r="M54" s="519"/>
      <c r="N54" s="518"/>
      <c r="O54" s="520"/>
      <c r="P54" s="504"/>
      <c r="Q54" s="504"/>
    </row>
    <row r="55" spans="1:17" s="117" customFormat="1" ht="14.4">
      <c r="A55" s="521" t="s">
        <v>2542</v>
      </c>
      <c r="B55" s="510"/>
      <c r="C55" s="522" t="s">
        <v>2644</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2580</v>
      </c>
      <c r="B57" s="528" t="s">
        <v>2546</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7"/>
      <c r="B87" s="569"/>
      <c r="C87" s="570"/>
      <c r="D87" s="570"/>
      <c r="E87" s="570"/>
      <c r="F87" s="570"/>
      <c r="G87" s="591"/>
      <c r="H87" s="591"/>
      <c r="I87" s="591"/>
      <c r="J87" s="591"/>
      <c r="K87" s="591"/>
      <c r="L87" s="591"/>
      <c r="M87" s="592"/>
      <c r="N87" s="1156"/>
      <c r="O87" s="1156"/>
      <c r="P87" s="45"/>
      <c r="Q87" s="504"/>
    </row>
    <row r="88" spans="1:17" ht="14.4">
      <c r="A88" s="527" t="s">
        <v>2555</v>
      </c>
      <c r="B88" s="528" t="s">
        <v>2604</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2699</v>
      </c>
      <c r="B1" s="1622"/>
      <c r="C1" s="1623" t="s">
        <v>2522</v>
      </c>
      <c r="D1" s="1624"/>
      <c r="E1" s="1625"/>
      <c r="F1" s="2585"/>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 thickBot="1">
      <c r="A7" s="408" t="s">
        <v>2540</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2541</v>
      </c>
      <c r="Q7" s="3228"/>
      <c r="R7" s="770" t="s">
        <v>17</v>
      </c>
      <c r="S7" s="771">
        <f t="shared" ref="S7:S14" si="0">F7</f>
        <v>0</v>
      </c>
      <c r="T7" s="770" t="s">
        <v>17</v>
      </c>
      <c r="U7" s="771">
        <f t="shared" ref="U7:U14" si="1">H7</f>
        <v>0</v>
      </c>
      <c r="V7" s="770" t="s">
        <v>17</v>
      </c>
      <c r="W7" s="771">
        <f t="shared" ref="W7:W14" si="2">J7</f>
        <v>0</v>
      </c>
      <c r="X7" s="772"/>
      <c r="Y7" s="3226" t="s">
        <v>2541</v>
      </c>
      <c r="Z7" s="3227"/>
      <c r="AA7" s="773" t="e">
        <f>D7/F7</f>
        <v>#DIV/0!</v>
      </c>
      <c r="AB7" s="773" t="e">
        <f>D7/H7</f>
        <v>#DIV/0!</v>
      </c>
      <c r="AC7" s="773" t="e">
        <f>D7/J7</f>
        <v>#DIV/0!</v>
      </c>
    </row>
    <row r="8" spans="1:29" s="117" customFormat="1" ht="1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36" si="3">D8/F8</f>
        <v>#DIV/0!</v>
      </c>
      <c r="AB8" s="773" t="e">
        <f t="shared" ref="AB8:AB36" si="4">D8/H8</f>
        <v>#DIV/0!</v>
      </c>
      <c r="AC8" s="773" t="e">
        <f t="shared" ref="AC8:AC36" si="5">D8/J8</f>
        <v>#DIV/0!</v>
      </c>
    </row>
    <row r="9" spans="1:29" s="117" customFormat="1" ht="14.4">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2547</v>
      </c>
      <c r="Q9" s="1798" t="str">
        <f t="shared" ref="Q9:Q14" si="6">B9</f>
        <v>用途</v>
      </c>
      <c r="R9" s="770" t="s">
        <v>17</v>
      </c>
      <c r="S9" s="771">
        <f t="shared" si="0"/>
        <v>100</v>
      </c>
      <c r="T9" s="770" t="s">
        <v>17</v>
      </c>
      <c r="U9" s="771">
        <f t="shared" si="1"/>
        <v>100</v>
      </c>
      <c r="V9" s="770" t="s">
        <v>17</v>
      </c>
      <c r="W9" s="771">
        <f t="shared" si="2"/>
        <v>100</v>
      </c>
      <c r="X9" s="772"/>
      <c r="Y9" s="3015" t="s">
        <v>2548</v>
      </c>
      <c r="Z9" s="55" t="str">
        <f t="shared" ref="Z9:Z14" si="7">Q9</f>
        <v>用途</v>
      </c>
      <c r="AA9" s="773">
        <f t="shared" si="3"/>
        <v>1</v>
      </c>
      <c r="AB9" s="773">
        <f t="shared" si="4"/>
        <v>1</v>
      </c>
      <c r="AC9" s="773">
        <f t="shared" si="5"/>
        <v>1</v>
      </c>
    </row>
    <row r="10" spans="1:29" s="427" customFormat="1" ht="28.8">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96.6">
      <c r="A14" s="401" t="s">
        <v>2551</v>
      </c>
      <c r="B14" s="629" t="s">
        <v>2701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2552</v>
      </c>
      <c r="Q14" s="1813" t="str">
        <f t="shared" si="6"/>
        <v>交通便捷度</v>
      </c>
      <c r="R14" s="774" t="s">
        <v>17</v>
      </c>
      <c r="S14" s="775">
        <f t="shared" si="0"/>
        <v>100</v>
      </c>
      <c r="T14" s="774" t="s">
        <v>17</v>
      </c>
      <c r="U14" s="775">
        <f t="shared" si="1"/>
        <v>100</v>
      </c>
      <c r="V14" s="774" t="s">
        <v>17</v>
      </c>
      <c r="W14" s="775">
        <f t="shared" si="2"/>
        <v>100</v>
      </c>
      <c r="X14" s="1816"/>
      <c r="Y14" s="3192"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1.4">
      <c r="A16" s="404"/>
      <c r="B16" s="631" t="s">
        <v>2680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41.4">
      <c r="A18" s="404"/>
      <c r="B18" s="633" t="s">
        <v>2681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5.2">
      <c r="A20" s="404"/>
      <c r="B20" s="631" t="s">
        <v>2702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30">
      <c r="A26" s="652" t="s">
        <v>2555</v>
      </c>
      <c r="B26" s="70" t="s">
        <v>2704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2557</v>
      </c>
      <c r="Q32" s="1813" t="str">
        <f t="shared" si="11"/>
        <v>车位类型</v>
      </c>
      <c r="R32" s="774" t="s">
        <v>17</v>
      </c>
      <c r="S32" s="775">
        <f t="shared" si="12"/>
        <v>100</v>
      </c>
      <c r="T32" s="774" t="s">
        <v>17</v>
      </c>
      <c r="U32" s="775">
        <f t="shared" si="13"/>
        <v>100</v>
      </c>
      <c r="V32" s="774" t="s">
        <v>17</v>
      </c>
      <c r="W32" s="775">
        <f t="shared" si="14"/>
        <v>100</v>
      </c>
      <c r="X32" s="1816"/>
      <c r="Y32" s="3197"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4.4">
      <c r="A37" s="479" t="s">
        <v>2712</v>
      </c>
      <c r="B37" s="2696" t="s">
        <v>2713</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 thickBot="1">
      <c r="A39" s="492" t="s">
        <v>2715</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2720</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1605</v>
      </c>
    </row>
    <row r="2" spans="1:1">
      <c r="A2" s="1949"/>
    </row>
    <row r="3" spans="1:1" ht="17.399999999999999">
      <c r="A3" s="1950" t="str">
        <f>项目基本情况!B5&amp;"："</f>
        <v>北京博华东方教育投资管理咨询有限公司：</v>
      </c>
    </row>
    <row r="4" spans="1:1" ht="34.799999999999997">
      <c r="A4" s="1951" t="str">
        <f>"受贵公司委托，我公司对"&amp;项目基本情况!S1&amp;"进行了预评估。"</f>
        <v>受贵公司委托，我公司对北京市顺义区京顺路99号1幢等5幢办公用房房地产抵押价值进行了预评估。</v>
      </c>
    </row>
    <row r="5" spans="1:1" ht="17.399999999999999">
      <c r="A5" s="1952" t="s">
        <v>1606</v>
      </c>
    </row>
    <row r="6" spans="1:1" ht="17.399999999999999">
      <c r="A6" s="1953" t="s">
        <v>1607</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1" ht="54.6">
      <c r="A8" s="1954" t="s">
        <v>1608</v>
      </c>
    </row>
    <row r="9" spans="1:1" ht="17.399999999999999">
      <c r="A9" s="1953" t="s">
        <v>1609</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1" spans="1:1" ht="72">
      <c r="A11" s="1954" t="s">
        <v>1610</v>
      </c>
    </row>
    <row r="12" spans="1:1" ht="17.399999999999999">
      <c r="A12" s="1952" t="s">
        <v>1611</v>
      </c>
    </row>
    <row r="13" spans="1:1" ht="38.25" customHeight="1">
      <c r="A13" s="1955" t="str">
        <f>IF(项目基本情况!B8="抵押",IF(项目基本情况!B5=项目基本情况!B6,定义!C51,定义!B51),定义!D51)</f>
        <v>为估价委托人在向上海浦东发展银行股份有限公司北京世纪城支行
办理贷款手续过程中，确定房地产抵押贷款额度提供参考依据而评估房地产抵押价值。</v>
      </c>
    </row>
    <row r="14" spans="1:1" ht="17.399999999999999">
      <c r="A14" s="1956" t="s">
        <v>1612</v>
      </c>
    </row>
    <row r="15" spans="1:1" ht="17.399999999999999">
      <c r="A15" s="1957" t="str">
        <f>TEXT(项目基本情况!D3,"yyyy年m月d日;;")&amp;IF(项目基本情况!D3=项目基本情况!B3,"（评估专业人员实地查勘之日）","")</f>
        <v>2019年3月20日（评估专业人员实地查勘之日）</v>
      </c>
    </row>
    <row r="16" spans="1:1" ht="17.399999999999999">
      <c r="A16" s="1956" t="s">
        <v>1613</v>
      </c>
    </row>
    <row r="17" spans="1:1" ht="69.599999999999994">
      <c r="A17" s="1951" t="s">
        <v>1614</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1603</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2699</v>
      </c>
      <c r="B1" s="1622"/>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 thickBot="1">
      <c r="A7" s="408" t="s">
        <v>2540</v>
      </c>
      <c r="B7" s="409"/>
      <c r="C7" s="410">
        <f>'数据-取费表'!B2</f>
        <v>43544</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26" t="s">
        <v>2541</v>
      </c>
      <c r="Q7" s="3228"/>
      <c r="R7" s="770" t="s">
        <v>17</v>
      </c>
      <c r="S7" s="771">
        <f t="shared" ref="S7:S14" si="0">F7</f>
        <v>0</v>
      </c>
      <c r="T7" s="770" t="s">
        <v>17</v>
      </c>
      <c r="U7" s="771">
        <f t="shared" ref="U7:U14" si="1">H7</f>
        <v>0</v>
      </c>
      <c r="V7" s="770" t="s">
        <v>17</v>
      </c>
      <c r="W7" s="771">
        <f t="shared" ref="W7:W14" si="2">J7</f>
        <v>0</v>
      </c>
      <c r="X7" s="772"/>
      <c r="Y7" s="3226" t="s">
        <v>2541</v>
      </c>
      <c r="Z7" s="3227"/>
      <c r="AA7" s="773" t="e">
        <f>D7/F7</f>
        <v>#DIV/0!</v>
      </c>
      <c r="AB7" s="773" t="e">
        <f>D7/H7</f>
        <v>#DIV/0!</v>
      </c>
      <c r="AC7" s="773" t="e">
        <f>D7/J7</f>
        <v>#DIV/0!</v>
      </c>
    </row>
    <row r="8" spans="1:29" s="117" customFormat="1" ht="1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34" si="3">D8/F8</f>
        <v>#DIV/0!</v>
      </c>
      <c r="AB8" s="773" t="e">
        <f t="shared" ref="AB8:AB34" si="4">D8/H8</f>
        <v>#DIV/0!</v>
      </c>
      <c r="AC8" s="773" t="e">
        <f t="shared" ref="AC8:AC34" si="5">D8/J8</f>
        <v>#DIV/0!</v>
      </c>
    </row>
    <row r="9" spans="1:29" s="117" customFormat="1" ht="14.4">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2547</v>
      </c>
      <c r="Q9" s="1798" t="str">
        <f t="shared" ref="Q9:Q14" si="6">B9</f>
        <v>用途</v>
      </c>
      <c r="R9" s="770" t="s">
        <v>17</v>
      </c>
      <c r="S9" s="771">
        <f t="shared" si="0"/>
        <v>100</v>
      </c>
      <c r="T9" s="770" t="s">
        <v>17</v>
      </c>
      <c r="U9" s="771">
        <f t="shared" si="1"/>
        <v>100</v>
      </c>
      <c r="V9" s="770" t="s">
        <v>17</v>
      </c>
      <c r="W9" s="771">
        <f t="shared" si="2"/>
        <v>100</v>
      </c>
      <c r="X9" s="772"/>
      <c r="Y9" s="3015" t="s">
        <v>2548</v>
      </c>
      <c r="Z9" s="55" t="str">
        <f t="shared" ref="Z9:Z14" si="7">Q9</f>
        <v>用途</v>
      </c>
      <c r="AA9" s="773">
        <f t="shared" si="3"/>
        <v>1</v>
      </c>
      <c r="AB9" s="773">
        <f t="shared" si="4"/>
        <v>1</v>
      </c>
      <c r="AC9" s="773">
        <f t="shared" si="5"/>
        <v>1</v>
      </c>
    </row>
    <row r="10" spans="1:29" s="427" customFormat="1" ht="28.8">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96.6">
      <c r="A14" s="440" t="s">
        <v>2551</v>
      </c>
      <c r="B14" s="69" t="s">
        <v>2701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2552</v>
      </c>
      <c r="Q14" s="1813" t="str">
        <f t="shared" si="6"/>
        <v>交通便捷度</v>
      </c>
      <c r="R14" s="774" t="s">
        <v>17</v>
      </c>
      <c r="S14" s="775">
        <f t="shared" si="0"/>
        <v>100</v>
      </c>
      <c r="T14" s="774" t="s">
        <v>17</v>
      </c>
      <c r="U14" s="775">
        <f t="shared" si="1"/>
        <v>100</v>
      </c>
      <c r="V14" s="774" t="s">
        <v>17</v>
      </c>
      <c r="W14" s="775">
        <f t="shared" si="2"/>
        <v>100</v>
      </c>
      <c r="X14" s="1816"/>
      <c r="Y14" s="3192"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1.4">
      <c r="A16" s="428"/>
      <c r="B16" s="451" t="s">
        <v>2680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41.4">
      <c r="A18" s="428"/>
      <c r="B18" s="1387" t="s">
        <v>2681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5.2">
      <c r="A20" s="428"/>
      <c r="B20" s="451" t="s">
        <v>2702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30">
      <c r="A26" s="466" t="s">
        <v>2555</v>
      </c>
      <c r="B26" s="71" t="s">
        <v>2706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33"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2557</v>
      </c>
      <c r="Q32" s="1813">
        <f t="shared" si="11"/>
        <v>111</v>
      </c>
      <c r="R32" s="774" t="s">
        <v>17</v>
      </c>
      <c r="S32" s="775">
        <f t="shared" si="12"/>
        <v>100</v>
      </c>
      <c r="T32" s="774" t="s">
        <v>17</v>
      </c>
      <c r="U32" s="775">
        <f t="shared" si="13"/>
        <v>100</v>
      </c>
      <c r="V32" s="774" t="s">
        <v>17</v>
      </c>
      <c r="W32" s="775">
        <f t="shared" si="14"/>
        <v>100</v>
      </c>
      <c r="X32" s="1816"/>
      <c r="Y32" s="3197" t="s">
        <v>2557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4.4">
      <c r="A35" s="479" t="s">
        <v>2569</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 thickBot="1">
      <c r="A37" s="492" t="s">
        <v>2662</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2666</v>
      </c>
      <c r="B45" s="759"/>
      <c r="C45" s="764"/>
      <c r="D45" s="764"/>
      <c r="E45" s="764"/>
      <c r="F45" s="765"/>
      <c r="G45" s="765"/>
      <c r="H45" s="764"/>
      <c r="I45" s="764"/>
      <c r="J45" s="764"/>
      <c r="K45" s="766"/>
      <c r="L45" s="767"/>
      <c r="M45" s="764"/>
      <c r="N45" s="764"/>
      <c r="O45" s="764"/>
      <c r="P45" s="503"/>
      <c r="Q45" s="504"/>
    </row>
    <row r="46" spans="1:29" s="508" customFormat="1" ht="14.4">
      <c r="A46" s="505" t="s">
        <v>2540</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2577</v>
      </c>
      <c r="B48" s="516"/>
      <c r="C48" s="517"/>
      <c r="D48" s="518"/>
      <c r="E48" s="518"/>
      <c r="F48" s="518"/>
      <c r="G48" s="518"/>
      <c r="H48" s="518"/>
      <c r="I48" s="518"/>
      <c r="J48" s="518"/>
      <c r="K48" s="518"/>
      <c r="L48" s="518"/>
      <c r="M48" s="519"/>
      <c r="N48" s="518"/>
      <c r="O48" s="520"/>
      <c r="P48" s="504"/>
      <c r="Q48" s="504"/>
    </row>
    <row r="49" spans="1:17" s="117" customFormat="1" ht="14.4">
      <c r="A49" s="521" t="s">
        <v>2542</v>
      </c>
      <c r="B49" s="510"/>
      <c r="C49" s="522" t="s">
        <v>2644</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2580</v>
      </c>
      <c r="B51" s="528" t="s">
        <v>2546</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2721</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30">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30" ht="1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30" s="117" customFormat="1" ht="15" thickBot="1">
      <c r="A7" s="408" t="s">
        <v>2540</v>
      </c>
      <c r="B7" s="409"/>
      <c r="C7" s="410">
        <f>'数据-取费表'!B2</f>
        <v>43544</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30" s="117" customFormat="1" ht="1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5" si="3">D8/F8</f>
        <v>#DIV/0!</v>
      </c>
      <c r="AB8" s="773" t="e">
        <f t="shared" ref="AB8:AB45" si="4">D8/H8</f>
        <v>#DIV/0!</v>
      </c>
      <c r="AC8" s="773" t="e">
        <f t="shared" ref="AC8:AC45" si="5">D8/J8</f>
        <v>#DIV/0!</v>
      </c>
    </row>
    <row r="9" spans="1:30" s="117" customFormat="1" ht="14.4">
      <c r="A9" s="415" t="s">
        <v>2545</v>
      </c>
      <c r="B9" s="71" t="s">
        <v>2546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90"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30" s="427" customFormat="1" ht="28.8">
      <c r="A10" s="421"/>
      <c r="B10" s="422" t="s">
        <v>2549</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3015"/>
      <c r="Z10" s="55" t="str">
        <f t="shared" si="7"/>
        <v>土地使用年限（年）</v>
      </c>
      <c r="AA10" s="773">
        <f t="shared" si="3"/>
        <v>0.90090090090090091</v>
      </c>
      <c r="AB10" s="773">
        <f t="shared" si="4"/>
        <v>0.90090090090090091</v>
      </c>
      <c r="AC10" s="773">
        <f t="shared" si="5"/>
        <v>0.90090090090090091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1"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6.6">
      <c r="A15" s="440" t="s">
        <v>2551</v>
      </c>
      <c r="B15" s="69" t="s">
        <v>2079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2552</v>
      </c>
      <c r="Q15" s="1813" t="str">
        <f t="shared" si="6"/>
        <v>居住社区成熟度</v>
      </c>
      <c r="R15" s="774" t="s">
        <v>17</v>
      </c>
      <c r="S15" s="775">
        <f t="shared" si="0"/>
        <v>100</v>
      </c>
      <c r="T15" s="774" t="s">
        <v>17</v>
      </c>
      <c r="U15" s="775">
        <f t="shared" si="1"/>
        <v>100</v>
      </c>
      <c r="V15" s="774" t="s">
        <v>17</v>
      </c>
      <c r="W15" s="775">
        <f t="shared" si="2"/>
        <v>100</v>
      </c>
      <c r="X15" s="1816"/>
      <c r="Y15" s="3192" t="s">
        <v>2552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2.8">
      <c r="A17" s="428"/>
      <c r="B17" s="451" t="s">
        <v>2645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82.8">
      <c r="A19" s="428"/>
      <c r="B19" s="451" t="s">
        <v>2679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96.6">
      <c r="A21" s="428"/>
      <c r="B21" s="451" t="s">
        <v>2701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28.8">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5.2">
      <c r="A25" s="404"/>
      <c r="B25" s="1387" t="s">
        <v>2741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1.4">
      <c r="A27" s="649"/>
      <c r="B27" s="1387" t="s">
        <v>2646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41.4">
      <c r="A29" s="649"/>
      <c r="B29" s="1387" t="s">
        <v>2647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8.8">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2557</v>
      </c>
      <c r="Q36" s="1813">
        <f t="shared" si="8"/>
        <v>111</v>
      </c>
      <c r="R36" s="774" t="s">
        <v>17</v>
      </c>
      <c r="S36" s="775">
        <f t="shared" si="10"/>
        <v>100</v>
      </c>
      <c r="T36" s="774" t="s">
        <v>17</v>
      </c>
      <c r="U36" s="775">
        <f t="shared" si="11"/>
        <v>100</v>
      </c>
      <c r="V36" s="774" t="s">
        <v>17</v>
      </c>
      <c r="W36" s="775">
        <f t="shared" si="12"/>
        <v>100</v>
      </c>
      <c r="X36" s="1816"/>
      <c r="Y36" s="3197" t="s">
        <v>2557</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6">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2744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2745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2746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2747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7" t="s">
        <v>2557</v>
      </c>
      <c r="Q42" s="1813" t="str">
        <f t="shared" si="14"/>
        <v>工程地质条件</v>
      </c>
      <c r="R42" s="774" t="s">
        <v>17</v>
      </c>
      <c r="S42" s="775">
        <f t="shared" si="10"/>
        <v>100</v>
      </c>
      <c r="T42" s="774" t="s">
        <v>17</v>
      </c>
      <c r="U42" s="775">
        <f t="shared" si="11"/>
        <v>100</v>
      </c>
      <c r="V42" s="774" t="s">
        <v>17</v>
      </c>
      <c r="W42" s="775">
        <f t="shared" si="12"/>
        <v>100</v>
      </c>
      <c r="X42" s="1816"/>
      <c r="Y42" s="3197"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6"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4.4">
      <c r="A46" s="479" t="s">
        <v>2712</v>
      </c>
      <c r="B46" s="2705" t="s">
        <v>2748</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 thickBot="1">
      <c r="A48" s="492" t="s">
        <v>2749</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6" t="s">
        <v>2752</v>
      </c>
      <c r="D55" s="2707" t="s">
        <v>2753</v>
      </c>
      <c r="E55" s="686" t="s">
        <v>2754</v>
      </c>
      <c r="F55" s="1110" t="s">
        <v>2755</v>
      </c>
      <c r="G55" s="3205" t="s">
        <v>2756</v>
      </c>
      <c r="H55" s="3236"/>
      <c r="I55" s="144" t="s">
        <v>2757</v>
      </c>
      <c r="J55" s="2708">
        <f>项目基本情况!F35</f>
        <v>0</v>
      </c>
      <c r="K55" s="2709" t="s">
        <v>2758</v>
      </c>
      <c r="L55" s="1109"/>
      <c r="M55" s="1147"/>
      <c r="N55" s="1147"/>
      <c r="O55" s="1147"/>
    </row>
    <row r="56" spans="1:15" s="692" customFormat="1">
      <c r="A56" s="688" t="s">
        <v>2759</v>
      </c>
      <c r="B56" s="689" t="e">
        <f>C48</f>
        <v>#DIV/0!</v>
      </c>
      <c r="C56" s="690">
        <v>1</v>
      </c>
      <c r="D56" s="1166">
        <v>1</v>
      </c>
      <c r="E56" s="690">
        <f>'数据-汇总表'!E8+'数据-汇总表'!E9</f>
        <v>53162.09</v>
      </c>
      <c r="F56" s="1106" t="e">
        <f t="shared" ref="F56:F65" si="15">ROUND(B56*E56/10000,0)</f>
        <v>#DIV/0!</v>
      </c>
      <c r="G56" s="3201"/>
      <c r="H56" s="3190"/>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237"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0.2</v>
      </c>
      <c r="D61" s="1167">
        <v>0.25</v>
      </c>
      <c r="E61" s="261">
        <f>'数据-汇总表'!E11</f>
        <v>0</v>
      </c>
      <c r="F61" s="1106" t="e">
        <f t="shared" si="15"/>
        <v>#DIV/0!</v>
      </c>
      <c r="G61" s="2710" t="s">
        <v>2766</v>
      </c>
      <c r="H61" s="1107" t="str">
        <f>项目基本情况!C37</f>
        <v>九级</v>
      </c>
      <c r="I61" s="1111">
        <f>SUMIF(修正!A45:A56,H61,修正!F45:F56)</f>
        <v>0.2</v>
      </c>
      <c r="J61" s="1115"/>
      <c r="K61" s="1147"/>
      <c r="L61" s="944"/>
      <c r="M61" s="944"/>
      <c r="N61" s="944"/>
      <c r="O61" s="944"/>
    </row>
    <row r="62" spans="1:15" s="692" customFormat="1">
      <c r="A62" s="693" t="s">
        <v>2767</v>
      </c>
      <c r="B62" s="262" t="e">
        <f t="shared" si="17"/>
        <v>#DIV/0!</v>
      </c>
      <c r="C62" s="200">
        <f t="shared" si="16"/>
        <v>0.2</v>
      </c>
      <c r="D62" s="1167">
        <v>0.25</v>
      </c>
      <c r="E62" s="261">
        <f>'数据-汇总表'!E12</f>
        <v>0</v>
      </c>
      <c r="F62" s="1106" t="e">
        <f t="shared" si="15"/>
        <v>#DIV/0!</v>
      </c>
      <c r="G62" s="1112" t="s">
        <v>2768</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0" t="s">
        <v>2761</v>
      </c>
      <c r="H64" s="1107">
        <f>项目基本情况!B37</f>
        <v>0</v>
      </c>
      <c r="I64" s="1111">
        <f>SUMIF(修正!A45:A56,H64,修正!H45:H56)</f>
        <v>0</v>
      </c>
      <c r="J64" s="1115"/>
      <c r="K64" s="1148"/>
      <c r="L64" s="944"/>
      <c r="M64" s="944"/>
      <c r="N64" s="944"/>
      <c r="O64" s="944"/>
    </row>
    <row r="65" spans="1:17" s="692" customFormat="1" ht="14.4" thickBot="1">
      <c r="A65" s="693" t="s">
        <v>2772</v>
      </c>
      <c r="B65" s="262" t="e">
        <f t="shared" si="17"/>
        <v>#DIV/0!</v>
      </c>
      <c r="C65" s="200">
        <f t="shared" si="16"/>
        <v>0.15</v>
      </c>
      <c r="D65" s="1167">
        <v>0.25</v>
      </c>
      <c r="E65" s="261">
        <f>'数据-汇总表'!E15</f>
        <v>0</v>
      </c>
      <c r="F65" s="1106" t="e">
        <f t="shared" si="15"/>
        <v>#DIV/0!</v>
      </c>
      <c r="G65" s="2711" t="s">
        <v>2766</v>
      </c>
      <c r="H65" s="1117" t="str">
        <f>项目基本情况!C37</f>
        <v>九级</v>
      </c>
      <c r="I65" s="1113">
        <f>SUMIF(修正!A45:A56,H65,修正!H45:H56)</f>
        <v>0.15</v>
      </c>
      <c r="J65" s="1116"/>
      <c r="K65" s="1147"/>
      <c r="L65" s="944"/>
      <c r="M65" s="944"/>
      <c r="N65" s="944"/>
      <c r="O65" s="944"/>
    </row>
    <row r="66" spans="1:17" s="692" customFormat="1" thickBot="1">
      <c r="A66" s="695" t="s">
        <v>2773</v>
      </c>
      <c r="B66" s="696" t="s">
        <v>28</v>
      </c>
      <c r="C66" s="696" t="s">
        <v>29</v>
      </c>
      <c r="D66" s="696" t="s">
        <v>1026</v>
      </c>
      <c r="E66" s="696">
        <f>IF(B46="楼面地价",SUM(E56:E65),'数据-汇总表'!D3)</f>
        <v>53162.09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2666</v>
      </c>
      <c r="B69" s="759"/>
      <c r="C69" s="764"/>
      <c r="D69" s="764"/>
      <c r="E69" s="764"/>
      <c r="F69" s="765"/>
      <c r="G69" s="765"/>
      <c r="H69" s="764"/>
      <c r="I69" s="764"/>
      <c r="J69" s="1162"/>
      <c r="K69" s="1163"/>
      <c r="L69" s="1164"/>
      <c r="M69" s="1162"/>
      <c r="N69" s="1162"/>
      <c r="O69" s="1162"/>
      <c r="P69" s="503"/>
      <c r="Q69" s="504"/>
    </row>
    <row r="70" spans="1:17" s="508" customFormat="1" ht="14.4">
      <c r="A70" s="2712" t="s">
        <v>2774</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3" t="s">
        <v>2775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 thickBot="1">
      <c r="A72" s="515" t="s">
        <v>2577</v>
      </c>
      <c r="B72" s="516"/>
      <c r="C72" s="517"/>
      <c r="D72" s="518"/>
      <c r="E72" s="518"/>
      <c r="F72" s="518"/>
      <c r="G72" s="518"/>
      <c r="H72" s="518"/>
      <c r="I72" s="518"/>
      <c r="J72" s="518"/>
      <c r="K72" s="518"/>
      <c r="L72" s="518"/>
      <c r="M72" s="519"/>
      <c r="N72" s="518"/>
      <c r="O72" s="1165"/>
      <c r="P72" s="504"/>
      <c r="Q72" s="504"/>
    </row>
    <row r="73" spans="1:17" s="117" customFormat="1" ht="14.4">
      <c r="A73" s="521" t="s">
        <v>2542</v>
      </c>
      <c r="B73" s="510"/>
      <c r="C73" s="522" t="s">
        <v>2644</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2580</v>
      </c>
      <c r="B75" s="528" t="s">
        <v>2546</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2549</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2683</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2742</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 thickBot="1">
      <c r="A6" s="406"/>
      <c r="B6" s="407"/>
      <c r="C6" s="3238" t="s">
        <v>2789</v>
      </c>
      <c r="D6" s="3239"/>
      <c r="E6" s="3240" t="s">
        <v>2789</v>
      </c>
      <c r="F6" s="3241"/>
      <c r="G6" s="3238" t="s">
        <v>2789</v>
      </c>
      <c r="H6" s="3239"/>
      <c r="I6" s="3238" t="s">
        <v>2789</v>
      </c>
      <c r="J6" s="3239"/>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 thickBot="1">
      <c r="A7" s="408" t="s">
        <v>2540</v>
      </c>
      <c r="B7" s="409"/>
      <c r="C7" s="410">
        <f>'数据-取费表'!B2</f>
        <v>43544</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0" si="3">D8/F8</f>
        <v>#DIV/0!</v>
      </c>
      <c r="AB8" s="773" t="e">
        <f t="shared" ref="AB8:AB40" si="4">D8/H8</f>
        <v>#DIV/0!</v>
      </c>
      <c r="AC8" s="773" t="e">
        <f t="shared" ref="AC8:AC40" si="5">D8/J8</f>
        <v>#DIV/0!</v>
      </c>
    </row>
    <row r="9" spans="1:29" s="117" customFormat="1" ht="14.4">
      <c r="A9" s="415" t="s">
        <v>2545</v>
      </c>
      <c r="B9" s="71" t="s">
        <v>2546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90"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8.8">
      <c r="A10" s="421"/>
      <c r="B10" s="422" t="s">
        <v>2549</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3015"/>
      <c r="Z10" s="55" t="str">
        <f t="shared" si="7"/>
        <v>土地使用年限（年）</v>
      </c>
      <c r="AA10" s="773">
        <f t="shared" si="3"/>
        <v>0.90090090090090091</v>
      </c>
      <c r="AB10" s="773">
        <f t="shared" si="4"/>
        <v>0.90090090090090091</v>
      </c>
      <c r="AC10" s="773">
        <f t="shared" si="5"/>
        <v>0.90090090090090091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9">
      <c r="A15" s="440" t="s">
        <v>2551</v>
      </c>
      <c r="B15" s="629" t="s">
        <v>2790</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2552</v>
      </c>
      <c r="Q15" s="1813" t="str">
        <f t="shared" si="6"/>
        <v>产业集聚程度</v>
      </c>
      <c r="R15" s="774" t="s">
        <v>17</v>
      </c>
      <c r="S15" s="775">
        <f t="shared" si="0"/>
        <v>100</v>
      </c>
      <c r="T15" s="774" t="s">
        <v>17</v>
      </c>
      <c r="U15" s="775">
        <f t="shared" si="1"/>
        <v>100</v>
      </c>
      <c r="V15" s="774" t="s">
        <v>17</v>
      </c>
      <c r="W15" s="775">
        <f t="shared" si="2"/>
        <v>100</v>
      </c>
      <c r="X15" s="1816"/>
      <c r="Y15" s="3192" t="s">
        <v>2552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96.6">
      <c r="A17" s="428"/>
      <c r="B17" s="631" t="s">
        <v>2701</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28.8">
      <c r="A19" s="428"/>
      <c r="B19" s="631" t="s">
        <v>2740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93"/>
      <c r="Q20" s="1813"/>
      <c r="R20" s="774"/>
      <c r="S20" s="775"/>
      <c r="T20" s="774"/>
      <c r="U20" s="775"/>
      <c r="V20" s="774"/>
      <c r="W20" s="775"/>
      <c r="X20" s="1816"/>
      <c r="Y20" s="3193"/>
      <c r="Z20" s="1817"/>
      <c r="AA20" s="1814"/>
      <c r="AB20" s="1814"/>
      <c r="AC20" s="1814"/>
    </row>
    <row r="21" spans="1:29" ht="82.8">
      <c r="A21" s="404"/>
      <c r="B21" s="631" t="s">
        <v>2791</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1.4">
      <c r="A23" s="649"/>
      <c r="B23" s="633" t="s">
        <v>2646</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41.4">
      <c r="A25" s="649"/>
      <c r="B25" s="633" t="s">
        <v>2647</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8.8">
      <c r="A28" s="428"/>
      <c r="B28" s="633" t="s">
        <v>2683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2557</v>
      </c>
      <c r="Q32" s="1813">
        <f t="shared" si="8"/>
        <v>111</v>
      </c>
      <c r="R32" s="774" t="s">
        <v>17</v>
      </c>
      <c r="S32" s="775">
        <f t="shared" si="10"/>
        <v>100</v>
      </c>
      <c r="T32" s="774" t="s">
        <v>17</v>
      </c>
      <c r="U32" s="775">
        <f t="shared" si="11"/>
        <v>100</v>
      </c>
      <c r="V32" s="774" t="s">
        <v>17</v>
      </c>
      <c r="W32" s="775">
        <f t="shared" si="12"/>
        <v>100</v>
      </c>
      <c r="X32" s="1816"/>
      <c r="Y32" s="3197" t="s">
        <v>2557</v>
      </c>
      <c r="Z32" s="1817">
        <f t="shared" si="13"/>
        <v>111</v>
      </c>
      <c r="AA32" s="1814">
        <f t="shared" si="3"/>
        <v>1</v>
      </c>
      <c r="AB32" s="1814">
        <f t="shared" si="4"/>
        <v>1</v>
      </c>
      <c r="AC32" s="1814">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2744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2746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2747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7" t="s">
        <v>2557</v>
      </c>
      <c r="Q37" s="1813" t="str">
        <f t="shared" si="14"/>
        <v>工程地质条件</v>
      </c>
      <c r="R37" s="774" t="s">
        <v>17</v>
      </c>
      <c r="S37" s="775">
        <f t="shared" si="10"/>
        <v>100</v>
      </c>
      <c r="T37" s="774" t="s">
        <v>17</v>
      </c>
      <c r="U37" s="775">
        <f t="shared" si="11"/>
        <v>100</v>
      </c>
      <c r="V37" s="774" t="s">
        <v>17</v>
      </c>
      <c r="W37" s="775">
        <f t="shared" si="12"/>
        <v>100</v>
      </c>
      <c r="X37" s="1816"/>
      <c r="Y37" s="3197"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6"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4.4">
      <c r="A41" s="479" t="s">
        <v>2712</v>
      </c>
      <c r="B41" s="2705" t="s">
        <v>2792</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 thickBot="1">
      <c r="A43" s="492" t="s">
        <v>2662</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2750</v>
      </c>
      <c r="B50" s="685" t="s">
        <v>2751</v>
      </c>
      <c r="C50" s="2706" t="s">
        <v>2752</v>
      </c>
      <c r="D50" s="2707" t="s">
        <v>2753</v>
      </c>
      <c r="E50" s="686" t="s">
        <v>2754</v>
      </c>
      <c r="F50" s="687" t="s">
        <v>2755</v>
      </c>
      <c r="G50" s="3205" t="s">
        <v>2756</v>
      </c>
      <c r="H50" s="3236"/>
      <c r="I50" s="1817" t="s">
        <v>2793</v>
      </c>
      <c r="J50" s="1817">
        <f>项目基本情况!F35</f>
        <v>0</v>
      </c>
      <c r="K50" s="2709" t="s">
        <v>2758</v>
      </c>
      <c r="L50" s="1109"/>
      <c r="M50" s="1147"/>
      <c r="N50" s="1147"/>
      <c r="O50" s="1147"/>
    </row>
    <row r="51" spans="1:17" s="692" customFormat="1">
      <c r="A51" s="688" t="s">
        <v>2759</v>
      </c>
      <c r="B51" s="689" t="e">
        <f>C43</f>
        <v>#DIV/0!</v>
      </c>
      <c r="C51" s="690">
        <v>1</v>
      </c>
      <c r="D51" s="1166">
        <v>1</v>
      </c>
      <c r="E51" s="690">
        <f>'数据-汇总表'!E8+'数据-汇总表'!E9</f>
        <v>53162.09</v>
      </c>
      <c r="F51" s="691" t="e">
        <f t="shared" ref="F51:F60" si="15">ROUND(B51*E51/10000,0)</f>
        <v>#DIV/0!</v>
      </c>
      <c r="G51" s="3201"/>
      <c r="H51" s="3190"/>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237"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0.2</v>
      </c>
      <c r="D56" s="1167">
        <v>0.25</v>
      </c>
      <c r="E56" s="261">
        <f>'数据-汇总表'!E11</f>
        <v>0</v>
      </c>
      <c r="F56" s="691" t="e">
        <f t="shared" si="15"/>
        <v>#DIV/0!</v>
      </c>
      <c r="G56" s="2710" t="s">
        <v>2766</v>
      </c>
      <c r="H56" s="1107" t="str">
        <f>项目基本情况!C37</f>
        <v>九级</v>
      </c>
      <c r="I56" s="945">
        <f>SUMIF(修正!A45:A56,H56,修正!F45:F56)</f>
        <v>0.2</v>
      </c>
      <c r="J56" s="946"/>
      <c r="K56" s="1147"/>
      <c r="L56" s="944"/>
      <c r="M56" s="944"/>
      <c r="N56" s="944"/>
      <c r="O56" s="944"/>
    </row>
    <row r="57" spans="1:17" s="692" customFormat="1">
      <c r="A57" s="693" t="s">
        <v>2767</v>
      </c>
      <c r="B57" s="262" t="e">
        <f t="shared" si="17"/>
        <v>#DIV/0!</v>
      </c>
      <c r="C57" s="200">
        <f t="shared" si="16"/>
        <v>0.2</v>
      </c>
      <c r="D57" s="1167">
        <v>0.25</v>
      </c>
      <c r="E57" s="261">
        <f>'数据-汇总表'!E12</f>
        <v>0</v>
      </c>
      <c r="F57" s="691" t="e">
        <f t="shared" si="15"/>
        <v>#DIV/0!</v>
      </c>
      <c r="G57" s="1112" t="s">
        <v>2768</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0" t="s">
        <v>2761</v>
      </c>
      <c r="H59" s="1107">
        <f>项目基本情况!B37</f>
        <v>0</v>
      </c>
      <c r="I59" s="945">
        <f>SUMIF(修正!A45:A56,H59,修正!H45:H56)</f>
        <v>0</v>
      </c>
      <c r="J59" s="946"/>
      <c r="K59" s="1148"/>
      <c r="L59" s="944"/>
      <c r="M59" s="944"/>
      <c r="N59" s="944"/>
      <c r="O59" s="944"/>
    </row>
    <row r="60" spans="1:17" s="692" customFormat="1" ht="14.4" thickBot="1">
      <c r="A60" s="693" t="s">
        <v>2772</v>
      </c>
      <c r="B60" s="262" t="e">
        <f t="shared" si="17"/>
        <v>#DIV/0!</v>
      </c>
      <c r="C60" s="200">
        <f t="shared" si="16"/>
        <v>0.15</v>
      </c>
      <c r="D60" s="1167">
        <v>0.25</v>
      </c>
      <c r="E60" s="261">
        <f>'数据-汇总表'!E15</f>
        <v>0</v>
      </c>
      <c r="F60" s="691" t="e">
        <f t="shared" si="15"/>
        <v>#DIV/0!</v>
      </c>
      <c r="G60" s="2711" t="s">
        <v>2766</v>
      </c>
      <c r="H60" s="1117" t="str">
        <f>项目基本情况!C37</f>
        <v>九级</v>
      </c>
      <c r="I60" s="945">
        <f>SUMIF(修正!A45:A56,H60,修正!H45:H56)</f>
        <v>0.15</v>
      </c>
      <c r="J60" s="946"/>
      <c r="K60" s="1147"/>
      <c r="L60" s="944"/>
      <c r="M60" s="944"/>
      <c r="N60" s="944"/>
      <c r="O60" s="944"/>
    </row>
    <row r="61" spans="1:17" s="692" customFormat="1" ht="14.4" thickBot="1">
      <c r="A61" s="695" t="s">
        <v>2773</v>
      </c>
      <c r="B61" s="696" t="s">
        <v>28</v>
      </c>
      <c r="C61" s="696" t="s">
        <v>29</v>
      </c>
      <c r="D61" s="696" t="s">
        <v>1026</v>
      </c>
      <c r="E61" s="696">
        <f>IF(B41="楼面地价",SUM(E51:E60),'数据-汇总表'!D3)</f>
        <v>63000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2666</v>
      </c>
      <c r="B64" s="759"/>
      <c r="C64" s="764"/>
      <c r="D64" s="764"/>
      <c r="E64" s="764"/>
      <c r="F64" s="765"/>
      <c r="G64" s="765"/>
      <c r="H64" s="764"/>
      <c r="I64" s="764"/>
      <c r="J64" s="764"/>
      <c r="K64" s="766"/>
      <c r="L64" s="767"/>
      <c r="M64" s="764"/>
      <c r="N64" s="764"/>
      <c r="O64" s="1162"/>
      <c r="P64" s="503"/>
      <c r="Q64" s="504"/>
    </row>
    <row r="65" spans="1:17" s="508" customFormat="1" ht="14.4">
      <c r="A65" s="2712" t="s">
        <v>2774</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7" t="s">
        <v>2794</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 thickBot="1">
      <c r="A67" s="515" t="s">
        <v>2577</v>
      </c>
      <c r="B67" s="516"/>
      <c r="C67" s="517"/>
      <c r="D67" s="518"/>
      <c r="E67" s="518"/>
      <c r="F67" s="518"/>
      <c r="G67" s="518"/>
      <c r="H67" s="518"/>
      <c r="I67" s="518"/>
      <c r="J67" s="518"/>
      <c r="K67" s="518"/>
      <c r="L67" s="518"/>
      <c r="M67" s="519"/>
      <c r="N67" s="519"/>
      <c r="O67" s="520"/>
      <c r="P67" s="504"/>
      <c r="Q67" s="504"/>
    </row>
    <row r="68" spans="1:17" s="117" customFormat="1" ht="14.4">
      <c r="A68" s="521" t="s">
        <v>2542</v>
      </c>
      <c r="B68" s="510"/>
      <c r="C68" s="522" t="s">
        <v>2644</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2580</v>
      </c>
      <c r="B70" s="528" t="s">
        <v>2546</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2549</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2683</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2742</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68" sqref="G68"/>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5" customWidth="1"/>
    <col min="33" max="36" width="9.33203125" style="2797" customWidth="1"/>
    <col min="37" max="38" width="9.33203125" style="2721" customWidth="1"/>
    <col min="39" max="16384" width="12" style="2721"/>
  </cols>
  <sheetData>
    <row r="1" spans="1:36" ht="31.2">
      <c r="A1" s="240" t="s">
        <v>2796</v>
      </c>
      <c r="B1" s="241"/>
      <c r="C1" s="245" t="s">
        <v>2797</v>
      </c>
      <c r="D1" s="388">
        <f>SUM(D29:D30,D33:D39)</f>
        <v>53162.09</v>
      </c>
      <c r="E1" s="2718"/>
      <c r="F1" s="2718"/>
      <c r="G1" s="2718"/>
      <c r="H1" s="2718"/>
      <c r="I1" s="2718"/>
      <c r="J1" s="2718"/>
      <c r="K1" s="1373"/>
      <c r="L1" s="2719" t="s">
        <v>2798</v>
      </c>
      <c r="M1" s="1083">
        <f>SUMPRODUCT((区片价!B5:B9=I2)*(区片价!C3:F3=E2)*(区片价!C5:F9))</f>
        <v>0</v>
      </c>
      <c r="N1" s="1086">
        <f>SUMPRODUCT((因素修正幅度!B5:B9=I2)*(因素修正幅度!C3:F3=E2)*(因素修正幅度!C5:F9))</f>
        <v>0</v>
      </c>
      <c r="O1" s="2720"/>
      <c r="P1" s="2720"/>
      <c r="Q1" s="1373"/>
      <c r="R1" s="1605" t="s">
        <v>2799</v>
      </c>
      <c r="S1" s="1605" t="s">
        <v>2800</v>
      </c>
      <c r="T1" s="1605" t="s">
        <v>2801</v>
      </c>
      <c r="U1" s="1605" t="s">
        <v>2802</v>
      </c>
      <c r="V1" s="1605" t="s">
        <v>2803</v>
      </c>
      <c r="W1" s="1609"/>
      <c r="X1" s="1609"/>
      <c r="Y1" s="1609"/>
      <c r="Z1" s="1609"/>
      <c r="AA1" s="1609"/>
      <c r="AB1" s="1609"/>
      <c r="AC1" s="1610"/>
      <c r="AD1" s="1611"/>
      <c r="AE1" s="1611"/>
      <c r="AF1" s="1611"/>
      <c r="AG1" s="1611"/>
      <c r="AH1" s="1611"/>
      <c r="AI1" s="1611"/>
      <c r="AJ1" s="1612"/>
    </row>
    <row r="2" spans="1:36" ht="15.6">
      <c r="A2" s="245" t="s">
        <v>2804</v>
      </c>
      <c r="B2" s="248">
        <f ca="1">C26</f>
        <v>33056</v>
      </c>
      <c r="C2" s="2722" t="s">
        <v>2805</v>
      </c>
      <c r="D2" s="2723" t="s">
        <v>2806</v>
      </c>
      <c r="E2" s="2724" t="s">
        <v>27</v>
      </c>
      <c r="F2" s="2723" t="s">
        <v>2807</v>
      </c>
      <c r="G2" s="2725" t="str">
        <f>IF(E2="商业",项目基本情况!B37,IF(E2="办公",项目基本情况!C37,IF(E2="住宅",项目基本情况!D37,项目基本情况!E37)))</f>
        <v>九级</v>
      </c>
      <c r="H2" s="2723" t="s">
        <v>2808</v>
      </c>
      <c r="I2" s="2725" t="str">
        <f>IF(E2="商业",项目基本情况!B38,IF(E2="办公",项目基本情况!C38,IF(E2="住宅",项目基本情况!D38,项目基本情况!E38)))</f>
        <v>Ⅸ-顺1</v>
      </c>
      <c r="J2" s="2726"/>
      <c r="K2" s="1373"/>
      <c r="L2" s="2727" t="s">
        <v>2809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2.3119000000000001</v>
      </c>
      <c r="T2" s="1605">
        <f ca="1">ROUND($C$5*$C$18*$C$19*$C$20*S2*$C$24,0)</f>
        <v>9718</v>
      </c>
      <c r="U2" s="1606"/>
      <c r="V2" s="1605">
        <f ca="1">ROUND(T2*U2/10000,0)</f>
        <v>0</v>
      </c>
      <c r="W2" s="1609"/>
      <c r="X2" s="1609"/>
      <c r="Y2" s="1609"/>
      <c r="Z2" s="1609"/>
      <c r="AA2" s="1609"/>
      <c r="AB2" s="1609"/>
      <c r="AC2" s="1610"/>
      <c r="AD2" s="1611"/>
      <c r="AE2" s="1611"/>
      <c r="AF2" s="1611"/>
      <c r="AG2" s="1611"/>
      <c r="AH2" s="1611"/>
      <c r="AI2" s="1611"/>
      <c r="AJ2" s="1612"/>
    </row>
    <row r="3" spans="1:36" ht="15.6">
      <c r="A3" s="247" t="s">
        <v>2810</v>
      </c>
      <c r="B3" s="248">
        <f ca="1">ROUND(B2*10000/D1,0)</f>
        <v>6218</v>
      </c>
      <c r="C3" s="2722" t="s">
        <v>2811</v>
      </c>
      <c r="D3" s="2723" t="s">
        <v>2812</v>
      </c>
      <c r="E3" s="2728" t="s">
        <v>3075</v>
      </c>
      <c r="F3" s="2729" t="s">
        <v>3144</v>
      </c>
      <c r="G3" s="916">
        <f>IF(F3="宗地容积率",'数据-汇总表'!I4,IF(F3="估价对象容积率",'数据-汇总表'!I6,'数据-汇总表'!I7))</f>
        <v>0.84</v>
      </c>
      <c r="H3" s="198" t="s">
        <v>2813</v>
      </c>
      <c r="I3" s="947"/>
      <c r="J3" s="2726" t="s">
        <v>2814</v>
      </c>
      <c r="K3" s="1373"/>
      <c r="L3" s="2727"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1.5237000000000001</v>
      </c>
      <c r="T3" s="1605">
        <f t="shared" ref="T3:T16" ca="1" si="0">ROUND($C$5*$C$18*$C$19*$C$20*S3*$C$24,0)</f>
        <v>6405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45"/>
      <c r="B4" s="3246"/>
      <c r="C4" s="3246"/>
      <c r="D4" s="3247"/>
      <c r="E4" s="3247"/>
      <c r="F4" s="3247"/>
      <c r="G4" s="3247"/>
      <c r="H4" s="3247"/>
      <c r="I4" s="3247"/>
      <c r="J4" s="3248"/>
      <c r="K4" s="1373"/>
      <c r="L4" s="2727"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1.1990000000000001</v>
      </c>
      <c r="T4" s="1605">
        <f t="shared" ca="1" si="0"/>
        <v>5040</v>
      </c>
      <c r="U4" s="1606"/>
      <c r="V4" s="1605">
        <f t="shared" ca="1" si="1"/>
        <v>0</v>
      </c>
      <c r="W4" s="1609"/>
      <c r="X4" s="1609"/>
      <c r="Y4" s="1609"/>
      <c r="Z4" s="1609"/>
      <c r="AA4" s="1609"/>
      <c r="AB4" s="1609"/>
      <c r="AC4" s="1610"/>
      <c r="AD4" s="1611"/>
      <c r="AE4" s="1611"/>
      <c r="AF4" s="1611"/>
      <c r="AG4" s="1611"/>
      <c r="AH4" s="1611"/>
      <c r="AI4" s="1611"/>
      <c r="AJ4" s="1612"/>
    </row>
    <row r="5" spans="1:36" s="2739" customFormat="1" ht="15.6" thickBot="1">
      <c r="A5" s="2730" t="s">
        <v>807</v>
      </c>
      <c r="B5" s="2731" t="s">
        <v>2817</v>
      </c>
      <c r="C5" s="917">
        <f>ROUND(IF(E2="商业",IF(F16="增加",C6*C7+C16,C6*C7-C16),IF(E2="住宅",IF(F16="增加",C6*C12+C16,C6*C12-C16),IF(F16="增加",C6+C16,C6-C16))),0)</f>
        <v>3840</v>
      </c>
      <c r="D5" s="1790">
        <f>ROUND(IF(F16="增加",C6+C16,C6-C16),0)</f>
        <v>3840</v>
      </c>
      <c r="E5" s="1790"/>
      <c r="F5" s="2732"/>
      <c r="G5" s="2733"/>
      <c r="H5" s="2733"/>
      <c r="I5" s="2733"/>
      <c r="J5" s="2734"/>
      <c r="K5" s="2735"/>
      <c r="L5" s="2727"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0.89580000000000004</v>
      </c>
      <c r="T5" s="1605">
        <f t="shared" ca="1" si="0"/>
        <v>3765</v>
      </c>
      <c r="U5" s="1606"/>
      <c r="V5" s="1605">
        <f t="shared" ca="1" si="1"/>
        <v>0</v>
      </c>
      <c r="W5" s="1609"/>
      <c r="X5" s="1609"/>
      <c r="Y5" s="1609"/>
      <c r="Z5" s="1609"/>
      <c r="AA5" s="1609"/>
      <c r="AB5" s="1609"/>
      <c r="AC5" s="2736"/>
      <c r="AD5" s="2737"/>
      <c r="AE5" s="2737"/>
      <c r="AF5" s="2737"/>
      <c r="AG5" s="2737"/>
      <c r="AH5" s="2737"/>
      <c r="AI5" s="2737"/>
      <c r="AJ5" s="2738"/>
    </row>
    <row r="6" spans="1:36" ht="15.6" thickBot="1">
      <c r="A6" s="2740" t="s">
        <v>2819</v>
      </c>
      <c r="B6" s="2741" t="s">
        <v>2820</v>
      </c>
      <c r="C6" s="918">
        <f>SUMIF(L1:L12,G2,M1:M12)</f>
        <v>3840</v>
      </c>
      <c r="D6" s="2742" t="s">
        <v>2821</v>
      </c>
      <c r="E6" s="2743"/>
      <c r="F6" s="2743"/>
      <c r="G6" s="2744"/>
      <c r="H6" s="2744"/>
      <c r="I6" s="2744"/>
      <c r="J6" s="2745"/>
      <c r="K6" s="1845"/>
      <c r="L6" s="2727"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0.67369999999999997</v>
      </c>
      <c r="T6" s="1605">
        <f t="shared" ca="1" si="0"/>
        <v>2832</v>
      </c>
      <c r="U6" s="1606"/>
      <c r="V6" s="1605">
        <f t="shared" ca="1" si="1"/>
        <v>0</v>
      </c>
      <c r="W6" s="1609"/>
      <c r="X6" s="1609"/>
      <c r="Y6" s="1609"/>
      <c r="Z6" s="1609"/>
      <c r="AA6" s="1609"/>
      <c r="AB6" s="1609"/>
      <c r="AC6" s="2736"/>
      <c r="AD6" s="2737"/>
      <c r="AE6" s="2737"/>
      <c r="AF6" s="2737"/>
      <c r="AG6" s="2737"/>
      <c r="AH6" s="2737"/>
      <c r="AI6" s="2737"/>
      <c r="AJ6" s="2738"/>
    </row>
    <row r="7" spans="1:36" ht="24">
      <c r="A7" s="3249" t="str">
        <f>IF(E2="商业",IF(C8="不临58条商业街","",2),"")</f>
        <v/>
      </c>
      <c r="B7" s="2746" t="s">
        <v>2823</v>
      </c>
      <c r="C7" s="919" t="e">
        <f>IF(C8="不临58条商业街",1,ROUND(1+(1.6*E8+1.2*E9+0.8*E10+0.4*E11)*C9,4))</f>
        <v>#DIV/0!</v>
      </c>
      <c r="D7" s="2747" t="s">
        <v>2824</v>
      </c>
      <c r="E7" s="948"/>
      <c r="F7" s="2748"/>
      <c r="G7" s="2749"/>
      <c r="H7" s="2749"/>
      <c r="I7" s="2749"/>
      <c r="J7" s="2750"/>
      <c r="K7" s="1845"/>
      <c r="L7" s="2727"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0.53869999999999996</v>
      </c>
      <c r="T7" s="1605">
        <f t="shared" ca="1" si="0"/>
        <v>2264</v>
      </c>
      <c r="U7" s="1606"/>
      <c r="V7" s="1605">
        <f t="shared" ca="1" si="1"/>
        <v>0</v>
      </c>
      <c r="W7" s="1819" t="s">
        <v>2826</v>
      </c>
      <c r="X7" s="1607" t="str">
        <f>G2</f>
        <v>九级</v>
      </c>
      <c r="Y7" s="1607" t="s">
        <v>2827</v>
      </c>
      <c r="Z7" s="1608">
        <f>G3</f>
        <v>0.84</v>
      </c>
      <c r="AA7" s="1609"/>
      <c r="AB7" s="1609"/>
      <c r="AC7" s="1610"/>
      <c r="AD7" s="1611"/>
      <c r="AE7" s="1611"/>
      <c r="AF7" s="1611"/>
      <c r="AG7" s="1611"/>
      <c r="AH7" s="1611"/>
      <c r="AI7" s="1611"/>
      <c r="AJ7" s="1612"/>
    </row>
    <row r="8" spans="1:36" ht="15">
      <c r="A8" s="3250"/>
      <c r="B8" s="198" t="s">
        <v>2828</v>
      </c>
      <c r="C8" s="2751"/>
      <c r="D8" s="920" t="s">
        <v>139</v>
      </c>
      <c r="E8" s="921" t="e">
        <f>ROUND(C11/E7,4)</f>
        <v>#DIV/0!</v>
      </c>
      <c r="F8" s="2752" t="s">
        <v>2829</v>
      </c>
      <c r="G8" s="2753"/>
      <c r="H8" s="2753"/>
      <c r="I8" s="2753"/>
      <c r="J8" s="2754"/>
      <c r="K8" s="1373"/>
      <c r="L8" s="2727"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2" t="s">
        <v>2831</v>
      </c>
      <c r="X8" s="3243"/>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50"/>
      <c r="B9" s="198" t="s">
        <v>2844</v>
      </c>
      <c r="C9" s="922">
        <f>SUMIF(修正!C59:C119,C8,修正!E59:E119)</f>
        <v>0</v>
      </c>
      <c r="D9" s="200" t="s">
        <v>140</v>
      </c>
      <c r="E9" s="200" t="e">
        <f>ROUND(C11/E7,4)</f>
        <v>#DIV/0!</v>
      </c>
      <c r="F9" s="2752" t="s">
        <v>2845</v>
      </c>
      <c r="G9" s="2753"/>
      <c r="H9" s="2753"/>
      <c r="I9" s="2753"/>
      <c r="J9" s="2754"/>
      <c r="K9" s="1373"/>
      <c r="L9" s="2727" t="s">
        <v>2846</v>
      </c>
      <c r="M9" s="1084">
        <f>SUMPRODUCT((区片价!B245:B289=I2)*(区片价!C3:F3=E2)*(区片价!C245:F289))</f>
        <v>3840</v>
      </c>
      <c r="N9" s="1086">
        <f>SUMPRODUCT((因素修正幅度!B245:B289=I2)*(因素修正幅度!C3:F3=E2)*(因素修正幅度!C245:F289))</f>
        <v>0.14899999999999999</v>
      </c>
      <c r="O9" s="1373"/>
      <c r="P9" s="1373"/>
      <c r="Q9" s="1373"/>
      <c r="R9" s="1605">
        <v>8</v>
      </c>
      <c r="S9" s="1606"/>
      <c r="T9" s="1605">
        <f t="shared" ca="1" si="0"/>
        <v>0</v>
      </c>
      <c r="U9" s="1606"/>
      <c r="V9" s="1605">
        <f t="shared" ca="1" si="1"/>
        <v>0</v>
      </c>
      <c r="W9" s="3244"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2849</v>
      </c>
      <c r="C10" s="200">
        <f>SUMIF(修正!C59:C119,C8,修正!F59:F119)</f>
        <v>0</v>
      </c>
      <c r="D10" s="200" t="s">
        <v>141</v>
      </c>
      <c r="E10" s="200" t="e">
        <f>ROUND(C11/E7,4)</f>
        <v>#DIV/0!</v>
      </c>
      <c r="F10" s="2752" t="s">
        <v>2850</v>
      </c>
      <c r="G10" s="2753"/>
      <c r="H10" s="2753"/>
      <c r="I10" s="2753"/>
      <c r="J10" s="2754"/>
      <c r="K10" s="1373"/>
      <c r="L10" s="2727"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50"/>
      <c r="B11" s="2755" t="s">
        <v>2852</v>
      </c>
      <c r="C11" s="923">
        <f>C10/4</f>
        <v>0</v>
      </c>
      <c r="D11" s="923" t="s">
        <v>142</v>
      </c>
      <c r="E11" s="923" t="e">
        <f>ROUND(C11/E7,4)</f>
        <v>#DIV/0!</v>
      </c>
      <c r="F11" s="2756" t="s">
        <v>2853</v>
      </c>
      <c r="G11" s="2757"/>
      <c r="H11" s="2757"/>
      <c r="I11" s="2757"/>
      <c r="J11" s="2758"/>
      <c r="K11" s="1373"/>
      <c r="L11" s="2727"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4" t="s">
        <v>2855</v>
      </c>
      <c r="X11" s="1617" t="s">
        <v>2856</v>
      </c>
      <c r="Y11" s="1618">
        <f>$G$3</f>
        <v>0.84</v>
      </c>
      <c r="Z11" s="1618">
        <f t="shared" ref="Z11:AJ11" si="3">$G$3</f>
        <v>0.84</v>
      </c>
      <c r="AA11" s="1618">
        <f t="shared" si="3"/>
        <v>0.84</v>
      </c>
      <c r="AB11" s="1618">
        <f t="shared" si="3"/>
        <v>0.84</v>
      </c>
      <c r="AC11" s="1618">
        <f t="shared" si="3"/>
        <v>0.84</v>
      </c>
      <c r="AD11" s="1618">
        <f t="shared" si="3"/>
        <v>0.84</v>
      </c>
      <c r="AE11" s="1618">
        <f t="shared" si="3"/>
        <v>0.84</v>
      </c>
      <c r="AF11" s="1618">
        <f t="shared" si="3"/>
        <v>0.84</v>
      </c>
      <c r="AG11" s="1618">
        <f t="shared" si="3"/>
        <v>0.84</v>
      </c>
      <c r="AH11" s="1618">
        <f t="shared" si="3"/>
        <v>0.84</v>
      </c>
      <c r="AI11" s="1618">
        <f t="shared" si="3"/>
        <v>0.84</v>
      </c>
      <c r="AJ11" s="1618">
        <f t="shared" si="3"/>
        <v>0.84</v>
      </c>
    </row>
    <row r="12" spans="1:36" ht="25.8" thickBot="1">
      <c r="A12" s="3249" t="s">
        <v>2857</v>
      </c>
      <c r="B12" s="2759" t="s">
        <v>2858</v>
      </c>
      <c r="C12" s="919">
        <f>ROUND(C15*D15*E15*F15*G15*H15*I15*J15,4)</f>
        <v>1</v>
      </c>
      <c r="D12" s="2760" t="s">
        <v>2859</v>
      </c>
      <c r="E12" s="2761"/>
      <c r="F12" s="2761"/>
      <c r="G12" s="2762"/>
      <c r="H12" s="2762"/>
      <c r="I12" s="2762"/>
      <c r="J12" s="2763"/>
      <c r="K12" s="1373"/>
      <c r="L12" s="2764"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4"/>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5" t="s">
        <v>2862</v>
      </c>
      <c r="C13" s="2766" t="s">
        <v>2863</v>
      </c>
      <c r="D13" s="1811" t="s">
        <v>2864</v>
      </c>
      <c r="E13" s="1811" t="s">
        <v>2865</v>
      </c>
      <c r="F13" s="30" t="s">
        <v>2866</v>
      </c>
      <c r="G13" s="2767" t="s">
        <v>2867</v>
      </c>
      <c r="H13" s="2767" t="s">
        <v>2867</v>
      </c>
      <c r="I13" s="2767" t="s">
        <v>2867</v>
      </c>
      <c r="J13" s="2768" t="s">
        <v>2867</v>
      </c>
      <c r="K13" s="1373"/>
      <c r="L13" s="1373"/>
      <c r="M13" s="1373"/>
      <c r="N13" s="1373"/>
      <c r="O13" s="1373"/>
      <c r="P13" s="1373"/>
      <c r="Q13" s="1373"/>
      <c r="R13" s="1605">
        <v>12</v>
      </c>
      <c r="S13" s="1606"/>
      <c r="T13" s="1605">
        <f t="shared" ca="1" si="0"/>
        <v>0</v>
      </c>
      <c r="U13" s="1606"/>
      <c r="V13" s="1605">
        <f t="shared" ca="1" si="1"/>
        <v>0</v>
      </c>
      <c r="W13" s="3244"/>
      <c r="X13" s="1619"/>
      <c r="Y13" s="1616">
        <f>(-0.163*(Y12^2)-0.59*Y12+7617)*(10^(-4))/Y11</f>
        <v>0.90678571428571442</v>
      </c>
      <c r="Z13" s="1616">
        <f t="shared" ref="Z13:AJ13" si="5">(-0.163*(Z12^2)-0.59*Z12+7617)*(10^(-4))/Z11</f>
        <v>0.90678571428571442</v>
      </c>
      <c r="AA13" s="1616">
        <f t="shared" si="5"/>
        <v>0.90678571428571442</v>
      </c>
      <c r="AB13" s="1616">
        <f t="shared" si="5"/>
        <v>0.90678571428571442</v>
      </c>
      <c r="AC13" s="1616">
        <f t="shared" si="5"/>
        <v>0.90678571428571442</v>
      </c>
      <c r="AD13" s="1616">
        <f t="shared" si="5"/>
        <v>0.90678571428571442</v>
      </c>
      <c r="AE13" s="1616">
        <f t="shared" si="5"/>
        <v>0.90678571428571442</v>
      </c>
      <c r="AF13" s="1616">
        <f t="shared" si="5"/>
        <v>0.90678571428571442</v>
      </c>
      <c r="AG13" s="1616">
        <f t="shared" si="5"/>
        <v>0.90678571428571442</v>
      </c>
      <c r="AH13" s="1616">
        <f t="shared" si="5"/>
        <v>0.90678571428571442</v>
      </c>
      <c r="AI13" s="1616">
        <f t="shared" si="5"/>
        <v>0.90678571428571442</v>
      </c>
      <c r="AJ13" s="1616">
        <f t="shared" si="5"/>
        <v>0.90678571428571442</v>
      </c>
    </row>
    <row r="14" spans="1:36" ht="15">
      <c r="A14" s="3251"/>
      <c r="B14" s="2769"/>
      <c r="C14" s="2770"/>
      <c r="D14" s="2771"/>
      <c r="E14" s="2771"/>
      <c r="F14" s="2772"/>
      <c r="G14" s="2773" t="s">
        <v>2868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52"/>
      <c r="B15" s="2777" t="s">
        <v>2869</v>
      </c>
      <c r="C15" s="229">
        <f>IF(C14="有",1.1,1)</f>
        <v>1</v>
      </c>
      <c r="D15" s="229">
        <f>IF(D14="有",1.1,1)</f>
        <v>1</v>
      </c>
      <c r="E15" s="229">
        <f>IF(E14="有",1.1,1)</f>
        <v>1</v>
      </c>
      <c r="F15" s="229">
        <f>IF(F14="500米范围内",1.2,IF(F14="500-1000米",1.1,1))</f>
        <v>1</v>
      </c>
      <c r="G15" s="949">
        <v>1</v>
      </c>
      <c r="H15" s="949">
        <v>1</v>
      </c>
      <c r="I15" s="949">
        <v>1</v>
      </c>
      <c r="J15" s="950">
        <v>1</v>
      </c>
      <c r="K15" s="1373"/>
      <c r="L15" s="2778" t="s">
        <v>2806</v>
      </c>
      <c r="M15" s="920" t="s">
        <v>2870</v>
      </c>
      <c r="N15" s="920" t="s">
        <v>2871</v>
      </c>
      <c r="O15" s="920" t="s">
        <v>2872</v>
      </c>
      <c r="P15" s="2779" t="s">
        <v>2873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9" t="s">
        <v>2874</v>
      </c>
      <c r="B16" s="2746" t="s">
        <v>2875</v>
      </c>
      <c r="C16" s="1804">
        <f>ROUND(SUM(G17:J17)/C17,0)</f>
        <v>0</v>
      </c>
      <c r="D16" s="2780" t="s">
        <v>2876</v>
      </c>
      <c r="E16" s="2781" t="s">
        <v>3076</v>
      </c>
      <c r="F16" s="2782" t="s">
        <v>3077</v>
      </c>
      <c r="G16" s="2783"/>
      <c r="H16" s="2783"/>
      <c r="I16" s="2783"/>
      <c r="J16" s="2784"/>
      <c r="K16" s="1373"/>
      <c r="L16" s="2785" t="s">
        <v>2877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50"/>
      <c r="B17" s="2786" t="s">
        <v>2878</v>
      </c>
      <c r="C17" s="924">
        <f>SUMPRODUCT((修正!A2:A5=E2)*(修正!B1:M1=G2)*(修正!B2:M5))</f>
        <v>2</v>
      </c>
      <c r="D17" s="2787" t="s">
        <v>2879</v>
      </c>
      <c r="E17" s="923" t="str">
        <f>IF(OR(G2="八级",G2="九级",G2="十级",G2="十一级",G2="十二级"),"五通一平","七通一平")</f>
        <v>五通一平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 thickBot="1">
      <c r="A18" s="2790" t="s">
        <v>808</v>
      </c>
      <c r="B18" s="2791" t="s">
        <v>2882</v>
      </c>
      <c r="C18" s="926">
        <f>SUMIF(修正!C18:C39,E3,修正!E18:E39)</f>
        <v>0.9</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4" thickBot="1">
      <c r="A19" s="2790" t="s">
        <v>809</v>
      </c>
      <c r="B19" s="2791" t="s">
        <v>2883</v>
      </c>
      <c r="C19" s="927">
        <f>ROUND(IF(H19="按公示增长率计算",SUMPRODUCT((地价!A3:A25=YEAR(G19)&amp;"-"&amp;ROUNDUP(MONTH(G19)/3,0))*(地价!X2:AB2=E2)*(地价!X3:AB25)),IF(H19="地价指数",M20/M19,(1+I19)^O19)),4)</f>
        <v>1.3237000000000001</v>
      </c>
      <c r="D19" s="2798" t="s">
        <v>2884</v>
      </c>
      <c r="E19" s="928">
        <v>41640</v>
      </c>
      <c r="F19" s="2798" t="s">
        <v>2885</v>
      </c>
      <c r="G19" s="929">
        <f>'数据-取费表'!B2</f>
        <v>43544</v>
      </c>
      <c r="H19" s="2799" t="s">
        <v>3079</v>
      </c>
      <c r="I19" s="930" t="str">
        <f>IF(H19="季度增幅（自定义）",SUMIF(N21:N24,E2,O21:O24),"")</f>
        <v/>
      </c>
      <c r="J19" s="2796"/>
      <c r="K19" s="1380"/>
      <c r="L19" s="2800" t="s">
        <v>2886</v>
      </c>
      <c r="M19" s="1737">
        <f>ROUND(SUMIF(地价!B2:F2,E2,地价!B25:F25),0)</f>
        <v>258</v>
      </c>
      <c r="N19" s="2801" t="s">
        <v>2887</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9.4" thickBot="1">
      <c r="A20" s="2805" t="s">
        <v>810</v>
      </c>
      <c r="B20" s="2806" t="s">
        <v>2888</v>
      </c>
      <c r="C20" s="932">
        <f ca="1">ROUND(POWER(1+G20,J20-I20)*(POWER(1+G20,I20)-1)/(POWER(1+G20,J20)-1),4)</f>
        <v>0.91700000000000004</v>
      </c>
      <c r="D20" s="2807" t="s">
        <v>2889</v>
      </c>
      <c r="E20" s="1771">
        <f ca="1">存贷款利率!D4/100</f>
        <v>4.3499999999999997E-2</v>
      </c>
      <c r="F20" s="2807" t="s">
        <v>2881</v>
      </c>
      <c r="G20" s="937">
        <f ca="1">SUMIF(M15:P15,E2,M17:P17)</f>
        <v>5.1999999999999998E-2</v>
      </c>
      <c r="H20" s="2807" t="s">
        <v>2890</v>
      </c>
      <c r="I20" s="938">
        <f>SUMIF('数据-取费表'!C6:C15,E2,'数据-取费表'!F6:F15)/COUNTIF('数据-取费表'!C6:C15,E2)</f>
        <v>36.69</v>
      </c>
      <c r="J20" s="939">
        <f>IF(E2="住宅",70,IF(E2="商业",40,50))</f>
        <v>50</v>
      </c>
      <c r="K20" s="1380"/>
      <c r="L20" s="2808" t="s">
        <v>2891</v>
      </c>
      <c r="M20" s="1738">
        <f>ROUND(SUMPRODUCT((地价!A4:A25=YEAR(G19)&amp;"-"&amp;ROUNDUP(MONTH(G19)/3,0))*(地价!B2:F2=E2)*(地价!B4:F25)),0)</f>
        <v>341</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4.4">
      <c r="A21" s="2812" t="s">
        <v>811</v>
      </c>
      <c r="B21" s="2813" t="s">
        <v>3078</v>
      </c>
      <c r="C21" s="940">
        <f>IF(B21="容积率修正",IF(G3&lt;=10,D22,J22),C23)</f>
        <v>1.4792000000000001</v>
      </c>
      <c r="D21" s="2814"/>
      <c r="E21" s="2814"/>
      <c r="F21" s="2814"/>
      <c r="G21" s="2814"/>
      <c r="H21" s="2814"/>
      <c r="I21" s="2814"/>
      <c r="J21" s="2815"/>
      <c r="K21" s="1380"/>
      <c r="N21" s="2816" t="s">
        <v>2895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9" customFormat="1" ht="14.4">
      <c r="A22" s="2665" t="s">
        <v>2896</v>
      </c>
      <c r="B22" s="2817" t="s">
        <v>2897</v>
      </c>
      <c r="C22" s="1813" t="s">
        <v>2898</v>
      </c>
      <c r="D22" s="1813">
        <f>IF(E22=G22,F22,IF(G3&lt;=10,ROUND(F22+(H22-F22)*(G3-E22)/(G22-E22),4),"——"))</f>
        <v>1.4792000000000001</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3" t="s">
        <v>155</v>
      </c>
      <c r="J22" s="941" t="str">
        <f>IF(G3&gt;10,D113,"——")</f>
        <v>——</v>
      </c>
      <c r="K22" s="1380"/>
      <c r="N22" s="2816" t="s">
        <v>2899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9.4" thickBot="1">
      <c r="A23" s="2665" t="s">
        <v>2900</v>
      </c>
      <c r="B23" s="2818" t="s">
        <v>2901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7"/>
    </row>
    <row r="24" spans="1:37" s="2739" customFormat="1" ht="15" thickBot="1">
      <c r="A24" s="2805" t="s">
        <v>812</v>
      </c>
      <c r="B24" s="2791" t="s">
        <v>2903</v>
      </c>
      <c r="C24" s="927">
        <f>SUMIF(A45:A88,E2,B45:B88)</f>
        <v>1.002</v>
      </c>
      <c r="D24" s="2794"/>
      <c r="E24" s="2824"/>
      <c r="F24" s="2824"/>
      <c r="G24" s="2824"/>
      <c r="H24" s="2824"/>
      <c r="I24" s="2824"/>
      <c r="J24" s="2825"/>
      <c r="K24" s="1380"/>
      <c r="N24" s="2826" t="s">
        <v>2904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 thickBot="1">
      <c r="A25" s="2805" t="s">
        <v>813</v>
      </c>
      <c r="B25" s="2827" t="s">
        <v>2905</v>
      </c>
      <c r="C25" s="933"/>
      <c r="D25" s="2749"/>
      <c r="E25" s="2749"/>
      <c r="F25" s="2828"/>
      <c r="G25" s="2749"/>
      <c r="H25" s="2749"/>
      <c r="I25" s="2749"/>
      <c r="J25" s="2750"/>
      <c r="K25" s="1373"/>
      <c r="N25" s="2829" t="s">
        <v>2906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4.4">
      <c r="A26" s="2830"/>
      <c r="B26" s="2817" t="s">
        <v>2907</v>
      </c>
      <c r="C26" s="206">
        <f ca="1">E29+SUM(E33:E39)</f>
        <v>33056</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 thickBot="1">
      <c r="A27" s="2830"/>
      <c r="B27" s="2834" t="s">
        <v>2908</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39"/>
      <c r="B28" s="2840" t="s">
        <v>2909</v>
      </c>
      <c r="C28" s="2841" t="s">
        <v>2910</v>
      </c>
      <c r="D28" s="2841" t="s">
        <v>2911</v>
      </c>
      <c r="E28" s="2842" t="s">
        <v>2912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2913</v>
      </c>
      <c r="C29" s="206">
        <f ca="1">ROUND(C5*C18*C19*C20*C21*C24,0)</f>
        <v>6218</v>
      </c>
      <c r="D29" s="2846">
        <f>'数据-基础表'!B3</f>
        <v>53162.09</v>
      </c>
      <c r="E29" s="945">
        <f ca="1">ROUND(C29*D29/10000,0)</f>
        <v>33056</v>
      </c>
      <c r="F29" s="2847" t="s">
        <v>2914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8" thickBot="1">
      <c r="A30" s="2850"/>
      <c r="B30" s="2851" t="s">
        <v>2915</v>
      </c>
      <c r="C30" s="229">
        <f ca="1">ROUND(IF(E2="工业",C29*M39,C29*M38),0)</f>
        <v>1555</v>
      </c>
      <c r="D30" s="2852"/>
      <c r="E30" s="945">
        <f ca="1">ROUND(C30*D30/10000,0)</f>
        <v>0</v>
      </c>
      <c r="F30" s="2853" t="s">
        <v>2916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3.8">
      <c r="A31" s="2856"/>
      <c r="B31" s="2857" t="s">
        <v>2917</v>
      </c>
      <c r="C31" s="2858" t="s">
        <v>2918</v>
      </c>
      <c r="D31" s="2762"/>
      <c r="E31" s="2858"/>
      <c r="F31" s="2858"/>
      <c r="G31" s="2760" t="s">
        <v>2919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36">
      <c r="A32" s="2844"/>
      <c r="B32" s="2860"/>
      <c r="C32" s="501" t="s">
        <v>2910</v>
      </c>
      <c r="D32" s="498" t="s">
        <v>2911</v>
      </c>
      <c r="E32" s="498" t="s">
        <v>2912</v>
      </c>
      <c r="F32" s="388" t="s">
        <v>2920</v>
      </c>
      <c r="G32" s="2861" t="s">
        <v>2910</v>
      </c>
      <c r="H32" s="2861" t="s">
        <v>2911</v>
      </c>
      <c r="I32" s="2861"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59" t="s">
        <v>2921</v>
      </c>
      <c r="B33" s="2862" t="s">
        <v>2922</v>
      </c>
      <c r="C33" s="206">
        <f ca="1">ROUND(D5*C19*C20*C24*F33,0)</f>
        <v>2802</v>
      </c>
      <c r="D33" s="2846"/>
      <c r="E33" s="200">
        <f ca="1">ROUND(C33*D33/10000,0)</f>
        <v>0</v>
      </c>
      <c r="F33" s="200">
        <f>SUMIF(修正!A45:A56,G2,修正!B45:B56)</f>
        <v>0.6</v>
      </c>
      <c r="G33" s="200">
        <f t="shared" ref="G33" ca="1" si="6">ROUND(IF(E2="工业",C33*$M$39,C33*$M$38),0)</f>
        <v>701</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60"/>
      <c r="B34" s="2766" t="s">
        <v>2923</v>
      </c>
      <c r="C34" s="206">
        <f ca="1">ROUND(D5*C19*C20*C24*F34,0)</f>
        <v>1401</v>
      </c>
      <c r="D34" s="2846"/>
      <c r="E34" s="200">
        <f t="shared" ref="E34:E39" ca="1" si="7">ROUND(C34*D34/10000,0)</f>
        <v>0</v>
      </c>
      <c r="F34" s="200">
        <f>SUMIF(修正!A45:A56,G2,修正!C45:C56)</f>
        <v>0.3</v>
      </c>
      <c r="G34" s="200">
        <f ca="1">ROUND(IF(E2="工业",C34*$M$39,C34*$M$38),0)</f>
        <v>350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6" t="s">
        <v>2924</v>
      </c>
      <c r="C35" s="206">
        <f ca="1">ROUND(D5*C19*C20*C24*F35,0)</f>
        <v>934</v>
      </c>
      <c r="D35" s="2846"/>
      <c r="E35" s="200">
        <f t="shared" ca="1" si="7"/>
        <v>0</v>
      </c>
      <c r="F35" s="200">
        <f>SUMIF(修正!A45:A56,G2,修正!D45:D56)</f>
        <v>0.2</v>
      </c>
      <c r="G35" s="200">
        <f ca="1">ROUND(IF(E2="工业",C35*$M$39,C35*$M$38),0)</f>
        <v>234</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8" thickBot="1">
      <c r="A36" s="3261"/>
      <c r="B36" s="2766" t="s">
        <v>2925</v>
      </c>
      <c r="C36" s="206">
        <f ca="1">ROUND(D5*C19*C20*C24*F36,0)</f>
        <v>934</v>
      </c>
      <c r="D36" s="2846"/>
      <c r="E36" s="200">
        <f t="shared" ca="1" si="7"/>
        <v>0</v>
      </c>
      <c r="F36" s="200">
        <f>SUMIF(修正!A45:A56,G2,修正!E45:E56)</f>
        <v>0.2</v>
      </c>
      <c r="G36" s="200">
        <f ca="1">ROUND(IF(E2="工业",C36*$M$39,C36*$M$38),0)</f>
        <v>234</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2926</v>
      </c>
      <c r="C37" s="200">
        <f ca="1">ROUND(D5*C19*C20*C24*F37,0)</f>
        <v>934</v>
      </c>
      <c r="D37" s="2846"/>
      <c r="E37" s="200">
        <f t="shared" ca="1" si="7"/>
        <v>0</v>
      </c>
      <c r="F37" s="206">
        <f>SUMIF(修正!A45:A56,G2,修正!F45:F56)</f>
        <v>0.2</v>
      </c>
      <c r="G37" s="200">
        <f ca="1">ROUND(IF(E2="工业",C37*$M$39,C37*$M$38),0)</f>
        <v>234</v>
      </c>
      <c r="H37" s="200">
        <f t="shared" si="8"/>
        <v>0</v>
      </c>
      <c r="I37" s="200">
        <f t="shared" ca="1" si="9"/>
        <v>0</v>
      </c>
      <c r="J37" s="2863"/>
      <c r="K37" s="1373"/>
      <c r="L37" s="2865" t="s">
        <v>2927</v>
      </c>
      <c r="M37" s="2866"/>
      <c r="N37" s="1373"/>
      <c r="O37" s="1373"/>
      <c r="P37" s="1373"/>
      <c r="Q37" s="1373"/>
      <c r="R37" s="1373"/>
      <c r="S37" s="1373"/>
      <c r="T37" s="1373"/>
      <c r="U37" s="1373"/>
      <c r="V37" s="1373"/>
      <c r="W37" s="1373"/>
      <c r="X37" s="1373"/>
      <c r="Y37" s="1373"/>
      <c r="Z37" s="1374"/>
    </row>
    <row r="38" spans="1:37">
      <c r="A38" s="2864"/>
      <c r="B38" s="2766" t="s">
        <v>2928</v>
      </c>
      <c r="C38" s="200">
        <f ca="1">ROUND(D5*C19*C41*C24*F38,0)</f>
        <v>0</v>
      </c>
      <c r="D38" s="2846"/>
      <c r="E38" s="200">
        <f t="shared" ca="1" si="7"/>
        <v>0</v>
      </c>
      <c r="F38" s="206">
        <f>SUMIF(修正!A45:A56,G2,修正!G45:G56)</f>
        <v>0.2</v>
      </c>
      <c r="G38" s="200">
        <f ca="1">ROUND(IF(E2="工业",C38*$M$39,C38*$M$38),0)</f>
        <v>0</v>
      </c>
      <c r="H38" s="200">
        <f t="shared" si="8"/>
        <v>0</v>
      </c>
      <c r="I38" s="200">
        <f t="shared" ca="1" si="9"/>
        <v>0</v>
      </c>
      <c r="J38" s="2863"/>
      <c r="K38" s="1373"/>
      <c r="L38" s="1890" t="s">
        <v>2929</v>
      </c>
      <c r="M38" s="2867">
        <v>0.25</v>
      </c>
      <c r="N38" s="1373"/>
      <c r="O38" s="1373"/>
      <c r="P38" s="1373"/>
      <c r="Q38" s="1373"/>
      <c r="R38" s="1373"/>
      <c r="S38" s="1373"/>
      <c r="T38" s="1373"/>
      <c r="U38" s="1373"/>
      <c r="V38" s="1373"/>
      <c r="W38" s="1373"/>
      <c r="X38" s="1373"/>
      <c r="Y38" s="1373"/>
      <c r="Z38" s="1374"/>
    </row>
    <row r="39" spans="1:37" ht="13.8" thickBot="1">
      <c r="A39" s="2850"/>
      <c r="B39" s="2868" t="s">
        <v>2930</v>
      </c>
      <c r="C39" s="229">
        <f ca="1">ROUND(D5*C19*C41*C24*F39,0)</f>
        <v>0</v>
      </c>
      <c r="D39" s="2852"/>
      <c r="E39" s="229">
        <f t="shared" ca="1" si="7"/>
        <v>0</v>
      </c>
      <c r="F39" s="935">
        <f>SUMIF(修正!A45:A56,G2,修正!H45:H56)</f>
        <v>0.15</v>
      </c>
      <c r="G39" s="229">
        <f ca="1">ROUND(IF(E2="工业",C39*$M$39,C39*$M$38),0)</f>
        <v>0</v>
      </c>
      <c r="H39" s="229">
        <f t="shared" si="8"/>
        <v>0</v>
      </c>
      <c r="I39" s="229">
        <f t="shared" ca="1" si="9"/>
        <v>0</v>
      </c>
      <c r="J39" s="2869"/>
      <c r="K39" s="1373"/>
      <c r="L39" s="2870" t="s">
        <v>2873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39" t="s">
        <v>3041</v>
      </c>
      <c r="C41" s="388">
        <f ca="1">ROUND(POWER(1+E41,H41-G41)*(POWER(1+E41,G41)-1)/(POWER(1+E41,H41)-1),4)</f>
        <v>0</v>
      </c>
      <c r="D41" s="200" t="s">
        <v>2881</v>
      </c>
      <c r="E41" s="2938">
        <f ca="1">G20</f>
        <v>5.1999999999999998E-2</v>
      </c>
      <c r="F41" s="200" t="s">
        <v>2890</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 thickBot="1">
      <c r="A45" s="2873" t="s">
        <v>2931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4.4">
      <c r="A46" s="2875" t="s">
        <v>2932</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5.2">
      <c r="A47" s="2879" t="s">
        <v>2933</v>
      </c>
      <c r="B47" s="1812" t="s">
        <v>2934</v>
      </c>
      <c r="C47" s="1812" t="s">
        <v>2935</v>
      </c>
      <c r="D47" s="1812" t="s">
        <v>2936</v>
      </c>
      <c r="E47" s="819" t="s">
        <v>2937</v>
      </c>
      <c r="F47" s="2880" t="s">
        <v>2938</v>
      </c>
      <c r="G47" s="1812" t="s">
        <v>754</v>
      </c>
      <c r="H47" s="2881" t="s">
        <v>2939</v>
      </c>
      <c r="I47" s="1812" t="s">
        <v>2940</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52.8">
      <c r="A48" s="2879" t="s">
        <v>2941</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79" t="s">
        <v>2942</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2943</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79" t="s">
        <v>2944</v>
      </c>
      <c r="B51" s="2884" t="s">
        <v>2945</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2946</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79" t="s">
        <v>2947</v>
      </c>
      <c r="B53" s="2885" t="s">
        <v>2948</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6" t="s">
        <v>2949</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6" t="s">
        <v>2950</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87" t="s">
        <v>2951</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5" t="s">
        <v>2952</v>
      </c>
      <c r="B57" s="2876">
        <f>1+E59</f>
        <v>1.002</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79" t="s">
        <v>2933</v>
      </c>
      <c r="B58" s="1812"/>
      <c r="C58" s="1812" t="s">
        <v>2935</v>
      </c>
      <c r="D58" s="1812" t="s">
        <v>2936</v>
      </c>
      <c r="E58" s="819" t="s">
        <v>2937</v>
      </c>
      <c r="F58" s="2880" t="s">
        <v>2953</v>
      </c>
      <c r="G58" s="1812" t="s">
        <v>754</v>
      </c>
      <c r="H58" s="2881" t="s">
        <v>2939</v>
      </c>
      <c r="I58" s="1812" t="s">
        <v>2940</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52.8">
      <c r="A59" s="2879" t="s">
        <v>2954</v>
      </c>
      <c r="B59" s="2882" t="str">
        <f>估价对象房地状况!C17</f>
        <v>估价对象位于XX商圈，周边办公楼项目较多，入驻率高，办公集聚程度较好</v>
      </c>
      <c r="C59" s="2771" t="s">
        <v>3089</v>
      </c>
      <c r="D59" s="1289">
        <f t="shared" ref="D59:D67" si="15">SUMIF($J$58:$N$58,C59,J59:N59)</f>
        <v>0</v>
      </c>
      <c r="E59" s="821">
        <f>ROUND(SUM(D59:D67),4)</f>
        <v>2E-3</v>
      </c>
      <c r="F59" s="2502">
        <f>IF(E2="办公",SUMIF(L1:L12,G2,N1:N12),"——")</f>
        <v>0.14899999999999999</v>
      </c>
      <c r="G59" s="2944">
        <v>1.7000000000000001E-2</v>
      </c>
      <c r="H59" s="1291">
        <f t="shared" ref="H59:H67" si="16">IFERROR(ROUNDDOWN($F$59*I59/2,4),"——")</f>
        <v>1.78E-2</v>
      </c>
      <c r="I59" s="820">
        <v>0.24</v>
      </c>
      <c r="J59" s="1288">
        <f t="shared" ref="J59:J67" si="17">K59+$G59</f>
        <v>3.4000000000000002E-2</v>
      </c>
      <c r="K59" s="1288">
        <f t="shared" ref="K59:K67" si="18">$L59+$G59</f>
        <v>1.7000000000000001E-2</v>
      </c>
      <c r="L59" s="1288">
        <v>0</v>
      </c>
      <c r="M59" s="1288">
        <f t="shared" ref="M59:N67" si="19">L59-$G59</f>
        <v>-1.7000000000000001E-2</v>
      </c>
      <c r="N59" s="1288">
        <f t="shared" si="19"/>
        <v>-3.4000000000000002E-2</v>
      </c>
      <c r="AA59" s="1374"/>
      <c r="AB59" s="1374"/>
      <c r="AC59" s="1374"/>
      <c r="AD59" s="1374"/>
      <c r="AE59" s="1374"/>
      <c r="AF59" s="1374"/>
      <c r="AG59" s="1374"/>
      <c r="AH59" s="1374"/>
      <c r="AI59" s="1374"/>
      <c r="AJ59" s="1374"/>
      <c r="AK59" s="1374"/>
    </row>
    <row r="60" spans="1:37" s="1373" customFormat="1" ht="66">
      <c r="A60" s="2879" t="s">
        <v>2942</v>
      </c>
      <c r="B60" s="2883" t="str">
        <f>估价对象房地状况!C18</f>
        <v>估价对象周边道路状况、公共交通通达情况、停车便捷程度，综合评价交通便捷度较好</v>
      </c>
      <c r="C60" s="2771" t="s">
        <v>3089</v>
      </c>
      <c r="D60" s="1289">
        <f t="shared" si="15"/>
        <v>0</v>
      </c>
      <c r="E60" s="822"/>
      <c r="F60" s="2502"/>
      <c r="G60" s="2944">
        <v>2.1999999999999999E-2</v>
      </c>
      <c r="H60" s="1291">
        <f t="shared" si="16"/>
        <v>2.23E-2</v>
      </c>
      <c r="I60" s="820">
        <v>0.3</v>
      </c>
      <c r="J60" s="1288">
        <f t="shared" si="17"/>
        <v>4.3999999999999997E-2</v>
      </c>
      <c r="K60" s="1288">
        <f t="shared" si="18"/>
        <v>2.1999999999999999E-2</v>
      </c>
      <c r="L60" s="1288">
        <v>0</v>
      </c>
      <c r="M60" s="1288">
        <f t="shared" si="19"/>
        <v>-2.1999999999999999E-2</v>
      </c>
      <c r="N60" s="1288">
        <f t="shared" si="19"/>
        <v>-4.3999999999999997E-2</v>
      </c>
      <c r="AA60" s="1374"/>
      <c r="AB60" s="1374"/>
      <c r="AC60" s="1374"/>
      <c r="AD60" s="1374"/>
      <c r="AE60" s="1374"/>
      <c r="AF60" s="1374"/>
      <c r="AG60" s="1374"/>
      <c r="AH60" s="1374"/>
      <c r="AI60" s="1374"/>
      <c r="AJ60" s="1374"/>
      <c r="AK60" s="1374"/>
    </row>
    <row r="61" spans="1:37" s="1373" customFormat="1" ht="24">
      <c r="A61" s="2879" t="s">
        <v>2943</v>
      </c>
      <c r="B61" s="2883">
        <f>估价对象房地状况!C19</f>
        <v>0</v>
      </c>
      <c r="C61" s="2771" t="s">
        <v>3090</v>
      </c>
      <c r="D61" s="1289">
        <f t="shared" si="15"/>
        <v>-5.0000000000000001E-3</v>
      </c>
      <c r="E61" s="822"/>
      <c r="F61" s="2502"/>
      <c r="G61" s="2944">
        <v>5.0000000000000001E-3</v>
      </c>
      <c r="H61" s="1291">
        <f t="shared" si="16"/>
        <v>5.8999999999999999E-3</v>
      </c>
      <c r="I61" s="820">
        <v>0.08</v>
      </c>
      <c r="J61" s="1288">
        <f t="shared" si="17"/>
        <v>0.01</v>
      </c>
      <c r="K61" s="1288">
        <f t="shared" si="18"/>
        <v>5.0000000000000001E-3</v>
      </c>
      <c r="L61" s="1288">
        <v>0</v>
      </c>
      <c r="M61" s="1288">
        <f t="shared" si="19"/>
        <v>-5.0000000000000001E-3</v>
      </c>
      <c r="N61" s="1288">
        <f t="shared" si="19"/>
        <v>-0.01</v>
      </c>
      <c r="AA61" s="1374"/>
      <c r="AB61" s="1374"/>
      <c r="AC61" s="1374"/>
      <c r="AD61" s="1374"/>
      <c r="AE61" s="1374"/>
      <c r="AF61" s="1374"/>
      <c r="AG61" s="1374"/>
      <c r="AH61" s="1374"/>
      <c r="AI61" s="1374"/>
      <c r="AJ61" s="1374"/>
      <c r="AK61" s="1374"/>
    </row>
    <row r="62" spans="1:37" s="1373" customFormat="1" ht="50.4">
      <c r="A62" s="2879" t="s">
        <v>2944</v>
      </c>
      <c r="B62" s="2884" t="s">
        <v>2945</v>
      </c>
      <c r="C62" s="2771" t="s">
        <v>3089</v>
      </c>
      <c r="D62" s="1289">
        <f t="shared" si="15"/>
        <v>0</v>
      </c>
      <c r="E62" s="822"/>
      <c r="F62" s="2502"/>
      <c r="G62" s="2944">
        <v>2E-3</v>
      </c>
      <c r="H62" s="1291">
        <f t="shared" si="16"/>
        <v>2.8999999999999998E-3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9" t="s">
        <v>2946</v>
      </c>
      <c r="B63" s="2883">
        <f>估价对象房地状况!C24</f>
        <v>0</v>
      </c>
      <c r="C63" s="2771" t="s">
        <v>3089</v>
      </c>
      <c r="D63" s="1289">
        <f t="shared" si="15"/>
        <v>0</v>
      </c>
      <c r="E63" s="822"/>
      <c r="F63" s="2502"/>
      <c r="G63" s="2944">
        <v>3.0000000000000001E-3</v>
      </c>
      <c r="H63" s="1291">
        <f t="shared" si="16"/>
        <v>3.7000000000000002E-3</v>
      </c>
      <c r="I63" s="820">
        <v>0.05</v>
      </c>
      <c r="J63" s="1288">
        <f t="shared" si="17"/>
        <v>6.0000000000000001E-3</v>
      </c>
      <c r="K63" s="1288">
        <f t="shared" si="18"/>
        <v>3.0000000000000001E-3</v>
      </c>
      <c r="L63" s="1288">
        <v>0</v>
      </c>
      <c r="M63" s="1288">
        <f t="shared" si="19"/>
        <v>-3.0000000000000001E-3</v>
      </c>
      <c r="N63" s="1288">
        <f t="shared" si="19"/>
        <v>-6.0000000000000001E-3</v>
      </c>
      <c r="AA63" s="1374"/>
      <c r="AB63" s="1374"/>
      <c r="AC63" s="1374"/>
      <c r="AD63" s="1374"/>
      <c r="AE63" s="1374"/>
      <c r="AF63" s="1374"/>
      <c r="AG63" s="1374"/>
      <c r="AH63" s="1374"/>
      <c r="AI63" s="1374"/>
      <c r="AJ63" s="1374"/>
      <c r="AK63" s="1374"/>
    </row>
    <row r="64" spans="1:37" s="1373" customFormat="1" ht="36">
      <c r="A64" s="2879" t="s">
        <v>2947</v>
      </c>
      <c r="B64" s="2885" t="s">
        <v>2948</v>
      </c>
      <c r="C64" s="2771" t="s">
        <v>3091</v>
      </c>
      <c r="D64" s="1289">
        <f t="shared" si="15"/>
        <v>3.0000000000000001E-3</v>
      </c>
      <c r="E64" s="822"/>
      <c r="F64" s="2502"/>
      <c r="G64" s="2944">
        <v>3.0000000000000001E-3</v>
      </c>
      <c r="H64" s="1291">
        <f t="shared" si="16"/>
        <v>3.7000000000000002E-3</v>
      </c>
      <c r="I64" s="820">
        <v>0.05</v>
      </c>
      <c r="J64" s="1288">
        <f t="shared" si="17"/>
        <v>6.0000000000000001E-3</v>
      </c>
      <c r="K64" s="1288">
        <f t="shared" si="18"/>
        <v>3.0000000000000001E-3</v>
      </c>
      <c r="L64" s="1288">
        <v>0</v>
      </c>
      <c r="M64" s="1288">
        <f t="shared" si="19"/>
        <v>-3.0000000000000001E-3</v>
      </c>
      <c r="N64" s="1288">
        <f t="shared" si="19"/>
        <v>-6.0000000000000001E-3</v>
      </c>
      <c r="AA64" s="1374"/>
      <c r="AB64" s="1374"/>
      <c r="AC64" s="1374"/>
      <c r="AD64" s="1374"/>
      <c r="AE64" s="1374"/>
      <c r="AF64" s="1374"/>
      <c r="AG64" s="1374"/>
      <c r="AH64" s="1374"/>
      <c r="AI64" s="1374"/>
      <c r="AJ64" s="1374"/>
      <c r="AK64" s="1374"/>
    </row>
    <row r="65" spans="1:37" s="1373" customFormat="1" ht="26.4">
      <c r="A65" s="2879" t="s">
        <v>2949</v>
      </c>
      <c r="B65" s="1728" t="str">
        <f>估价对象房地状况!C21</f>
        <v>估价对象所在区域公共配套设施齐备情况</v>
      </c>
      <c r="C65" s="2771" t="s">
        <v>3089</v>
      </c>
      <c r="D65" s="1289">
        <f t="shared" si="15"/>
        <v>0</v>
      </c>
      <c r="E65" s="822"/>
      <c r="F65" s="2502"/>
      <c r="G65" s="2944">
        <v>4.0000000000000001E-3</v>
      </c>
      <c r="H65" s="1291">
        <f t="shared" si="16"/>
        <v>4.4000000000000003E-3</v>
      </c>
      <c r="I65" s="820">
        <v>0.06</v>
      </c>
      <c r="J65" s="1288">
        <f t="shared" si="17"/>
        <v>8.0000000000000002E-3</v>
      </c>
      <c r="K65" s="1288">
        <f t="shared" si="18"/>
        <v>4.0000000000000001E-3</v>
      </c>
      <c r="L65" s="1288">
        <v>0</v>
      </c>
      <c r="M65" s="1288">
        <f t="shared" si="19"/>
        <v>-4.0000000000000001E-3</v>
      </c>
      <c r="N65" s="1288">
        <f t="shared" si="19"/>
        <v>-8.0000000000000002E-3</v>
      </c>
      <c r="AA65" s="1374"/>
      <c r="AB65" s="1374"/>
      <c r="AC65" s="1374"/>
      <c r="AD65" s="1374"/>
      <c r="AE65" s="1374"/>
      <c r="AF65" s="1374"/>
      <c r="AG65" s="1374"/>
      <c r="AH65" s="1374"/>
      <c r="AI65" s="1374"/>
      <c r="AJ65" s="1374"/>
      <c r="AK65" s="1374"/>
    </row>
    <row r="66" spans="1:37" s="1373" customFormat="1" ht="26.4">
      <c r="A66" s="2879" t="s">
        <v>2950</v>
      </c>
      <c r="B66" s="1728" t="str">
        <f>估价对象房地状况!C22</f>
        <v>估价对象所在区域基础设施水平</v>
      </c>
      <c r="C66" s="2771" t="s">
        <v>3089</v>
      </c>
      <c r="D66" s="1289">
        <f t="shared" si="15"/>
        <v>0</v>
      </c>
      <c r="E66" s="822"/>
      <c r="F66" s="2502"/>
      <c r="G66" s="2944">
        <v>8.0000000000000002E-3</v>
      </c>
      <c r="H66" s="1291">
        <f t="shared" si="16"/>
        <v>8.8999999999999999E-3</v>
      </c>
      <c r="I66" s="820">
        <v>0.12</v>
      </c>
      <c r="J66" s="1288">
        <f t="shared" si="17"/>
        <v>1.6E-2</v>
      </c>
      <c r="K66" s="1288">
        <f t="shared" si="18"/>
        <v>8.0000000000000002E-3</v>
      </c>
      <c r="L66" s="1288">
        <v>0</v>
      </c>
      <c r="M66" s="1288">
        <f t="shared" si="19"/>
        <v>-8.0000000000000002E-3</v>
      </c>
      <c r="N66" s="1288">
        <f t="shared" si="19"/>
        <v>-1.6E-2</v>
      </c>
      <c r="AA66" s="1374"/>
      <c r="AB66" s="1374"/>
      <c r="AC66" s="1374"/>
      <c r="AD66" s="1374"/>
      <c r="AE66" s="1374"/>
      <c r="AF66" s="1374"/>
      <c r="AG66" s="1374"/>
      <c r="AH66" s="1374"/>
      <c r="AI66" s="1374"/>
      <c r="AJ66" s="1374"/>
      <c r="AK66" s="1374"/>
    </row>
    <row r="67" spans="1:37" s="1373" customFormat="1" ht="40.200000000000003" thickBot="1">
      <c r="A67" s="2887" t="s">
        <v>2951</v>
      </c>
      <c r="B67" s="2889" t="str">
        <f>估价对象房地状况!C20</f>
        <v>区域自然环境：；人文环境；综合评价环境状况一般</v>
      </c>
      <c r="C67" s="2771" t="s">
        <v>3091</v>
      </c>
      <c r="D67" s="1289">
        <f t="shared" si="15"/>
        <v>4.0000000000000001E-3</v>
      </c>
      <c r="E67" s="825"/>
      <c r="F67" s="2502"/>
      <c r="G67" s="2944">
        <v>4.0000000000000001E-3</v>
      </c>
      <c r="H67" s="1291">
        <f t="shared" si="16"/>
        <v>4.4000000000000003E-3</v>
      </c>
      <c r="I67" s="824">
        <v>0.06</v>
      </c>
      <c r="J67" s="1288">
        <f t="shared" si="17"/>
        <v>8.0000000000000002E-3</v>
      </c>
      <c r="K67" s="1288">
        <f t="shared" si="18"/>
        <v>4.0000000000000001E-3</v>
      </c>
      <c r="L67" s="1288">
        <v>0</v>
      </c>
      <c r="M67" s="1288">
        <f t="shared" si="19"/>
        <v>-4.0000000000000001E-3</v>
      </c>
      <c r="N67" s="1288">
        <f t="shared" si="19"/>
        <v>-8.0000000000000002E-3</v>
      </c>
      <c r="AA67" s="1374"/>
      <c r="AB67" s="1374"/>
      <c r="AC67" s="1374"/>
      <c r="AD67" s="1374"/>
      <c r="AE67" s="1374"/>
      <c r="AF67" s="1374"/>
      <c r="AG67" s="1374"/>
      <c r="AH67" s="1374"/>
      <c r="AI67" s="1374"/>
      <c r="AJ67" s="1374"/>
      <c r="AK67" s="1374"/>
    </row>
    <row r="68" spans="1:37" s="1373" customFormat="1" ht="14.4">
      <c r="A68" s="2875" t="s">
        <v>2955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79" t="s">
        <v>2933</v>
      </c>
      <c r="B69" s="1812"/>
      <c r="C69" s="1812" t="s">
        <v>2935</v>
      </c>
      <c r="D69" s="1812" t="s">
        <v>2936</v>
      </c>
      <c r="E69" s="819" t="s">
        <v>2937</v>
      </c>
      <c r="F69" s="2880" t="s">
        <v>2953</v>
      </c>
      <c r="G69" s="1812" t="s">
        <v>754</v>
      </c>
      <c r="H69" s="2881" t="s">
        <v>2939</v>
      </c>
      <c r="I69" s="1812" t="s">
        <v>2940</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66">
      <c r="A70" s="2879" t="s">
        <v>2956</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79" t="s">
        <v>2942</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2943</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79" t="s">
        <v>2957</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79" t="s">
        <v>2949</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79" t="s">
        <v>2950</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36">
      <c r="A76" s="2879" t="s">
        <v>2947</v>
      </c>
      <c r="B76" s="2885" t="s">
        <v>2948</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9.6">
      <c r="A77" s="2879" t="s">
        <v>2951</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36.6" thickBot="1">
      <c r="A78" s="2887" t="s">
        <v>2958</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4.4">
      <c r="A79" s="2875" t="s">
        <v>2959</v>
      </c>
      <c r="B79" s="2876">
        <f>1+E81</f>
        <v>1</v>
      </c>
      <c r="C79" s="814"/>
      <c r="D79" s="814"/>
      <c r="E79" s="815"/>
      <c r="F79" s="2878"/>
      <c r="G79" s="6"/>
      <c r="H79" s="6"/>
      <c r="I79" s="6"/>
      <c r="J79" s="7"/>
      <c r="K79" s="7"/>
      <c r="L79" s="7"/>
      <c r="M79" s="7"/>
      <c r="N79" s="7"/>
      <c r="Z79" s="2721"/>
      <c r="AA79" s="2797"/>
      <c r="AG79" s="1375"/>
      <c r="AK79" s="2797"/>
    </row>
    <row r="80" spans="1:37" ht="25.2">
      <c r="A80" s="2879" t="s">
        <v>2933</v>
      </c>
      <c r="B80" s="1812"/>
      <c r="C80" s="1812" t="s">
        <v>2935</v>
      </c>
      <c r="D80" s="1812" t="s">
        <v>2936</v>
      </c>
      <c r="E80" s="819" t="s">
        <v>2937</v>
      </c>
      <c r="F80" s="2880" t="s">
        <v>2953</v>
      </c>
      <c r="G80" s="1812" t="s">
        <v>754</v>
      </c>
      <c r="H80" s="2881" t="s">
        <v>2939</v>
      </c>
      <c r="I80" s="1812" t="s">
        <v>2940</v>
      </c>
      <c r="J80" s="603" t="s">
        <v>2589</v>
      </c>
      <c r="K80" s="603" t="s">
        <v>2590</v>
      </c>
      <c r="L80" s="603" t="s">
        <v>2591</v>
      </c>
      <c r="M80" s="603" t="s">
        <v>2592</v>
      </c>
      <c r="N80" s="603" t="s">
        <v>2593</v>
      </c>
      <c r="Z80" s="2721"/>
      <c r="AA80" s="2797"/>
      <c r="AG80" s="1375"/>
      <c r="AK80" s="2797"/>
    </row>
    <row r="81" spans="1:37" ht="39.6">
      <c r="A81" s="2879" t="s">
        <v>2960</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66">
      <c r="A82" s="2879" t="s">
        <v>2942</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2943</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3.8">
      <c r="A84" s="2879" t="s">
        <v>2957</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6.4">
      <c r="A85" s="2879" t="s">
        <v>2949</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6.4">
      <c r="A86" s="2879" t="s">
        <v>2950</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36">
      <c r="A87" s="2879" t="s">
        <v>2947</v>
      </c>
      <c r="B87" s="2885" t="s">
        <v>2961</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53.4" thickBot="1">
      <c r="A88" s="2887" t="s">
        <v>2962</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53" t="s">
        <v>2963</v>
      </c>
      <c r="B90" s="3253"/>
      <c r="C90" s="3253"/>
      <c r="D90" s="3253"/>
      <c r="E90" s="3253"/>
      <c r="F90" s="3253"/>
      <c r="G90" s="3253"/>
      <c r="H90" s="3253"/>
      <c r="I90" s="3253"/>
      <c r="J90" s="3253"/>
      <c r="K90" s="2893"/>
      <c r="L90" s="2893"/>
      <c r="M90" s="2893"/>
      <c r="N90" s="2893"/>
    </row>
    <row r="91" spans="1:37">
      <c r="A91" s="3255" t="s">
        <v>2964</v>
      </c>
      <c r="B91" s="3255" t="s">
        <v>2965</v>
      </c>
      <c r="C91" s="2847" t="s">
        <v>2966</v>
      </c>
      <c r="D91" s="2848"/>
      <c r="E91" s="2848"/>
      <c r="F91" s="2848"/>
      <c r="G91" s="2848"/>
      <c r="H91" s="2848"/>
      <c r="I91" s="2848"/>
      <c r="J91" s="2894"/>
      <c r="K91" s="2895"/>
      <c r="L91" s="2895"/>
      <c r="M91" s="2895"/>
      <c r="N91" s="2895"/>
    </row>
    <row r="92" spans="1:37">
      <c r="A92" s="3255"/>
      <c r="B92" s="3255"/>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56" t="s">
        <v>2967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7"/>
      <c r="B99" s="2896" t="s">
        <v>2848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6" t="s">
        <v>2968</v>
      </c>
      <c r="B101" s="2900" t="s">
        <v>2969</v>
      </c>
      <c r="C101" s="2901">
        <f>$G$3</f>
        <v>0.84</v>
      </c>
      <c r="D101" s="2901">
        <f t="shared" ref="D101:N101" si="31">$G$3</f>
        <v>0.84</v>
      </c>
      <c r="E101" s="2901">
        <f t="shared" si="31"/>
        <v>0.84</v>
      </c>
      <c r="F101" s="2901">
        <f t="shared" si="31"/>
        <v>0.84</v>
      </c>
      <c r="G101" s="2901">
        <f t="shared" si="31"/>
        <v>0.84</v>
      </c>
      <c r="H101" s="2901">
        <f t="shared" si="31"/>
        <v>0.84</v>
      </c>
      <c r="I101" s="2901">
        <f t="shared" si="31"/>
        <v>0.84</v>
      </c>
      <c r="J101" s="2901">
        <f t="shared" si="31"/>
        <v>0.84</v>
      </c>
      <c r="K101" s="2901">
        <f t="shared" si="31"/>
        <v>0.84</v>
      </c>
      <c r="L101" s="2901">
        <f t="shared" si="31"/>
        <v>0.84</v>
      </c>
      <c r="M101" s="2901">
        <f t="shared" si="31"/>
        <v>0.84</v>
      </c>
      <c r="N101" s="2901">
        <f t="shared" si="31"/>
        <v>0.84</v>
      </c>
    </row>
    <row r="102" spans="1:14">
      <c r="A102" s="3257"/>
      <c r="B102" s="2896">
        <v>1</v>
      </c>
      <c r="C102" s="2897">
        <f>1.9362/C101</f>
        <v>2.3050000000000002</v>
      </c>
      <c r="D102" s="2897">
        <f>1.9362/D101</f>
        <v>2.3050000000000002</v>
      </c>
      <c r="E102" s="2897">
        <f>1.8629/E101</f>
        <v>2.2177380952380954</v>
      </c>
      <c r="F102" s="2897">
        <f>1.8629/F101</f>
        <v>2.2177380952380954</v>
      </c>
      <c r="G102" s="2897">
        <f>1.8629/G101</f>
        <v>2.2177380952380954</v>
      </c>
      <c r="H102" s="2897">
        <f>1.8629/H101</f>
        <v>2.2177380952380954</v>
      </c>
      <c r="I102" s="2897">
        <f>1.8629/I101</f>
        <v>2.2177380952380954</v>
      </c>
      <c r="J102" s="2897">
        <f>1.942/J101</f>
        <v>2.3119047619047621</v>
      </c>
      <c r="K102" s="2897">
        <f>1.942/K101</f>
        <v>2.3119047619047621</v>
      </c>
      <c r="L102" s="2897">
        <f>1.942/L101</f>
        <v>2.3119047619047621</v>
      </c>
      <c r="M102" s="2897">
        <f>1.942/M101</f>
        <v>2.3119047619047621</v>
      </c>
      <c r="N102" s="2897">
        <f>1.942/N101</f>
        <v>2.3119047619047621</v>
      </c>
    </row>
    <row r="103" spans="1:14">
      <c r="A103" s="3257"/>
      <c r="B103" s="2896">
        <v>2</v>
      </c>
      <c r="C103" s="2897">
        <f>1.4198/C101</f>
        <v>1.6902380952380953</v>
      </c>
      <c r="D103" s="2897">
        <f>1.4198/D101</f>
        <v>1.6902380952380953</v>
      </c>
      <c r="E103" s="2897">
        <f>1.3372/E101</f>
        <v>1.5919047619047619</v>
      </c>
      <c r="F103" s="2897">
        <f>1.3372/F101</f>
        <v>1.5919047619047619</v>
      </c>
      <c r="G103" s="2897">
        <f>1.3372/G101</f>
        <v>1.5919047619047619</v>
      </c>
      <c r="H103" s="2897">
        <f>1.3372/H101</f>
        <v>1.5919047619047619</v>
      </c>
      <c r="I103" s="2897">
        <f>1.3372/I101</f>
        <v>1.5919047619047619</v>
      </c>
      <c r="J103" s="2897">
        <f>1.2799/J101</f>
        <v>1.5236904761904764</v>
      </c>
      <c r="K103" s="2897">
        <f>1.2799/K101</f>
        <v>1.5236904761904764</v>
      </c>
      <c r="L103" s="2897">
        <f>1.2799/L101</f>
        <v>1.5236904761904764</v>
      </c>
      <c r="M103" s="2897">
        <f>1.2799/M101</f>
        <v>1.5236904761904764</v>
      </c>
      <c r="N103" s="2897">
        <f>1.2799/N101</f>
        <v>1.5236904761904764</v>
      </c>
    </row>
    <row r="104" spans="1:14">
      <c r="A104" s="3257"/>
      <c r="B104" s="2896">
        <v>3</v>
      </c>
      <c r="C104" s="2897">
        <f>1.1594/C101</f>
        <v>1.3802380952380953</v>
      </c>
      <c r="D104" s="2897">
        <f>1.1594/D101</f>
        <v>1.3802380952380953</v>
      </c>
      <c r="E104" s="2897">
        <f>1.0788/E101</f>
        <v>1.2842857142857143</v>
      </c>
      <c r="F104" s="2897">
        <f>1.0788/F101</f>
        <v>1.2842857142857143</v>
      </c>
      <c r="G104" s="2897">
        <f>1.0788/G101</f>
        <v>1.2842857142857143</v>
      </c>
      <c r="H104" s="2897">
        <f>1.0788/H101</f>
        <v>1.2842857142857143</v>
      </c>
      <c r="I104" s="2897">
        <f>1.0788/I101</f>
        <v>1.2842857142857143</v>
      </c>
      <c r="J104" s="2897">
        <f>1.0072/J101</f>
        <v>1.1990476190476191</v>
      </c>
      <c r="K104" s="2897">
        <f>1.0072/K101</f>
        <v>1.1990476190476191</v>
      </c>
      <c r="L104" s="2897">
        <f>1.0072/L101</f>
        <v>1.1990476190476191</v>
      </c>
      <c r="M104" s="2897">
        <f>1.0072/M101</f>
        <v>1.1990476190476191</v>
      </c>
      <c r="N104" s="2897">
        <f>1.0072/N101</f>
        <v>1.1990476190476191</v>
      </c>
    </row>
    <row r="105" spans="1:14">
      <c r="A105" s="3257"/>
      <c r="B105" s="2896">
        <v>4</v>
      </c>
      <c r="C105" s="2897">
        <f>0.9622/C101</f>
        <v>1.1454761904761905</v>
      </c>
      <c r="D105" s="2897">
        <f>0.9622/D101</f>
        <v>1.1454761904761905</v>
      </c>
      <c r="E105" s="2897">
        <f>0.8656/E101</f>
        <v>1.0304761904761905</v>
      </c>
      <c r="F105" s="2897">
        <f>0.8656/F101</f>
        <v>1.0304761904761905</v>
      </c>
      <c r="G105" s="2897">
        <f>0.8656/G101</f>
        <v>1.0304761904761905</v>
      </c>
      <c r="H105" s="2897">
        <f>0.8656/H101</f>
        <v>1.0304761904761905</v>
      </c>
      <c r="I105" s="2897">
        <f>0.8656/I101</f>
        <v>1.0304761904761905</v>
      </c>
      <c r="J105" s="2897">
        <f>0.7525/J101</f>
        <v>0.89583333333333326</v>
      </c>
      <c r="K105" s="2897">
        <f>0.7525/K101</f>
        <v>0.89583333333333326</v>
      </c>
      <c r="L105" s="2897">
        <f>0.7525/L101</f>
        <v>0.89583333333333326</v>
      </c>
      <c r="M105" s="2897">
        <f>0.7525/M101</f>
        <v>0.89583333333333326</v>
      </c>
      <c r="N105" s="2897">
        <f>0.7525/N101</f>
        <v>0.89583333333333326</v>
      </c>
    </row>
    <row r="106" spans="1:14">
      <c r="A106" s="3257"/>
      <c r="B106" s="2896">
        <v>5</v>
      </c>
      <c r="C106" s="2897">
        <f>0.8417/C101</f>
        <v>1.0020238095238096</v>
      </c>
      <c r="D106" s="2897">
        <f>0.8417/D101</f>
        <v>1.0020238095238096</v>
      </c>
      <c r="E106" s="2897">
        <f>0.7371/E101</f>
        <v>0.87750000000000006</v>
      </c>
      <c r="F106" s="2897">
        <f>0.7371/F101</f>
        <v>0.87750000000000006</v>
      </c>
      <c r="G106" s="2897">
        <f>0.7371/G101</f>
        <v>0.87750000000000006</v>
      </c>
      <c r="H106" s="2897">
        <f>0.7371/H101</f>
        <v>0.87750000000000006</v>
      </c>
      <c r="I106" s="2897">
        <f>0.7371/I101</f>
        <v>0.87750000000000006</v>
      </c>
      <c r="J106" s="2897">
        <f>0.5659/J101</f>
        <v>0.67369047619047617</v>
      </c>
      <c r="K106" s="2897">
        <f>0.5659/K101</f>
        <v>0.67369047619047617</v>
      </c>
      <c r="L106" s="2897">
        <f>0.5659/L101</f>
        <v>0.67369047619047617</v>
      </c>
      <c r="M106" s="2897">
        <f>0.5659/M101</f>
        <v>0.67369047619047617</v>
      </c>
      <c r="N106" s="2897">
        <f>0.5659/N101</f>
        <v>0.67369047619047617</v>
      </c>
    </row>
    <row r="107" spans="1:14">
      <c r="A107" s="3257"/>
      <c r="B107" s="2896">
        <v>6</v>
      </c>
      <c r="C107" s="2897">
        <f>0.7608/C101</f>
        <v>0.90571428571428581</v>
      </c>
      <c r="D107" s="2897">
        <f>0.7608/D101</f>
        <v>0.90571428571428581</v>
      </c>
      <c r="E107" s="2897">
        <f>0.6482/E101</f>
        <v>0.77166666666666672</v>
      </c>
      <c r="F107" s="2897">
        <f>0.6482/F101</f>
        <v>0.77166666666666672</v>
      </c>
      <c r="G107" s="2897">
        <f>0.6482/G101</f>
        <v>0.77166666666666672</v>
      </c>
      <c r="H107" s="2897">
        <f>0.6482/H101</f>
        <v>0.77166666666666672</v>
      </c>
      <c r="I107" s="2897">
        <f>0.6482/I101</f>
        <v>0.77166666666666672</v>
      </c>
      <c r="J107" s="2897">
        <f>0.4525/J101</f>
        <v>0.53869047619047628</v>
      </c>
      <c r="K107" s="2897">
        <f>0.4525/K101</f>
        <v>0.53869047619047628</v>
      </c>
      <c r="L107" s="2897">
        <f>0.4525/L101</f>
        <v>0.53869047619047628</v>
      </c>
      <c r="M107" s="2897">
        <f>0.4525/M101</f>
        <v>0.53869047619047628</v>
      </c>
      <c r="N107" s="2897">
        <f>0.4525/N101</f>
        <v>0.53869047619047628</v>
      </c>
    </row>
    <row r="108" spans="1:14">
      <c r="A108" s="3257"/>
      <c r="B108" s="3130" t="s">
        <v>2970</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8"/>
      <c r="B109" s="3131"/>
      <c r="C109" s="2899">
        <f>(-0.163*(C108^2)-0.59*C108+7617)*(10^(-4))/C101</f>
        <v>0.90678571428571442</v>
      </c>
      <c r="D109" s="2899">
        <f>(-0.163*(D108^2)-0.59*D108+7617)*(10^(-4))/D101</f>
        <v>0.90678571428571442</v>
      </c>
      <c r="E109" s="2899">
        <f>(-0.161*(E108^2)-7.509*E108+6533)*(10^(-4))/E101</f>
        <v>0.77773809523809523</v>
      </c>
      <c r="F109" s="2899">
        <f>(-0.161*(F108^2)-7.509*F108+6533)*(10^(-4))/F101</f>
        <v>0.77773809523809523</v>
      </c>
      <c r="G109" s="2899">
        <f>(-0.161*(G108^2)-7.509*G108+6533)*(10^(-4))/G101</f>
        <v>0.77773809523809523</v>
      </c>
      <c r="H109" s="2899">
        <f>(-0.161*(H108^2)-7.509*H108+6533)*(10^(-4))/H101</f>
        <v>0.77773809523809523</v>
      </c>
      <c r="I109" s="2899">
        <f>(-0.161*(I108^2)-7.509*I108+6533)*(10^(-4))/I101</f>
        <v>0.77773809523809523</v>
      </c>
      <c r="J109" s="2899">
        <f>(-0.214*(J108^2)-21.991*J108+4665)*(10^(-4))/J101</f>
        <v>0.55535714285714288</v>
      </c>
      <c r="K109" s="2899">
        <f>(-0.214*(K108^2)-21.991*K108+4665)*(10^(-4))/K101</f>
        <v>0.55535714285714288</v>
      </c>
      <c r="L109" s="2899">
        <f>(-0.214*(L108^2)-21.991*L108+4665)*(10^(-4))/L101</f>
        <v>0.55535714285714288</v>
      </c>
      <c r="M109" s="2899">
        <f>(-0.214*(M108^2)-21.991*M108+4665)*(10^(-4))/M101</f>
        <v>0.55535714285714288</v>
      </c>
      <c r="N109" s="2899">
        <f>(-0.214*(N108^2)-21.991*N108+4665)*(10^(-4))/N101</f>
        <v>0.55535714285714288</v>
      </c>
    </row>
    <row r="110" spans="1:14">
      <c r="A110" s="3254" t="s">
        <v>2971</v>
      </c>
      <c r="B110" s="3254"/>
      <c r="C110" s="3254"/>
      <c r="D110" s="3254"/>
      <c r="E110" s="3254"/>
      <c r="F110" s="3254"/>
      <c r="G110" s="3254"/>
      <c r="H110" s="3254"/>
      <c r="I110" s="3254"/>
      <c r="J110" s="3254"/>
      <c r="K110" s="2902"/>
      <c r="L110" s="2902"/>
      <c r="M110" s="2902"/>
      <c r="N110" s="2902"/>
    </row>
    <row r="112" spans="1:14" ht="13.8" thickBot="1"/>
    <row r="113" spans="1:13" ht="25.8" thickBot="1">
      <c r="A113" s="903" t="s">
        <v>2972</v>
      </c>
      <c r="B113" s="1290">
        <f>G3</f>
        <v>0.84</v>
      </c>
      <c r="C113" s="904" t="s">
        <v>2973</v>
      </c>
      <c r="D113" s="905">
        <f>SUMPRODUCT((A115:A118=F113)*(B114:M114=H113)*B115:M118)</f>
        <v>0.75760000000000005</v>
      </c>
      <c r="E113" s="2725" t="s">
        <v>2806</v>
      </c>
      <c r="F113" s="2904" t="str">
        <f>E2</f>
        <v>办公</v>
      </c>
      <c r="G113" s="2725" t="s">
        <v>2807</v>
      </c>
      <c r="H113" s="2904" t="str">
        <f>G2</f>
        <v>九级</v>
      </c>
      <c r="I113" s="2725"/>
      <c r="J113" s="2905"/>
      <c r="K113" s="2905"/>
      <c r="L113" s="2905"/>
      <c r="M113" s="2905"/>
    </row>
    <row r="114" spans="1:13">
      <c r="A114" s="908"/>
      <c r="B114" s="2906" t="s">
        <v>2974</v>
      </c>
      <c r="C114" s="2906" t="s">
        <v>2975</v>
      </c>
      <c r="D114" s="2906" t="s">
        <v>2976</v>
      </c>
      <c r="E114" s="2907" t="s">
        <v>2977</v>
      </c>
      <c r="F114" s="2907" t="s">
        <v>2978</v>
      </c>
      <c r="G114" s="2907" t="s">
        <v>2979</v>
      </c>
      <c r="H114" s="2908" t="s">
        <v>2980</v>
      </c>
      <c r="I114" s="2908" t="s">
        <v>2981</v>
      </c>
      <c r="J114" s="2909" t="s">
        <v>2982</v>
      </c>
      <c r="K114" s="2909" t="s">
        <v>2983</v>
      </c>
      <c r="L114" s="2909" t="s">
        <v>2984</v>
      </c>
      <c r="M114" s="2910" t="s">
        <v>2985</v>
      </c>
    </row>
    <row r="115" spans="1:13">
      <c r="A115" s="909" t="s">
        <v>2870</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2871</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2872</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8" thickBot="1">
      <c r="A118" s="714" t="s">
        <v>2873</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1" priority="6" stopIfTrue="1" operator="notEqual">
      <formula>"——"</formula>
    </cfRule>
  </conditionalFormatting>
  <conditionalFormatting sqref="F59">
    <cfRule type="cellIs" dxfId="20" priority="5" stopIfTrue="1" operator="notEqual">
      <formula>"——"</formula>
    </cfRule>
  </conditionalFormatting>
  <conditionalFormatting sqref="F70">
    <cfRule type="cellIs" dxfId="19" priority="4" stopIfTrue="1" operator="notEqual">
      <formula>"——"</formula>
    </cfRule>
  </conditionalFormatting>
  <conditionalFormatting sqref="F81">
    <cfRule type="cellIs" dxfId="18" priority="3" stopIfTrue="1" operator="notEqual">
      <formula>"——"</formula>
    </cfRule>
  </conditionalFormatting>
  <conditionalFormatting sqref="H48:H56 H59:H67 H70:H78 H81:H88">
    <cfRule type="cellIs" dxfId="17" priority="2" operator="notEqual">
      <formula>"——"</formula>
    </cfRule>
  </conditionalFormatting>
  <conditionalFormatting sqref="G59:G67">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2" t="s">
        <v>614</v>
      </c>
      <c r="C61" s="818" t="s">
        <v>615</v>
      </c>
      <c r="D61" s="818" t="s">
        <v>616</v>
      </c>
      <c r="E61" s="895">
        <v>0.5</v>
      </c>
      <c r="F61" s="882">
        <v>80</v>
      </c>
    </row>
    <row r="62" spans="1:8" s="878" customFormat="1" ht="36">
      <c r="A62" s="882">
        <v>2</v>
      </c>
      <c r="B62" s="3262"/>
      <c r="C62" s="818" t="s">
        <v>617</v>
      </c>
      <c r="D62" s="818" t="s">
        <v>618</v>
      </c>
      <c r="E62" s="895">
        <v>0.5</v>
      </c>
      <c r="F62" s="882">
        <v>80</v>
      </c>
    </row>
    <row r="63" spans="1:8" s="878" customFormat="1" ht="48">
      <c r="A63" s="882">
        <v>3</v>
      </c>
      <c r="B63" s="3262"/>
      <c r="C63" s="818" t="s">
        <v>619</v>
      </c>
      <c r="D63" s="818" t="s">
        <v>620</v>
      </c>
      <c r="E63" s="895">
        <v>0.5</v>
      </c>
      <c r="F63" s="882">
        <v>80</v>
      </c>
    </row>
    <row r="64" spans="1:8" s="878" customFormat="1" ht="48">
      <c r="A64" s="882">
        <v>4</v>
      </c>
      <c r="B64" s="3262"/>
      <c r="C64" s="818" t="s">
        <v>621</v>
      </c>
      <c r="D64" s="818" t="s">
        <v>622</v>
      </c>
      <c r="E64" s="895">
        <v>0.4</v>
      </c>
      <c r="F64" s="882">
        <v>60</v>
      </c>
    </row>
    <row r="65" spans="1:6" s="878" customFormat="1" ht="48">
      <c r="A65" s="882">
        <v>5</v>
      </c>
      <c r="B65" s="3262"/>
      <c r="C65" s="818" t="s">
        <v>623</v>
      </c>
      <c r="D65" s="818" t="s">
        <v>624</v>
      </c>
      <c r="E65" s="895">
        <v>0.2</v>
      </c>
      <c r="F65" s="882">
        <v>30</v>
      </c>
    </row>
    <row r="66" spans="1:6" s="878" customFormat="1" ht="48">
      <c r="A66" s="882">
        <v>6</v>
      </c>
      <c r="B66" s="3262"/>
      <c r="C66" s="818" t="s">
        <v>625</v>
      </c>
      <c r="D66" s="818" t="s">
        <v>626</v>
      </c>
      <c r="E66" s="895">
        <v>0.3</v>
      </c>
      <c r="F66" s="882">
        <v>50</v>
      </c>
    </row>
    <row r="67" spans="1:6" s="878" customFormat="1" ht="48">
      <c r="A67" s="882">
        <v>7</v>
      </c>
      <c r="B67" s="3262"/>
      <c r="C67" s="818" t="s">
        <v>627</v>
      </c>
      <c r="D67" s="818" t="s">
        <v>628</v>
      </c>
      <c r="E67" s="895">
        <v>0.2</v>
      </c>
      <c r="F67" s="882">
        <v>30</v>
      </c>
    </row>
    <row r="68" spans="1:6" s="878" customFormat="1" ht="48">
      <c r="A68" s="882">
        <v>8</v>
      </c>
      <c r="B68" s="3262"/>
      <c r="C68" s="818" t="s">
        <v>629</v>
      </c>
      <c r="D68" s="818" t="s">
        <v>630</v>
      </c>
      <c r="E68" s="895">
        <v>0.2</v>
      </c>
      <c r="F68" s="882">
        <v>30</v>
      </c>
    </row>
    <row r="69" spans="1:6" s="878" customFormat="1" ht="48">
      <c r="A69" s="882">
        <v>9</v>
      </c>
      <c r="B69" s="3262"/>
      <c r="C69" s="818" t="s">
        <v>631</v>
      </c>
      <c r="D69" s="818" t="s">
        <v>632</v>
      </c>
      <c r="E69" s="895">
        <v>0.2</v>
      </c>
      <c r="F69" s="882">
        <v>30</v>
      </c>
    </row>
    <row r="70" spans="1:6" s="878" customFormat="1" ht="60">
      <c r="A70" s="882">
        <v>10</v>
      </c>
      <c r="B70" s="3262"/>
      <c r="C70" s="818" t="s">
        <v>633</v>
      </c>
      <c r="D70" s="818" t="s">
        <v>634</v>
      </c>
      <c r="E70" s="895">
        <v>0.2</v>
      </c>
      <c r="F70" s="882">
        <v>30</v>
      </c>
    </row>
    <row r="71" spans="1:6" s="878" customFormat="1" ht="60">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36">
      <c r="A73" s="882">
        <v>13</v>
      </c>
      <c r="B73" s="3262"/>
      <c r="C73" s="818" t="s">
        <v>639</v>
      </c>
      <c r="D73" s="818" t="s">
        <v>640</v>
      </c>
      <c r="E73" s="895">
        <v>0.4</v>
      </c>
      <c r="F73" s="882">
        <v>60</v>
      </c>
    </row>
    <row r="74" spans="1:6" s="878" customFormat="1" ht="36">
      <c r="A74" s="882">
        <v>14</v>
      </c>
      <c r="B74" s="3262"/>
      <c r="C74" s="818" t="s">
        <v>641</v>
      </c>
      <c r="D74" s="818" t="s">
        <v>642</v>
      </c>
      <c r="E74" s="895">
        <v>0.2</v>
      </c>
      <c r="F74" s="882">
        <v>30</v>
      </c>
    </row>
    <row r="75" spans="1:6" s="878" customFormat="1" ht="36">
      <c r="A75" s="882">
        <v>15</v>
      </c>
      <c r="B75" s="3262"/>
      <c r="C75" s="818" t="s">
        <v>643</v>
      </c>
      <c r="D75" s="818" t="s">
        <v>644</v>
      </c>
      <c r="E75" s="895">
        <v>0.2</v>
      </c>
      <c r="F75" s="882">
        <v>30</v>
      </c>
    </row>
    <row r="76" spans="1:6" s="878" customFormat="1" ht="36">
      <c r="A76" s="882">
        <v>16</v>
      </c>
      <c r="B76" s="3262" t="s">
        <v>645</v>
      </c>
      <c r="C76" s="818" t="s">
        <v>646</v>
      </c>
      <c r="D76" s="818" t="s">
        <v>647</v>
      </c>
      <c r="E76" s="895">
        <v>0.5</v>
      </c>
      <c r="F76" s="882">
        <v>80</v>
      </c>
    </row>
    <row r="77" spans="1:6" s="878" customFormat="1" ht="36">
      <c r="A77" s="882">
        <v>17</v>
      </c>
      <c r="B77" s="3262"/>
      <c r="C77" s="818" t="s">
        <v>648</v>
      </c>
      <c r="D77" s="818" t="s">
        <v>649</v>
      </c>
      <c r="E77" s="895">
        <v>0.5</v>
      </c>
      <c r="F77" s="882">
        <v>80</v>
      </c>
    </row>
    <row r="78" spans="1:6" s="878" customFormat="1" ht="36">
      <c r="A78" s="882">
        <v>18</v>
      </c>
      <c r="B78" s="3262"/>
      <c r="C78" s="818" t="s">
        <v>650</v>
      </c>
      <c r="D78" s="818" t="s">
        <v>651</v>
      </c>
      <c r="E78" s="895">
        <v>0.2</v>
      </c>
      <c r="F78" s="882">
        <v>30</v>
      </c>
    </row>
    <row r="79" spans="1:6" s="878" customFormat="1" ht="36">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60">
      <c r="A82" s="882">
        <v>22</v>
      </c>
      <c r="B82" s="3262"/>
      <c r="C82" s="818" t="s">
        <v>658</v>
      </c>
      <c r="D82" s="818" t="s">
        <v>659</v>
      </c>
      <c r="E82" s="895">
        <v>0.2</v>
      </c>
      <c r="F82" s="882">
        <v>30</v>
      </c>
    </row>
    <row r="83" spans="1:6" s="878" customFormat="1" ht="60">
      <c r="A83" s="882">
        <v>23</v>
      </c>
      <c r="B83" s="3262"/>
      <c r="C83" s="818" t="s">
        <v>660</v>
      </c>
      <c r="D83" s="818" t="s">
        <v>661</v>
      </c>
      <c r="E83" s="895">
        <v>0.2</v>
      </c>
      <c r="F83" s="882">
        <v>30</v>
      </c>
    </row>
    <row r="84" spans="1:6" s="878" customFormat="1" ht="48">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36">
      <c r="A89" s="882">
        <v>29</v>
      </c>
      <c r="B89" s="3262"/>
      <c r="C89" s="818" t="s">
        <v>672</v>
      </c>
      <c r="D89" s="818" t="s">
        <v>673</v>
      </c>
      <c r="E89" s="895">
        <v>0.2</v>
      </c>
      <c r="F89" s="882">
        <v>30</v>
      </c>
    </row>
    <row r="90" spans="1:6" s="878" customFormat="1" ht="36">
      <c r="A90" s="882">
        <v>30</v>
      </c>
      <c r="B90" s="3262"/>
      <c r="C90" s="818" t="s">
        <v>674</v>
      </c>
      <c r="D90" s="818" t="s">
        <v>675</v>
      </c>
      <c r="E90" s="895">
        <v>0.2</v>
      </c>
      <c r="F90" s="882">
        <v>30</v>
      </c>
    </row>
    <row r="91" spans="1:6" s="878" customFormat="1" ht="48">
      <c r="A91" s="882">
        <v>31</v>
      </c>
      <c r="B91" s="3262"/>
      <c r="C91" s="818" t="s">
        <v>676</v>
      </c>
      <c r="D91" s="818" t="s">
        <v>677</v>
      </c>
      <c r="E91" s="895">
        <v>0.2</v>
      </c>
      <c r="F91" s="882">
        <v>30</v>
      </c>
    </row>
    <row r="92" spans="1:6" s="878" customFormat="1" ht="36">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60">
      <c r="A94" s="882">
        <v>34</v>
      </c>
      <c r="B94" s="3262"/>
      <c r="C94" s="882" t="s">
        <v>683</v>
      </c>
      <c r="D94" s="818" t="s">
        <v>684</v>
      </c>
      <c r="E94" s="895">
        <v>0.2</v>
      </c>
      <c r="F94" s="882">
        <v>30</v>
      </c>
    </row>
    <row r="95" spans="1:6" s="878" customFormat="1" ht="48">
      <c r="A95" s="882">
        <v>35</v>
      </c>
      <c r="B95" s="3262"/>
      <c r="C95" s="882" t="s">
        <v>685</v>
      </c>
      <c r="D95" s="818" t="s">
        <v>686</v>
      </c>
      <c r="E95" s="895">
        <v>0.2</v>
      </c>
      <c r="F95" s="882">
        <v>30</v>
      </c>
    </row>
    <row r="96" spans="1:6" s="878" customFormat="1" ht="72">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36">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2" t="s">
        <v>708</v>
      </c>
      <c r="C105" s="882" t="s">
        <v>709</v>
      </c>
      <c r="D105" s="818" t="s">
        <v>710</v>
      </c>
      <c r="E105" s="895">
        <v>0.2</v>
      </c>
      <c r="F105" s="882">
        <v>30</v>
      </c>
    </row>
    <row r="106" spans="1:6" s="878" customFormat="1" ht="48">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48">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2" t="s">
        <v>724</v>
      </c>
      <c r="C111" s="882" t="s">
        <v>725</v>
      </c>
      <c r="D111" s="818" t="s">
        <v>726</v>
      </c>
      <c r="E111" s="895">
        <v>0.2</v>
      </c>
      <c r="F111" s="882">
        <v>30</v>
      </c>
    </row>
    <row r="112" spans="1:6" s="878" customFormat="1" ht="36">
      <c r="A112" s="882">
        <v>52</v>
      </c>
      <c r="B112" s="3262"/>
      <c r="C112" s="882" t="s">
        <v>727</v>
      </c>
      <c r="D112" s="818" t="s">
        <v>728</v>
      </c>
      <c r="E112" s="895">
        <v>0.2</v>
      </c>
      <c r="F112" s="882">
        <v>30</v>
      </c>
    </row>
    <row r="113" spans="1:6" s="878" customFormat="1" ht="36">
      <c r="A113" s="882">
        <v>53</v>
      </c>
      <c r="B113" s="326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2" t="s">
        <v>2994</v>
      </c>
    </row>
    <row r="2" spans="1:5" ht="15.6">
      <c r="A2" s="2911" t="s">
        <v>2986</v>
      </c>
      <c r="B2" s="2912">
        <f ca="1">SUMIF(B6:B13,"&lt;&gt;#ref!",B6:B13)</f>
        <v>33056</v>
      </c>
      <c r="C2" s="2911" t="s">
        <v>2987</v>
      </c>
      <c r="D2" s="2911" t="s">
        <v>2988</v>
      </c>
      <c r="E2" s="2912">
        <f ca="1">SUMIF(E6:E13,"&lt;&gt;#ref!",E6:E13)</f>
        <v>53162.09</v>
      </c>
    </row>
    <row r="3" spans="1:5" ht="15.6">
      <c r="A3" s="2911" t="s">
        <v>2989</v>
      </c>
      <c r="B3" s="2912">
        <f ca="1">ROUND(B2*10000/E2,0)</f>
        <v>6218</v>
      </c>
      <c r="C3" s="2911" t="s">
        <v>2995</v>
      </c>
      <c r="D3" s="2913"/>
      <c r="E3" s="2913"/>
    </row>
    <row r="4" spans="1:5" ht="15.6">
      <c r="A4" s="2914"/>
      <c r="B4" s="2913"/>
      <c r="C4" s="2913"/>
      <c r="D4" s="2913"/>
      <c r="E4" s="2913"/>
    </row>
    <row r="5" spans="1:5" ht="31.2">
      <c r="A5" s="2915" t="s">
        <v>2990</v>
      </c>
      <c r="B5" s="2911" t="s">
        <v>2991</v>
      </c>
      <c r="C5" s="2912"/>
      <c r="D5" s="2913"/>
      <c r="E5" s="2911" t="s">
        <v>2992</v>
      </c>
    </row>
    <row r="6" spans="1:5" ht="15.6">
      <c r="A6" s="2916" t="s">
        <v>2993</v>
      </c>
      <c r="B6" s="2912">
        <f ca="1">SUMIF(INDIRECT("'"&amp;A6&amp;"'"&amp;"!A:A"),"总价",INDIRECT("'"&amp;A6&amp;"'"&amp;"!B:B"))</f>
        <v>33056</v>
      </c>
      <c r="C6" s="2911" t="s">
        <v>2987</v>
      </c>
      <c r="D6" s="2913"/>
      <c r="E6" s="2576">
        <f ca="1">SUMIF(INDIRECT("'"&amp;A6&amp;"'"&amp;"!C:C"),"建筑面积",INDIRECT("'"&amp;A6&amp;"'"&amp;"!D:D"))</f>
        <v>53162.09</v>
      </c>
    </row>
    <row r="7" spans="1:5" ht="15.6">
      <c r="A7" s="2916"/>
      <c r="B7" s="2912" t="e">
        <f ca="1">SUMIF(INDIRECT("'"&amp;A7&amp;"'"&amp;"!A:A"),"总价",INDIRECT("'"&amp;A7&amp;"'"&amp;"!B:B"))</f>
        <v>#REF!</v>
      </c>
      <c r="C7" s="2911" t="s">
        <v>2987</v>
      </c>
      <c r="D7" s="2913"/>
      <c r="E7" s="2576" t="e">
        <f t="shared" ref="E7:E13" ca="1" si="0">SUMIF(INDIRECT("'"&amp;A7&amp;"'"&amp;"!C:C"),"建筑面积",INDIRECT("'"&amp;A7&amp;"'"&amp;"!D:D"))</f>
        <v>#REF!</v>
      </c>
    </row>
    <row r="8" spans="1:5" ht="15.6">
      <c r="A8" s="2916"/>
      <c r="B8" s="2912" t="e">
        <f t="shared" ref="B8:B13" ca="1" si="1">SUMIF(INDIRECT("'"&amp;A8&amp;"'"&amp;"!A:A"),"总价",INDIRECT("'"&amp;A8&amp;"'"&amp;"!B:B"))</f>
        <v>#REF!</v>
      </c>
      <c r="C8" s="2911" t="s">
        <v>2987</v>
      </c>
      <c r="D8" s="2913"/>
      <c r="E8" s="2576" t="e">
        <f t="shared" ca="1" si="0"/>
        <v>#REF!</v>
      </c>
    </row>
    <row r="9" spans="1:5" ht="15.6">
      <c r="A9" s="2916"/>
      <c r="B9" s="2912" t="e">
        <f t="shared" ca="1" si="1"/>
        <v>#REF!</v>
      </c>
      <c r="C9" s="2911" t="s">
        <v>2987</v>
      </c>
      <c r="D9" s="2913"/>
      <c r="E9" s="2576" t="e">
        <f t="shared" ca="1" si="0"/>
        <v>#REF!</v>
      </c>
    </row>
    <row r="10" spans="1:5" ht="15.6">
      <c r="A10" s="2916"/>
      <c r="B10" s="2912" t="e">
        <f t="shared" ca="1" si="1"/>
        <v>#REF!</v>
      </c>
      <c r="C10" s="2911" t="s">
        <v>2987</v>
      </c>
      <c r="D10" s="2913"/>
      <c r="E10" s="2576" t="e">
        <f t="shared" ca="1" si="0"/>
        <v>#REF!</v>
      </c>
    </row>
    <row r="11" spans="1:5" ht="15.6">
      <c r="A11" s="2916"/>
      <c r="B11" s="2912" t="e">
        <f t="shared" ca="1" si="1"/>
        <v>#REF!</v>
      </c>
      <c r="C11" s="2911" t="s">
        <v>2987</v>
      </c>
      <c r="D11" s="2913"/>
      <c r="E11" s="2576" t="e">
        <f t="shared" ca="1" si="0"/>
        <v>#REF!</v>
      </c>
    </row>
    <row r="12" spans="1:5" ht="15.6">
      <c r="A12" s="2916"/>
      <c r="B12" s="2912" t="e">
        <f t="shared" ca="1" si="1"/>
        <v>#REF!</v>
      </c>
      <c r="C12" s="2911" t="s">
        <v>2987</v>
      </c>
      <c r="D12" s="2913"/>
      <c r="E12" s="2576" t="e">
        <f t="shared" ca="1" si="0"/>
        <v>#REF!</v>
      </c>
    </row>
    <row r="13" spans="1:5" ht="15.6">
      <c r="A13" s="2916"/>
      <c r="B13" s="2912" t="e">
        <f t="shared" ca="1" si="1"/>
        <v>#REF!</v>
      </c>
      <c r="C13" s="2911" t="s">
        <v>2987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670" t="s">
        <v>2678</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69" t="s">
        <v>2643</v>
      </c>
      <c r="Q4" s="3270"/>
      <c r="R4" s="3273" t="s">
        <v>2639</v>
      </c>
      <c r="S4" s="3274"/>
      <c r="T4" s="3273" t="s">
        <v>2640</v>
      </c>
      <c r="U4" s="3274"/>
      <c r="V4" s="3275" t="s">
        <v>2641</v>
      </c>
      <c r="W4" s="3275"/>
      <c r="X4" s="2671"/>
      <c r="Y4" s="3273" t="s">
        <v>2643</v>
      </c>
      <c r="Z4" s="3274"/>
      <c r="AA4" s="3277" t="s">
        <v>2639</v>
      </c>
      <c r="AB4" s="3277" t="s">
        <v>2640</v>
      </c>
      <c r="AC4" s="3266" t="s">
        <v>2641</v>
      </c>
    </row>
    <row r="5" spans="1:29">
      <c r="A5" s="404"/>
      <c r="B5" s="405"/>
      <c r="C5" s="3224" t="s">
        <v>2534</v>
      </c>
      <c r="D5" s="3225"/>
      <c r="E5" s="3231" t="s">
        <v>2535</v>
      </c>
      <c r="F5" s="3232"/>
      <c r="G5" s="3224" t="s">
        <v>2536</v>
      </c>
      <c r="H5" s="3225"/>
      <c r="I5" s="3224" t="s">
        <v>2537</v>
      </c>
      <c r="J5" s="3225"/>
      <c r="K5" s="610"/>
      <c r="L5" s="1133"/>
      <c r="M5" s="1134"/>
      <c r="N5" s="1134"/>
      <c r="O5" s="1134"/>
      <c r="P5" s="3271"/>
      <c r="Q5" s="3212"/>
      <c r="R5" s="3217"/>
      <c r="S5" s="3218"/>
      <c r="T5" s="3217"/>
      <c r="U5" s="3218"/>
      <c r="V5" s="3221"/>
      <c r="W5" s="3221"/>
      <c r="X5" s="1816"/>
      <c r="Y5" s="3217"/>
      <c r="Z5" s="3218"/>
      <c r="AA5" s="3203"/>
      <c r="AB5" s="3203"/>
      <c r="AC5" s="3267"/>
    </row>
    <row r="6" spans="1:29" ht="15" thickBot="1">
      <c r="A6" s="406"/>
      <c r="B6" s="407"/>
      <c r="C6" s="3222" t="s">
        <v>2538</v>
      </c>
      <c r="D6" s="3223"/>
      <c r="E6" s="3229" t="s">
        <v>2538</v>
      </c>
      <c r="F6" s="3230"/>
      <c r="G6" s="3222" t="s">
        <v>2538</v>
      </c>
      <c r="H6" s="3223"/>
      <c r="I6" s="3222" t="s">
        <v>2538</v>
      </c>
      <c r="J6" s="3223"/>
      <c r="K6" s="610" t="s">
        <v>2539</v>
      </c>
      <c r="L6" s="1133"/>
      <c r="M6" s="1134"/>
      <c r="N6" s="1134"/>
      <c r="O6" s="1134"/>
      <c r="P6" s="3272"/>
      <c r="Q6" s="3214"/>
      <c r="R6" s="3217"/>
      <c r="S6" s="3218"/>
      <c r="T6" s="3219"/>
      <c r="U6" s="3220"/>
      <c r="V6" s="3221"/>
      <c r="W6" s="3221"/>
      <c r="X6" s="1816"/>
      <c r="Y6" s="3219"/>
      <c r="Z6" s="3220"/>
      <c r="AA6" s="3204"/>
      <c r="AB6" s="3204"/>
      <c r="AC6" s="3268"/>
    </row>
    <row r="7" spans="1:29" s="117" customFormat="1" ht="15" thickBot="1">
      <c r="A7" s="408" t="s">
        <v>2540</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2672" t="e">
        <f>D7/J7</f>
        <v>#DIV/0!</v>
      </c>
    </row>
    <row r="8" spans="1:29" s="117" customFormat="1" ht="1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6" t="s">
        <v>2544</v>
      </c>
      <c r="Q8" s="3227"/>
      <c r="R8" s="770" t="s">
        <v>17</v>
      </c>
      <c r="S8" s="771">
        <f t="shared" si="0"/>
        <v>0</v>
      </c>
      <c r="T8" s="770" t="s">
        <v>17</v>
      </c>
      <c r="U8" s="771">
        <f t="shared" si="1"/>
        <v>0</v>
      </c>
      <c r="V8" s="770" t="s">
        <v>17</v>
      </c>
      <c r="W8" s="771">
        <f t="shared" si="2"/>
        <v>0</v>
      </c>
      <c r="X8" s="772"/>
      <c r="Y8" s="3226" t="s">
        <v>2544</v>
      </c>
      <c r="Z8" s="3227"/>
      <c r="AA8" s="773" t="e">
        <f t="shared" ref="AA8:AA47" si="3">D8/F8</f>
        <v>#DIV/0!</v>
      </c>
      <c r="AB8" s="773" t="e">
        <f t="shared" ref="AB8:AB47" si="4">D8/H8</f>
        <v>#DIV/0!</v>
      </c>
      <c r="AC8" s="2672" t="e">
        <f t="shared" ref="AC8:AC47" si="5">D8/J8</f>
        <v>#DIV/0!</v>
      </c>
    </row>
    <row r="9" spans="1:29" s="117" customFormat="1" ht="14.4">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2672">
        <f t="shared" si="5"/>
        <v>1</v>
      </c>
    </row>
    <row r="10" spans="1:29" s="427" customFormat="1" ht="28.8">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2">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2">
        <f t="shared" si="5"/>
        <v>1</v>
      </c>
    </row>
    <row r="15" spans="1:29" ht="69">
      <c r="A15" s="440" t="s">
        <v>2551</v>
      </c>
      <c r="B15" s="629" t="s">
        <v>2679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2552</v>
      </c>
      <c r="Q15" s="1813" t="str">
        <f t="shared" si="6"/>
        <v>办公集聚程度</v>
      </c>
      <c r="R15" s="774" t="s">
        <v>17</v>
      </c>
      <c r="S15" s="775">
        <f t="shared" si="0"/>
        <v>100</v>
      </c>
      <c r="T15" s="774" t="s">
        <v>17</v>
      </c>
      <c r="U15" s="775">
        <f t="shared" si="1"/>
        <v>100</v>
      </c>
      <c r="V15" s="774" t="s">
        <v>17</v>
      </c>
      <c r="W15" s="775">
        <f t="shared" si="2"/>
        <v>100</v>
      </c>
      <c r="X15" s="1816"/>
      <c r="Y15" s="3192" t="s">
        <v>2552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75">
        <v>1</v>
      </c>
    </row>
    <row r="17" spans="1:29" ht="82.8">
      <c r="A17" s="428"/>
      <c r="B17" s="631" t="s">
        <v>2091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00"/>
      <c r="Q18" s="1813"/>
      <c r="R18" s="774"/>
      <c r="S18" s="775"/>
      <c r="T18" s="774"/>
      <c r="U18" s="775"/>
      <c r="V18" s="774"/>
      <c r="W18" s="775"/>
      <c r="X18" s="1816"/>
      <c r="Y18" s="3193"/>
      <c r="Z18" s="1817"/>
      <c r="AA18" s="1814">
        <v>1</v>
      </c>
      <c r="AB18" s="1814">
        <v>1</v>
      </c>
      <c r="AC18" s="2675">
        <v>1</v>
      </c>
    </row>
    <row r="19" spans="1:29" ht="41.4">
      <c r="A19" s="428"/>
      <c r="B19" s="631" t="s">
        <v>2680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00"/>
      <c r="Q20" s="1813"/>
      <c r="R20" s="774"/>
      <c r="S20" s="775"/>
      <c r="T20" s="774"/>
      <c r="U20" s="775"/>
      <c r="V20" s="774"/>
      <c r="W20" s="775"/>
      <c r="X20" s="1816"/>
      <c r="Y20" s="3193"/>
      <c r="Z20" s="1817"/>
      <c r="AA20" s="1814">
        <v>1</v>
      </c>
      <c r="AB20" s="1814">
        <v>1</v>
      </c>
      <c r="AC20" s="2675">
        <v>1</v>
      </c>
    </row>
    <row r="21" spans="1:29" ht="27.6">
      <c r="A21" s="428"/>
      <c r="B21" s="633" t="s">
        <v>2681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00"/>
      <c r="Q22" s="1813"/>
      <c r="R22" s="774"/>
      <c r="S22" s="775"/>
      <c r="T22" s="774"/>
      <c r="U22" s="775"/>
      <c r="V22" s="774"/>
      <c r="W22" s="775"/>
      <c r="X22" s="1816"/>
      <c r="Y22" s="3193"/>
      <c r="Z22" s="1817"/>
      <c r="AA22" s="1814">
        <v>1</v>
      </c>
      <c r="AB22" s="1814">
        <v>1</v>
      </c>
      <c r="AC22" s="2675">
        <v>1</v>
      </c>
    </row>
    <row r="23" spans="1:29" ht="55.2">
      <c r="A23" s="428"/>
      <c r="B23" s="631" t="s">
        <v>2682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00"/>
      <c r="Q24" s="1813"/>
      <c r="R24" s="774"/>
      <c r="S24" s="775"/>
      <c r="T24" s="774"/>
      <c r="U24" s="775"/>
      <c r="V24" s="774"/>
      <c r="W24" s="775"/>
      <c r="X24" s="1816"/>
      <c r="Y24" s="3193"/>
      <c r="Z24" s="1817"/>
      <c r="AA24" s="1814">
        <v>1</v>
      </c>
      <c r="AB24" s="1814">
        <v>1</v>
      </c>
      <c r="AC24" s="2675">
        <v>1</v>
      </c>
    </row>
    <row r="25" spans="1:29" ht="28.8">
      <c r="A25" s="404"/>
      <c r="B25" s="631" t="s">
        <v>2683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75">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75">
        <f t="shared" si="5"/>
        <v>1</v>
      </c>
    </row>
    <row r="28" spans="1:29" s="117" customFormat="1" ht="15">
      <c r="A28" s="431"/>
      <c r="B28" s="631" t="s">
        <v>2684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75">
        <f t="shared" si="5"/>
        <v>1</v>
      </c>
    </row>
    <row r="33" spans="1:29" ht="15">
      <c r="A33" s="440" t="s">
        <v>2555</v>
      </c>
      <c r="B33" s="71" t="s">
        <v>2685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94" t="s">
        <v>2557</v>
      </c>
      <c r="Q33" s="1813" t="str">
        <f t="shared" si="11"/>
        <v>建筑类型</v>
      </c>
      <c r="R33" s="774" t="s">
        <v>17</v>
      </c>
      <c r="S33" s="775">
        <f t="shared" si="12"/>
        <v>100</v>
      </c>
      <c r="T33" s="774" t="s">
        <v>17</v>
      </c>
      <c r="U33" s="775">
        <f t="shared" si="13"/>
        <v>100</v>
      </c>
      <c r="V33" s="774" t="s">
        <v>17</v>
      </c>
      <c r="W33" s="775">
        <f t="shared" si="14"/>
        <v>100</v>
      </c>
      <c r="X33" s="1816"/>
      <c r="Y33" s="3197" t="s">
        <v>2557</v>
      </c>
      <c r="Z33" s="1817" t="str">
        <f t="shared" si="15"/>
        <v>建筑类型</v>
      </c>
      <c r="AA33" s="1814">
        <f t="shared" si="3"/>
        <v>1</v>
      </c>
      <c r="AB33" s="1814">
        <f t="shared" si="4"/>
        <v>1</v>
      </c>
      <c r="AC33" s="2675">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75"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75">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75">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75"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2">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2557</v>
      </c>
      <c r="Q39" s="1813" t="str">
        <f t="shared" si="11"/>
        <v>物业管理</v>
      </c>
      <c r="R39" s="774" t="s">
        <v>17</v>
      </c>
      <c r="S39" s="775">
        <f t="shared" si="12"/>
        <v>100</v>
      </c>
      <c r="T39" s="774" t="s">
        <v>17</v>
      </c>
      <c r="U39" s="775">
        <f t="shared" si="13"/>
        <v>100</v>
      </c>
      <c r="V39" s="774" t="s">
        <v>17</v>
      </c>
      <c r="W39" s="775">
        <f t="shared" si="14"/>
        <v>100</v>
      </c>
      <c r="X39" s="1816"/>
      <c r="Y39" s="3197" t="s">
        <v>2557</v>
      </c>
      <c r="Z39" s="1817" t="str">
        <f t="shared" si="15"/>
        <v>物业管理</v>
      </c>
      <c r="AA39" s="1814">
        <f t="shared" si="3"/>
        <v>1</v>
      </c>
      <c r="AB39" s="1814">
        <f t="shared" si="4"/>
        <v>1</v>
      </c>
      <c r="AC39" s="2675">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75">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75">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75">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75">
        <f t="shared" si="5"/>
        <v>1</v>
      </c>
    </row>
    <row r="44" spans="1:29" ht="28.8">
      <c r="A44" s="472"/>
      <c r="B44" s="422" t="s">
        <v>2568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75">
        <f t="shared" si="5"/>
        <v>1</v>
      </c>
    </row>
    <row r="48" spans="1:29" ht="14.4">
      <c r="A48" s="479" t="s">
        <v>2569</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 thickBot="1">
      <c r="A50" s="492" t="s">
        <v>2662</v>
      </c>
      <c r="B50" s="493"/>
      <c r="C50" s="1420" t="e">
        <f>R50</f>
        <v>#DIV/0!</v>
      </c>
      <c r="D50" s="1420"/>
      <c r="E50" s="1420"/>
      <c r="F50" s="1420"/>
      <c r="G50" s="1420"/>
      <c r="H50" s="1420"/>
      <c r="I50" s="1420"/>
      <c r="J50" s="494"/>
      <c r="K50" s="785"/>
      <c r="L50" s="1146"/>
      <c r="M50" s="1134"/>
      <c r="N50" s="1134"/>
      <c r="O50" s="1134"/>
      <c r="P50" s="3263" t="str">
        <f>A50</f>
        <v>估价对象XX用房的比较价值（楼面单价，元/平方米）</v>
      </c>
      <c r="Q50" s="3264"/>
      <c r="R50" s="3265" t="e">
        <f>IF(F1="售价",ROUND(AVERAGE(R49:V49),0),ROUND(AVERAGE(R49:V49),1))</f>
        <v>#DIV/0!</v>
      </c>
      <c r="S50" s="3265"/>
      <c r="T50" s="3265"/>
      <c r="U50" s="3265"/>
      <c r="V50" s="3265"/>
      <c r="W50" s="326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2.2" thickBot="1">
      <c r="A58" s="763" t="s">
        <v>2666</v>
      </c>
      <c r="B58" s="759"/>
      <c r="C58" s="764"/>
      <c r="D58" s="764"/>
      <c r="E58" s="764"/>
      <c r="F58" s="765"/>
      <c r="G58" s="765"/>
      <c r="H58" s="764"/>
      <c r="I58" s="764"/>
      <c r="J58" s="764"/>
      <c r="K58" s="766"/>
      <c r="L58" s="1164"/>
      <c r="M58" s="1162"/>
      <c r="N58" s="1162"/>
      <c r="O58" s="1162"/>
      <c r="P58" s="2682"/>
      <c r="Q58" s="504"/>
    </row>
    <row r="59" spans="1:29" s="508" customFormat="1" ht="14.4">
      <c r="A59" s="505" t="s">
        <v>2540</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c r="A60" s="509"/>
      <c r="B60" s="510"/>
      <c r="C60" s="1576">
        <v>100</v>
      </c>
      <c r="D60" s="512"/>
      <c r="E60" s="512"/>
      <c r="F60" s="512"/>
      <c r="G60" s="512"/>
      <c r="H60" s="512"/>
      <c r="I60" s="512"/>
      <c r="J60" s="512"/>
      <c r="K60" s="512"/>
      <c r="L60" s="512"/>
      <c r="M60" s="513"/>
      <c r="N60" s="512"/>
      <c r="O60" s="513"/>
      <c r="P60" s="2683"/>
    </row>
    <row r="61" spans="1:29" s="117" customFormat="1" ht="15" thickBot="1">
      <c r="A61" s="515" t="s">
        <v>2577</v>
      </c>
      <c r="B61" s="516"/>
      <c r="C61" s="517"/>
      <c r="D61" s="518"/>
      <c r="E61" s="518"/>
      <c r="F61" s="518"/>
      <c r="G61" s="518"/>
      <c r="H61" s="518"/>
      <c r="I61" s="518"/>
      <c r="J61" s="518"/>
      <c r="K61" s="518"/>
      <c r="L61" s="518"/>
      <c r="M61" s="519"/>
      <c r="N61" s="518"/>
      <c r="O61" s="519"/>
      <c r="P61" s="2683"/>
      <c r="Q61" s="504"/>
    </row>
    <row r="62" spans="1:29" s="117" customFormat="1" ht="14.4">
      <c r="A62" s="521" t="s">
        <v>2542</v>
      </c>
      <c r="B62" s="510"/>
      <c r="C62" s="522" t="s">
        <v>2644</v>
      </c>
      <c r="D62" s="523"/>
      <c r="E62" s="523"/>
      <c r="F62" s="523"/>
      <c r="G62" s="523"/>
      <c r="H62" s="523"/>
      <c r="I62" s="523"/>
      <c r="J62" s="523"/>
      <c r="K62" s="523"/>
      <c r="L62" s="524"/>
      <c r="M62" s="525"/>
      <c r="N62" s="1154"/>
      <c r="O62" s="1154"/>
      <c r="P62" s="2684"/>
      <c r="Q62" s="504"/>
    </row>
    <row r="63" spans="1:29" s="117" customFormat="1" ht="14.4" thickBot="1">
      <c r="A63" s="521"/>
      <c r="B63" s="510"/>
      <c r="C63" s="511">
        <v>100</v>
      </c>
      <c r="D63" s="512"/>
      <c r="E63" s="512"/>
      <c r="F63" s="512"/>
      <c r="G63" s="512"/>
      <c r="H63" s="512"/>
      <c r="I63" s="512"/>
      <c r="J63" s="512"/>
      <c r="K63" s="512"/>
      <c r="L63" s="512"/>
      <c r="M63" s="514"/>
      <c r="N63" s="1154"/>
      <c r="O63" s="1154"/>
      <c r="P63" s="2683"/>
      <c r="Q63" s="504"/>
    </row>
    <row r="64" spans="1:29" ht="14.4">
      <c r="A64" s="527" t="s">
        <v>2580</v>
      </c>
      <c r="B64" s="528" t="s">
        <v>2546</v>
      </c>
      <c r="C64" s="529">
        <f>C9</f>
        <v>0</v>
      </c>
      <c r="D64" s="530"/>
      <c r="E64" s="530"/>
      <c r="F64" s="530"/>
      <c r="G64" s="530"/>
      <c r="H64" s="530"/>
      <c r="I64" s="530"/>
      <c r="J64" s="530"/>
      <c r="K64" s="531"/>
      <c r="L64" s="532"/>
      <c r="M64" s="533"/>
      <c r="N64" s="1155"/>
      <c r="O64" s="1155"/>
      <c r="P64" s="2685"/>
      <c r="Q64" s="504"/>
    </row>
    <row r="65" spans="1:17" ht="14.4" thickBot="1">
      <c r="A65" s="534"/>
      <c r="B65" s="535"/>
      <c r="C65" s="536">
        <v>100</v>
      </c>
      <c r="D65" s="536"/>
      <c r="E65" s="536"/>
      <c r="F65" s="536"/>
      <c r="G65" s="536"/>
      <c r="H65" s="536"/>
      <c r="I65" s="536"/>
      <c r="J65" s="536"/>
      <c r="K65" s="536"/>
      <c r="L65" s="536"/>
      <c r="M65" s="537"/>
      <c r="N65" s="1156"/>
      <c r="O65" s="1156"/>
      <c r="P65" s="2685"/>
      <c r="Q65" s="504"/>
    </row>
    <row r="66" spans="1:17" ht="29.4"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c r="A69" s="534"/>
      <c r="B69" s="548"/>
      <c r="C69" s="549"/>
      <c r="D69" s="549"/>
      <c r="E69" s="549"/>
      <c r="F69" s="549"/>
      <c r="G69" s="549"/>
      <c r="H69" s="549"/>
      <c r="I69" s="549"/>
      <c r="J69" s="549"/>
      <c r="K69" s="550"/>
      <c r="L69" s="551"/>
      <c r="M69" s="552"/>
      <c r="N69" s="1155"/>
      <c r="O69" s="1155"/>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4.4" thickTop="1">
      <c r="A71" s="553"/>
      <c r="B71" s="538">
        <f>B12</f>
        <v>111</v>
      </c>
      <c r="C71" s="554"/>
      <c r="D71" s="554"/>
      <c r="E71" s="554"/>
      <c r="F71" s="554"/>
      <c r="G71" s="554"/>
      <c r="H71" s="555"/>
      <c r="I71" s="555"/>
      <c r="J71" s="555"/>
      <c r="K71" s="555"/>
      <c r="L71" s="556"/>
      <c r="M71" s="557"/>
      <c r="N71" s="1157"/>
      <c r="O71" s="1157"/>
      <c r="P71" s="2686"/>
      <c r="Q71" s="559"/>
    </row>
    <row r="72" spans="1:17" s="471" customFormat="1" ht="14.4" thickBot="1">
      <c r="A72" s="553"/>
      <c r="B72" s="543"/>
      <c r="C72" s="560"/>
      <c r="D72" s="536"/>
      <c r="E72" s="536"/>
      <c r="F72" s="536"/>
      <c r="G72" s="536"/>
      <c r="H72" s="536"/>
      <c r="I72" s="536"/>
      <c r="J72" s="536"/>
      <c r="K72" s="536"/>
      <c r="L72" s="536"/>
      <c r="M72" s="537"/>
      <c r="N72" s="1156"/>
      <c r="O72" s="1156"/>
      <c r="P72" s="2686"/>
      <c r="Q72" s="559"/>
    </row>
    <row r="73" spans="1:17" s="471" customFormat="1" ht="14.4" thickTop="1">
      <c r="A73" s="553"/>
      <c r="B73" s="538">
        <f>B13</f>
        <v>111</v>
      </c>
      <c r="C73" s="554"/>
      <c r="D73" s="554"/>
      <c r="E73" s="554"/>
      <c r="F73" s="554"/>
      <c r="G73" s="554"/>
      <c r="H73" s="555"/>
      <c r="I73" s="555"/>
      <c r="J73" s="555"/>
      <c r="K73" s="555"/>
      <c r="L73" s="556"/>
      <c r="M73" s="557"/>
      <c r="N73" s="1157"/>
      <c r="O73" s="1157"/>
      <c r="P73" s="2687"/>
      <c r="Q73" s="561"/>
    </row>
    <row r="74" spans="1:17" s="471" customFormat="1" ht="14.4" thickBot="1">
      <c r="A74" s="553"/>
      <c r="B74" s="543"/>
      <c r="C74" s="560"/>
      <c r="D74" s="560"/>
      <c r="E74" s="560"/>
      <c r="F74" s="560"/>
      <c r="G74" s="560"/>
      <c r="H74" s="562"/>
      <c r="I74" s="562"/>
      <c r="J74" s="562"/>
      <c r="K74" s="562"/>
      <c r="L74" s="562"/>
      <c r="M74" s="563"/>
      <c r="N74" s="1157"/>
      <c r="O74" s="1157"/>
      <c r="P74" s="2686"/>
      <c r="Q74" s="559"/>
    </row>
    <row r="75" spans="1:17" s="471" customFormat="1" ht="14.4" thickTop="1">
      <c r="A75" s="553"/>
      <c r="B75" s="546">
        <f>B14</f>
        <v>111</v>
      </c>
      <c r="C75" s="523"/>
      <c r="D75" s="523"/>
      <c r="E75" s="523"/>
      <c r="F75" s="523"/>
      <c r="G75" s="523"/>
      <c r="H75" s="564"/>
      <c r="I75" s="564"/>
      <c r="J75" s="564"/>
      <c r="K75" s="564"/>
      <c r="L75" s="565"/>
      <c r="M75" s="566"/>
      <c r="N75" s="1157"/>
      <c r="O75" s="1157"/>
      <c r="P75" s="2688"/>
      <c r="Q75" s="559"/>
    </row>
    <row r="76" spans="1:17" s="471" customFormat="1" ht="14.4" thickBot="1">
      <c r="A76" s="568"/>
      <c r="B76" s="569"/>
      <c r="C76" s="570"/>
      <c r="D76" s="570"/>
      <c r="E76" s="570"/>
      <c r="F76" s="570"/>
      <c r="G76" s="570"/>
      <c r="H76" s="571"/>
      <c r="I76" s="571"/>
      <c r="J76" s="571"/>
      <c r="K76" s="571"/>
      <c r="L76" s="571"/>
      <c r="M76" s="572"/>
      <c r="N76" s="1157"/>
      <c r="O76" s="1157"/>
      <c r="P76" s="2686"/>
      <c r="Q76" s="559"/>
    </row>
    <row r="77" spans="1:17" ht="14.4">
      <c r="A77" s="527" t="s">
        <v>2551</v>
      </c>
      <c r="B77" s="528" t="s">
        <v>2689</v>
      </c>
      <c r="C77" s="573" t="s">
        <v>2589</v>
      </c>
      <c r="D77" s="573" t="s">
        <v>2590</v>
      </c>
      <c r="E77" s="573" t="s">
        <v>2591</v>
      </c>
      <c r="F77" s="573" t="s">
        <v>2592</v>
      </c>
      <c r="G77" s="573" t="s">
        <v>2593</v>
      </c>
      <c r="H77" s="529"/>
      <c r="I77" s="529"/>
      <c r="J77" s="529"/>
      <c r="K77" s="574"/>
      <c r="L77" s="575"/>
      <c r="M77" s="576"/>
      <c r="N77" s="1155"/>
      <c r="O77" s="1155"/>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 thickTop="1">
      <c r="A79" s="534"/>
      <c r="B79" s="538" t="s">
        <v>2594</v>
      </c>
      <c r="C79" s="578" t="s">
        <v>2589</v>
      </c>
      <c r="D79" s="578" t="s">
        <v>2590</v>
      </c>
      <c r="E79" s="578" t="s">
        <v>2591</v>
      </c>
      <c r="F79" s="578" t="s">
        <v>2592</v>
      </c>
      <c r="G79" s="578" t="s">
        <v>2593</v>
      </c>
      <c r="H79" s="539"/>
      <c r="I79" s="539"/>
      <c r="J79" s="539"/>
      <c r="K79" s="540"/>
      <c r="L79" s="541"/>
      <c r="M79" s="542"/>
      <c r="N79" s="1155"/>
      <c r="O79" s="1155"/>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 thickTop="1">
      <c r="A81" s="534"/>
      <c r="B81" s="538" t="s">
        <v>2595</v>
      </c>
      <c r="C81" s="578" t="s">
        <v>2589</v>
      </c>
      <c r="D81" s="578" t="s">
        <v>2590</v>
      </c>
      <c r="E81" s="578" t="s">
        <v>2591</v>
      </c>
      <c r="F81" s="578" t="s">
        <v>2592</v>
      </c>
      <c r="G81" s="578" t="s">
        <v>2593</v>
      </c>
      <c r="H81" s="539"/>
      <c r="I81" s="539"/>
      <c r="J81" s="539"/>
      <c r="K81" s="540"/>
      <c r="L81" s="541"/>
      <c r="M81" s="542"/>
      <c r="N81" s="1155"/>
      <c r="O81" s="1155"/>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 thickTop="1">
      <c r="A83" s="534"/>
      <c r="B83" s="546" t="s">
        <v>2681</v>
      </c>
      <c r="C83" s="660" t="s">
        <v>2667</v>
      </c>
      <c r="D83" s="660" t="s">
        <v>2668</v>
      </c>
      <c r="E83" s="660" t="s">
        <v>2669</v>
      </c>
      <c r="F83" s="660" t="s">
        <v>2670</v>
      </c>
      <c r="G83" s="660" t="s">
        <v>2671</v>
      </c>
      <c r="H83" s="539"/>
      <c r="I83" s="539"/>
      <c r="J83" s="539"/>
      <c r="K83" s="539"/>
      <c r="L83" s="539"/>
      <c r="M83" s="1385"/>
      <c r="N83" s="1156"/>
      <c r="O83" s="1156"/>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 thickTop="1">
      <c r="A85" s="534"/>
      <c r="B85" s="538" t="s">
        <v>2690</v>
      </c>
      <c r="C85" s="578" t="s">
        <v>2589</v>
      </c>
      <c r="D85" s="578" t="s">
        <v>2590</v>
      </c>
      <c r="E85" s="578" t="s">
        <v>2591</v>
      </c>
      <c r="F85" s="578" t="s">
        <v>2592</v>
      </c>
      <c r="G85" s="578" t="s">
        <v>2593</v>
      </c>
      <c r="H85" s="539"/>
      <c r="I85" s="539"/>
      <c r="J85" s="539"/>
      <c r="K85" s="540"/>
      <c r="L85" s="541"/>
      <c r="M85" s="542"/>
      <c r="N85" s="1155"/>
      <c r="O85" s="1155"/>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9.4" thickTop="1">
      <c r="A87" s="579"/>
      <c r="B87" s="538" t="s">
        <v>2691</v>
      </c>
      <c r="C87" s="554"/>
      <c r="D87" s="554"/>
      <c r="E87" s="554"/>
      <c r="F87" s="554"/>
      <c r="G87" s="554"/>
      <c r="H87" s="554"/>
      <c r="I87" s="554"/>
      <c r="J87" s="554"/>
      <c r="K87" s="554"/>
      <c r="L87" s="580"/>
      <c r="M87" s="581"/>
      <c r="N87" s="1154"/>
      <c r="O87" s="1154"/>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4.4"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4.4" thickTop="1">
      <c r="A93" s="534"/>
      <c r="B93" s="538">
        <f>B29</f>
        <v>111</v>
      </c>
      <c r="C93" s="554"/>
      <c r="D93" s="554"/>
      <c r="E93" s="554"/>
      <c r="F93" s="554"/>
      <c r="G93" s="554"/>
      <c r="H93" s="554"/>
      <c r="I93" s="554"/>
      <c r="J93" s="554"/>
      <c r="K93" s="554"/>
      <c r="L93" s="580"/>
      <c r="M93" s="581"/>
      <c r="N93" s="1155"/>
      <c r="O93" s="1155"/>
      <c r="P93" s="2685"/>
      <c r="Q93" s="504"/>
    </row>
    <row r="94" spans="1:17" ht="14.4" thickBot="1">
      <c r="A94" s="534"/>
      <c r="B94" s="543"/>
      <c r="C94" s="560"/>
      <c r="D94" s="536"/>
      <c r="E94" s="536"/>
      <c r="F94" s="536"/>
      <c r="G94" s="536"/>
      <c r="H94" s="536"/>
      <c r="I94" s="536"/>
      <c r="J94" s="536"/>
      <c r="K94" s="536"/>
      <c r="L94" s="536"/>
      <c r="M94" s="537"/>
      <c r="N94" s="1156"/>
      <c r="O94" s="1156"/>
      <c r="P94" s="2685"/>
      <c r="Q94" s="504"/>
    </row>
    <row r="95" spans="1:17" ht="14.4" thickTop="1">
      <c r="A95" s="534"/>
      <c r="B95" s="538">
        <f>B30</f>
        <v>111</v>
      </c>
      <c r="C95" s="554"/>
      <c r="D95" s="554"/>
      <c r="E95" s="554"/>
      <c r="F95" s="554"/>
      <c r="G95" s="583"/>
      <c r="H95" s="583"/>
      <c r="I95" s="583"/>
      <c r="J95" s="583"/>
      <c r="K95" s="584"/>
      <c r="L95" s="585"/>
      <c r="M95" s="586"/>
      <c r="N95" s="1155"/>
      <c r="O95" s="1155"/>
      <c r="P95" s="2685"/>
      <c r="Q95" s="504"/>
    </row>
    <row r="96" spans="1:17" ht="14.4" thickBot="1">
      <c r="A96" s="534"/>
      <c r="B96" s="543"/>
      <c r="C96" s="560"/>
      <c r="D96" s="560"/>
      <c r="E96" s="560"/>
      <c r="F96" s="560"/>
      <c r="G96" s="536"/>
      <c r="H96" s="536"/>
      <c r="I96" s="536"/>
      <c r="J96" s="536"/>
      <c r="K96" s="536"/>
      <c r="L96" s="536"/>
      <c r="M96" s="537"/>
      <c r="N96" s="1156"/>
      <c r="O96" s="1156"/>
      <c r="P96" s="2685"/>
      <c r="Q96" s="504"/>
    </row>
    <row r="97" spans="1:17" ht="14.4" thickTop="1">
      <c r="A97" s="534"/>
      <c r="B97" s="538">
        <f>B31</f>
        <v>111</v>
      </c>
      <c r="C97" s="554"/>
      <c r="D97" s="554"/>
      <c r="E97" s="554"/>
      <c r="F97" s="554"/>
      <c r="G97" s="583"/>
      <c r="H97" s="583"/>
      <c r="I97" s="583"/>
      <c r="J97" s="583"/>
      <c r="K97" s="584"/>
      <c r="L97" s="585"/>
      <c r="M97" s="586"/>
      <c r="N97" s="1155"/>
      <c r="O97" s="1155"/>
      <c r="P97" s="2685"/>
      <c r="Q97" s="504"/>
    </row>
    <row r="98" spans="1:17" ht="14.4" thickBot="1">
      <c r="A98" s="534"/>
      <c r="B98" s="543"/>
      <c r="C98" s="560"/>
      <c r="D98" s="536"/>
      <c r="E98" s="536"/>
      <c r="F98" s="536"/>
      <c r="G98" s="536"/>
      <c r="H98" s="536"/>
      <c r="I98" s="536"/>
      <c r="J98" s="536"/>
      <c r="K98" s="536"/>
      <c r="L98" s="536"/>
      <c r="M98" s="537"/>
      <c r="N98" s="1156"/>
      <c r="O98" s="1156"/>
      <c r="P98" s="2685"/>
      <c r="Q98" s="504"/>
    </row>
    <row r="99" spans="1:17" ht="14.4" thickTop="1">
      <c r="A99" s="534"/>
      <c r="B99" s="546">
        <f>B32</f>
        <v>111</v>
      </c>
      <c r="C99" s="523"/>
      <c r="D99" s="523"/>
      <c r="E99" s="523"/>
      <c r="F99" s="523"/>
      <c r="G99" s="587"/>
      <c r="H99" s="587"/>
      <c r="I99" s="587"/>
      <c r="J99" s="587"/>
      <c r="K99" s="588"/>
      <c r="L99" s="589"/>
      <c r="M99" s="590"/>
      <c r="N99" s="1155"/>
      <c r="O99" s="1155"/>
      <c r="P99" s="2685"/>
      <c r="Q99" s="504"/>
    </row>
    <row r="100" spans="1:17" ht="14.4" thickBot="1">
      <c r="A100" s="2637"/>
      <c r="B100" s="569"/>
      <c r="C100" s="570"/>
      <c r="D100" s="570"/>
      <c r="E100" s="570"/>
      <c r="F100" s="570"/>
      <c r="G100" s="591"/>
      <c r="H100" s="591"/>
      <c r="I100" s="591"/>
      <c r="J100" s="591"/>
      <c r="K100" s="591"/>
      <c r="L100" s="591"/>
      <c r="M100" s="592"/>
      <c r="N100" s="1156"/>
      <c r="O100" s="1156"/>
      <c r="P100" s="2685"/>
      <c r="Q100" s="504"/>
    </row>
    <row r="101" spans="1:17" ht="14.4">
      <c r="A101" s="527" t="s">
        <v>2555</v>
      </c>
      <c r="B101" s="528" t="s">
        <v>2604</v>
      </c>
      <c r="C101" s="530"/>
      <c r="D101" s="530"/>
      <c r="E101" s="530"/>
      <c r="F101" s="530"/>
      <c r="G101" s="530"/>
      <c r="H101" s="530"/>
      <c r="I101" s="530"/>
      <c r="J101" s="530"/>
      <c r="K101" s="531"/>
      <c r="L101" s="532"/>
      <c r="M101" s="533"/>
      <c r="N101" s="1155"/>
      <c r="O101" s="1155"/>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2606</v>
      </c>
      <c r="C106" s="554"/>
      <c r="D106" s="554"/>
      <c r="E106" s="583"/>
      <c r="F106" s="583"/>
      <c r="G106" s="583"/>
      <c r="H106" s="583"/>
      <c r="I106" s="583"/>
      <c r="J106" s="583"/>
      <c r="K106" s="584"/>
      <c r="L106" s="585"/>
      <c r="M106" s="586"/>
      <c r="N106" s="1155"/>
      <c r="O106" s="1155"/>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2608</v>
      </c>
      <c r="C108" s="554"/>
      <c r="D108" s="554"/>
      <c r="E108" s="554"/>
      <c r="F108" s="583"/>
      <c r="G108" s="583"/>
      <c r="H108" s="583"/>
      <c r="I108" s="583"/>
      <c r="J108" s="583"/>
      <c r="K108" s="584"/>
      <c r="L108" s="585"/>
      <c r="M108" s="586"/>
      <c r="N108" s="1155"/>
      <c r="O108" s="1155"/>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2609</v>
      </c>
      <c r="C115" s="554"/>
      <c r="D115" s="554"/>
      <c r="E115" s="583"/>
      <c r="F115" s="583"/>
      <c r="G115" s="583"/>
      <c r="H115" s="583"/>
      <c r="I115" s="583"/>
      <c r="J115" s="583"/>
      <c r="K115" s="584"/>
      <c r="L115" s="585"/>
      <c r="M115" s="586"/>
      <c r="N115" s="1155"/>
      <c r="O115" s="1155"/>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2610</v>
      </c>
      <c r="C117" s="554"/>
      <c r="D117" s="554"/>
      <c r="E117" s="554"/>
      <c r="F117" s="554"/>
      <c r="G117" s="554"/>
      <c r="H117" s="583"/>
      <c r="I117" s="583"/>
      <c r="J117" s="583"/>
      <c r="K117" s="584"/>
      <c r="L117" s="585"/>
      <c r="M117" s="586"/>
      <c r="N117" s="1155"/>
      <c r="O117" s="1155"/>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2693</v>
      </c>
      <c r="C119" s="583"/>
      <c r="D119" s="583"/>
      <c r="E119" s="583"/>
      <c r="F119" s="583"/>
      <c r="G119" s="583"/>
      <c r="H119" s="583"/>
      <c r="I119" s="583"/>
      <c r="J119" s="583"/>
      <c r="K119" s="583"/>
      <c r="L119" s="2690"/>
      <c r="M119" s="2691"/>
      <c r="N119" s="1156"/>
      <c r="O119" s="1156"/>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6"/>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2612</v>
      </c>
      <c r="C123" s="554"/>
      <c r="D123" s="554"/>
      <c r="E123" s="554"/>
      <c r="F123" s="583"/>
      <c r="G123" s="583"/>
      <c r="H123" s="583"/>
      <c r="I123" s="583"/>
      <c r="J123" s="583"/>
      <c r="K123" s="584"/>
      <c r="L123" s="585"/>
      <c r="M123" s="586"/>
      <c r="N123" s="1155"/>
      <c r="O123" s="1155"/>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29.4"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6"/>
      <c r="Q128" s="559"/>
    </row>
    <row r="129" spans="1:17" ht="14.4" thickTop="1">
      <c r="A129" s="599"/>
      <c r="B129" s="538">
        <f>B46</f>
        <v>111</v>
      </c>
      <c r="C129" s="554"/>
      <c r="D129" s="554"/>
      <c r="E129" s="554"/>
      <c r="F129" s="554"/>
      <c r="G129" s="583"/>
      <c r="H129" s="583"/>
      <c r="I129" s="583"/>
      <c r="J129" s="583"/>
      <c r="K129" s="584"/>
      <c r="L129" s="585"/>
      <c r="M129" s="586"/>
      <c r="N129" s="1155"/>
      <c r="O129" s="1155"/>
      <c r="P129" s="2685"/>
      <c r="Q129" s="504"/>
    </row>
    <row r="130" spans="1:17" ht="14.4" thickBot="1">
      <c r="A130" s="534"/>
      <c r="B130" s="543"/>
      <c r="C130" s="560"/>
      <c r="D130" s="560"/>
      <c r="E130" s="560"/>
      <c r="F130" s="560"/>
      <c r="G130" s="536"/>
      <c r="H130" s="536"/>
      <c r="I130" s="536"/>
      <c r="J130" s="536"/>
      <c r="K130" s="536"/>
      <c r="L130" s="536"/>
      <c r="M130" s="537"/>
      <c r="N130" s="1156"/>
      <c r="O130" s="1156"/>
      <c r="P130" s="2685"/>
      <c r="Q130" s="504"/>
    </row>
    <row r="131" spans="1:17" ht="14.4" thickTop="1">
      <c r="A131" s="599"/>
      <c r="B131" s="546">
        <f>B47</f>
        <v>111</v>
      </c>
      <c r="C131" s="523"/>
      <c r="D131" s="523"/>
      <c r="E131" s="523"/>
      <c r="F131" s="523"/>
      <c r="G131" s="587"/>
      <c r="H131" s="587"/>
      <c r="I131" s="587"/>
      <c r="J131" s="587"/>
      <c r="K131" s="523"/>
      <c r="L131" s="524"/>
      <c r="M131" s="590"/>
      <c r="N131" s="1155"/>
      <c r="O131" s="1155"/>
      <c r="P131" s="2685"/>
      <c r="Q131" s="504"/>
    </row>
    <row r="132" spans="1:17" ht="14.4"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83" t="s">
        <v>1146</v>
      </c>
      <c r="C1" s="3283"/>
      <c r="D1" s="3283"/>
      <c r="E1" s="3283"/>
      <c r="F1" s="3283"/>
      <c r="G1" s="3282" t="s">
        <v>1147</v>
      </c>
      <c r="H1" s="3282"/>
      <c r="I1" s="3282"/>
      <c r="J1" s="3282"/>
      <c r="K1" s="3282"/>
      <c r="L1" s="3282"/>
      <c r="N1" s="3282" t="s">
        <v>1148</v>
      </c>
      <c r="O1" s="3282"/>
      <c r="P1" s="3282"/>
      <c r="Q1" s="3282"/>
      <c r="R1" s="1449"/>
      <c r="S1" s="3282" t="s">
        <v>1149</v>
      </c>
      <c r="T1" s="3282"/>
      <c r="U1" s="3282"/>
      <c r="V1" s="3282"/>
      <c r="X1" s="3281" t="s">
        <v>1150</v>
      </c>
      <c r="Y1" s="3282"/>
      <c r="Z1" s="3282"/>
      <c r="AA1" s="3282"/>
      <c r="AB1" s="3282"/>
      <c r="AD1" s="3281" t="s">
        <v>1151</v>
      </c>
      <c r="AE1" s="3282"/>
      <c r="AF1" s="3282"/>
      <c r="AG1" s="3282"/>
      <c r="AH1" s="3282"/>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4">
      <c r="A3" s="2936" t="s">
        <v>3029</v>
      </c>
      <c r="B3" s="2928"/>
      <c r="C3" s="2928"/>
      <c r="D3" s="2929"/>
      <c r="E3" s="2929"/>
      <c r="F3" s="2928"/>
      <c r="G3" s="2930"/>
      <c r="H3" s="2931"/>
      <c r="I3" s="2932">
        <f>ROUND(AVERAGE($I4:$I25),2)</f>
        <v>2.09</v>
      </c>
      <c r="J3" s="2932">
        <f>ROUND(AVERAGE($J4:$J25),2)</f>
        <v>1.46</v>
      </c>
      <c r="K3" s="2932">
        <f>ROUND(AVERAGE($K4:$K25),2)</f>
        <v>2.29</v>
      </c>
      <c r="L3" s="2932">
        <f>ROUND(AVERAGE($L4:$L25),2)</f>
        <v>1.36</v>
      </c>
      <c r="N3" s="2930"/>
      <c r="O3" s="2933"/>
      <c r="P3" s="2933"/>
      <c r="Q3" s="2933"/>
      <c r="R3" s="2933"/>
      <c r="S3" s="2930"/>
      <c r="T3" s="2933"/>
      <c r="U3" s="2933"/>
      <c r="V3" s="2933"/>
      <c r="W3" s="2925"/>
      <c r="X3" s="2934">
        <f>ROUND(SUMPRODUCT(PRODUCT(1+N3:N$24)),4)</f>
        <v>1.4956</v>
      </c>
      <c r="Y3" s="2934">
        <f>ROUND(SUMPRODUCT(PRODUCT(1+O3:O$24)),4)</f>
        <v>1.3237000000000001</v>
      </c>
      <c r="Z3" s="2934">
        <f t="shared" ref="Z3:Z22" si="0">Y3</f>
        <v>1.3237000000000001</v>
      </c>
      <c r="AA3" s="2934">
        <f>ROUND(SUMPRODUCT(PRODUCT(1+P3:P$24)),4)</f>
        <v>1.554</v>
      </c>
      <c r="AB3" s="2934">
        <f>ROUND(SUMPRODUCT(PRODUCT(1+Q3:Q$24)),4)</f>
        <v>1.3087</v>
      </c>
      <c r="AD3" s="2935">
        <f>ROUND(AVERAGE(I3:I$25)/100,4)</f>
        <v>2.0899999999999998E-2</v>
      </c>
      <c r="AE3" s="2935">
        <f>ROUND(AVERAGE(J3:J$25)/100,4)</f>
        <v>1.46E-2</v>
      </c>
      <c r="AF3" s="2935">
        <f t="shared" ref="AF3:AF23" si="1">AE3</f>
        <v>1.46E-2</v>
      </c>
      <c r="AG3" s="2935">
        <f>ROUND(AVERAGE(K3:K$25)/100,4)</f>
        <v>2.29E-2</v>
      </c>
      <c r="AH3" s="2935">
        <f>ROUND(AVERAGE(L3:L$25)/100,4)</f>
        <v>1.3599999999999999E-2</v>
      </c>
    </row>
    <row r="4" spans="1:34" s="1456" customFormat="1" ht="14.4">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0">
        <v>2019</v>
      </c>
      <c r="H5" s="1733">
        <v>1</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6" t="s">
        <v>3030</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79">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8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27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27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1159</v>
      </c>
      <c r="B26" s="1472">
        <v>299</v>
      </c>
      <c r="C26" s="1472">
        <v>252</v>
      </c>
      <c r="D26" s="1472">
        <f t="shared" si="74"/>
        <v>252</v>
      </c>
      <c r="E26" s="1472">
        <v>409</v>
      </c>
      <c r="F26" s="1473">
        <v>227</v>
      </c>
      <c r="G26" s="328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1163</v>
      </c>
      <c r="B30" s="1514">
        <v>278</v>
      </c>
      <c r="C30" s="1514">
        <v>234</v>
      </c>
      <c r="D30" s="1514">
        <f t="shared" si="74"/>
        <v>234</v>
      </c>
      <c r="E30" s="1514">
        <v>379</v>
      </c>
      <c r="F30" s="1515">
        <v>220</v>
      </c>
      <c r="G30" s="327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1166</v>
      </c>
      <c r="B33" s="1480">
        <f>B32/(1+N32)</f>
        <v>275.19025476197027</v>
      </c>
      <c r="C33" s="1516">
        <v>232</v>
      </c>
      <c r="D33" s="1516">
        <f t="shared" si="74"/>
        <v>232</v>
      </c>
      <c r="E33" s="1480">
        <f t="shared" si="85"/>
        <v>375.65990977608692</v>
      </c>
      <c r="F33" s="1480">
        <f t="shared" si="85"/>
        <v>214.12518283971252</v>
      </c>
      <c r="G33" s="328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1167</v>
      </c>
      <c r="B34" s="1472">
        <v>275</v>
      </c>
      <c r="C34" s="1472">
        <v>232</v>
      </c>
      <c r="D34" s="1472">
        <f t="shared" si="74"/>
        <v>232</v>
      </c>
      <c r="E34" s="1472">
        <v>376</v>
      </c>
      <c r="F34" s="1473">
        <v>213</v>
      </c>
      <c r="G34" s="327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1171</v>
      </c>
      <c r="B38" s="1472">
        <v>269</v>
      </c>
      <c r="C38" s="1472">
        <v>221</v>
      </c>
      <c r="D38" s="1472">
        <f t="shared" si="74"/>
        <v>221</v>
      </c>
      <c r="E38" s="1472">
        <v>373</v>
      </c>
      <c r="F38" s="1473">
        <v>196</v>
      </c>
      <c r="G38" s="327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1175</v>
      </c>
      <c r="B42" s="1472">
        <v>220</v>
      </c>
      <c r="C42" s="1472">
        <v>187</v>
      </c>
      <c r="D42" s="1472">
        <f t="shared" si="74"/>
        <v>187</v>
      </c>
      <c r="E42" s="1472">
        <v>301</v>
      </c>
      <c r="F42" s="1473">
        <v>168</v>
      </c>
      <c r="G42" s="327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1179</v>
      </c>
      <c r="B46" s="1514">
        <v>214</v>
      </c>
      <c r="C46" s="1514">
        <v>188</v>
      </c>
      <c r="D46" s="1514">
        <f t="shared" si="74"/>
        <v>188</v>
      </c>
      <c r="E46" s="1514">
        <v>289</v>
      </c>
      <c r="F46" s="1515">
        <v>166</v>
      </c>
      <c r="G46" s="327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1183</v>
      </c>
      <c r="B50" s="1472">
        <v>188</v>
      </c>
      <c r="C50" s="1472">
        <v>165</v>
      </c>
      <c r="D50" s="1472">
        <f t="shared" si="74"/>
        <v>165</v>
      </c>
      <c r="E50" s="1472">
        <v>254</v>
      </c>
      <c r="F50" s="1473">
        <v>148</v>
      </c>
      <c r="G50" s="327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1187</v>
      </c>
      <c r="B54" s="1493">
        <v>159</v>
      </c>
      <c r="C54" s="1493">
        <v>141</v>
      </c>
      <c r="D54" s="1493">
        <f t="shared" si="74"/>
        <v>141</v>
      </c>
      <c r="E54" s="1493">
        <v>195</v>
      </c>
      <c r="F54" s="1494">
        <v>122</v>
      </c>
      <c r="G54" s="327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1191</v>
      </c>
      <c r="B58" s="1493">
        <v>138</v>
      </c>
      <c r="C58" s="1493">
        <v>131</v>
      </c>
      <c r="D58" s="1493">
        <f t="shared" si="74"/>
        <v>131</v>
      </c>
      <c r="E58" s="1493">
        <v>155</v>
      </c>
      <c r="F58" s="1494">
        <v>114</v>
      </c>
      <c r="G58" s="327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1195</v>
      </c>
      <c r="B62" s="1514">
        <v>121</v>
      </c>
      <c r="C62" s="1514">
        <v>122</v>
      </c>
      <c r="D62" s="1514">
        <f t="shared" si="74"/>
        <v>122</v>
      </c>
      <c r="E62" s="1514">
        <v>124</v>
      </c>
      <c r="F62" s="1515">
        <v>107</v>
      </c>
      <c r="G62" s="327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1199</v>
      </c>
      <c r="B66" s="1535">
        <v>111</v>
      </c>
      <c r="C66" s="1535">
        <v>114</v>
      </c>
      <c r="D66" s="1535">
        <f t="shared" si="74"/>
        <v>114</v>
      </c>
      <c r="E66" s="1535">
        <v>108</v>
      </c>
      <c r="F66" s="1536">
        <v>104</v>
      </c>
      <c r="G66" s="327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9">
        <v>2003</v>
      </c>
      <c r="H68" s="1468">
        <v>2</v>
      </c>
      <c r="I68" s="1537"/>
      <c r="J68" s="1537"/>
      <c r="K68" s="1537"/>
      <c r="L68" s="1537"/>
      <c r="X68" s="1529"/>
      <c r="Y68" s="1529"/>
      <c r="Z68" s="1529"/>
    </row>
    <row r="69" spans="1:26" ht="13.8" thickBot="1">
      <c r="A69" s="1464" t="s">
        <v>1202</v>
      </c>
      <c r="B69" s="1539">
        <f t="shared" si="110"/>
        <v>107.25</v>
      </c>
      <c r="C69" s="1539">
        <f t="shared" si="110"/>
        <v>108.75</v>
      </c>
      <c r="D69" s="1539">
        <f t="shared" si="74"/>
        <v>108.75</v>
      </c>
      <c r="E69" s="1539">
        <f t="shared" si="111"/>
        <v>105.75</v>
      </c>
      <c r="F69" s="1539">
        <f t="shared" si="111"/>
        <v>102.5</v>
      </c>
      <c r="G69" s="3280">
        <v>2003</v>
      </c>
      <c r="H69" s="1540">
        <v>1</v>
      </c>
      <c r="I69" s="1537"/>
      <c r="J69" s="1537"/>
      <c r="K69" s="1537"/>
      <c r="L69" s="1537"/>
      <c r="S69" s="1475"/>
      <c r="T69" s="1476"/>
      <c r="U69" s="1476"/>
      <c r="X69" s="1529"/>
      <c r="Y69" s="1529"/>
      <c r="Z69" s="1529"/>
    </row>
    <row r="70" spans="1:26" ht="13.8" thickBot="1">
      <c r="A70" s="1464" t="s">
        <v>1203</v>
      </c>
      <c r="B70" s="1541">
        <v>106</v>
      </c>
      <c r="C70" s="1541">
        <v>107</v>
      </c>
      <c r="D70" s="1541">
        <f t="shared" si="74"/>
        <v>107</v>
      </c>
      <c r="E70" s="1541">
        <v>105</v>
      </c>
      <c r="F70" s="1542">
        <v>102</v>
      </c>
      <c r="G70" s="327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9">
        <v>2002</v>
      </c>
      <c r="H72" s="1468">
        <v>2</v>
      </c>
      <c r="I72" s="1537"/>
      <c r="J72" s="1537"/>
      <c r="K72" s="1537"/>
      <c r="L72" s="1537"/>
      <c r="X72" s="1529"/>
      <c r="Y72" s="1529"/>
      <c r="Z72" s="1529"/>
    </row>
    <row r="73" spans="1:26" s="1501" customFormat="1" ht="13.8" thickBot="1">
      <c r="A73" s="1497" t="s">
        <v>1206</v>
      </c>
      <c r="B73" s="1543">
        <f t="shared" si="112"/>
        <v>103</v>
      </c>
      <c r="C73" s="1543">
        <f t="shared" si="112"/>
        <v>104</v>
      </c>
      <c r="D73" s="1543">
        <f t="shared" si="74"/>
        <v>104</v>
      </c>
      <c r="E73" s="1543">
        <f t="shared" si="113"/>
        <v>103.5</v>
      </c>
      <c r="F73" s="1543">
        <f t="shared" si="113"/>
        <v>100.5</v>
      </c>
      <c r="G73" s="3280">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8"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0" t="s">
        <v>2997</v>
      </c>
      <c r="D1" s="3291"/>
      <c r="E1" s="3291"/>
      <c r="F1" s="3291"/>
      <c r="G1" s="3291"/>
      <c r="H1" s="3291"/>
      <c r="I1" s="3291"/>
      <c r="J1" s="3291"/>
      <c r="K1" s="3291"/>
      <c r="L1" s="3291"/>
      <c r="M1" s="3291"/>
      <c r="N1" s="3291"/>
      <c r="O1" s="3291"/>
      <c r="P1" s="3291"/>
      <c r="Q1" s="3291"/>
      <c r="R1" s="3291"/>
      <c r="S1" s="3292"/>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3006</v>
      </c>
      <c r="B17" s="2918"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3008</v>
      </c>
      <c r="E19" s="1795"/>
      <c r="F19" s="1795"/>
      <c r="G19" s="1795"/>
      <c r="H19" s="1283"/>
      <c r="I19" s="168"/>
      <c r="J19" s="168"/>
      <c r="K19" s="168"/>
      <c r="L19" s="168"/>
      <c r="M19" s="168"/>
      <c r="N19" s="168"/>
      <c r="O19" s="168"/>
      <c r="P19" s="168"/>
      <c r="Q19" s="168"/>
      <c r="R19" s="788"/>
      <c r="S19" s="138"/>
    </row>
    <row r="20" spans="1:45" ht="16.2" thickBot="1">
      <c r="A20" s="715" t="s">
        <v>3009</v>
      </c>
      <c r="B20" s="338" t="e">
        <f ca="1">IF(D20="——",S22,S22-F20)</f>
        <v>#REF!</v>
      </c>
      <c r="C20" s="168"/>
      <c r="D20" s="2920" t="s">
        <v>3010</v>
      </c>
      <c r="E20" s="1796"/>
      <c r="F20" s="1207" t="e">
        <f ca="1">SUMIF(INDIRECT("'"&amp;H20&amp;"'"&amp;"!A:A"),"承租人权益价值",INDIRECT("'"&amp;H20&amp;"'"&amp;"!c:c"))</f>
        <v>#REF!</v>
      </c>
      <c r="G20" s="1207" t="s">
        <v>3011</v>
      </c>
      <c r="H20" s="2921"/>
      <c r="I20" s="168"/>
      <c r="J20" s="168"/>
      <c r="K20" s="168"/>
      <c r="L20" s="168"/>
      <c r="M20" s="168"/>
      <c r="N20" s="168"/>
      <c r="O20" s="168"/>
      <c r="P20" s="168"/>
      <c r="Q20" s="168"/>
      <c r="R20" s="788"/>
      <c r="S20" s="138"/>
    </row>
    <row r="21" spans="1:45" ht="15.6">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52" t="s">
        <v>33</v>
      </c>
      <c r="D22" s="3153"/>
      <c r="E22" s="3153"/>
      <c r="F22" s="3153"/>
      <c r="G22" s="3153"/>
      <c r="H22" s="3153"/>
      <c r="I22" s="3153"/>
      <c r="J22" s="3153"/>
      <c r="K22" s="3153"/>
      <c r="L22" s="3153"/>
      <c r="M22" s="3153"/>
      <c r="N22" s="3153"/>
      <c r="O22" s="3153"/>
      <c r="P22" s="3153"/>
      <c r="Q22" s="328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1615</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7.399999999999999">
      <c r="A3" s="2977" t="str">
        <f>IF(项目基本情况!B9="房地产市场价值","估价结果一览表（市场价值不需“结果表-1”）","估价结果一览表")</f>
        <v>估价结果一览表</v>
      </c>
      <c r="B3" s="2977"/>
      <c r="C3" s="2977"/>
      <c r="D3" s="2977"/>
      <c r="E3" s="2977"/>
    </row>
    <row r="4" spans="1:5" ht="18" thickBot="1">
      <c r="A4" s="1964"/>
      <c r="B4" s="2975" t="s">
        <v>1624</v>
      </c>
      <c r="C4" s="2975"/>
      <c r="D4" s="2975"/>
      <c r="E4" s="1964"/>
    </row>
    <row r="5" spans="1:5" ht="16.2" thickTop="1">
      <c r="A5" s="1962"/>
      <c r="B5" s="2973" t="s">
        <v>1616</v>
      </c>
      <c r="C5" s="1965" t="s">
        <v>1617</v>
      </c>
      <c r="D5" s="1043">
        <f ca="1">结果表!H101</f>
        <v>51832</v>
      </c>
      <c r="E5" s="1962"/>
    </row>
    <row r="6" spans="1:5" ht="15.6">
      <c r="A6" s="1962"/>
      <c r="B6" s="2973"/>
      <c r="C6" s="1965" t="s">
        <v>1618</v>
      </c>
      <c r="D6" s="1043" t="str">
        <f ca="1">NUMBERSTRING(INT(D5*10000),2)&amp;"元整"</f>
        <v>伍亿壹仟捌佰叁拾贰万元整</v>
      </c>
      <c r="E6" s="1962"/>
    </row>
    <row r="7" spans="1:5" ht="15.6">
      <c r="A7" s="1962"/>
      <c r="B7" s="2978"/>
      <c r="C7" s="1966" t="s">
        <v>1619</v>
      </c>
      <c r="D7" s="1044">
        <f ca="1">结果表!H102</f>
        <v>9750</v>
      </c>
      <c r="E7" s="1962"/>
    </row>
    <row r="8" spans="1:5" ht="15.6">
      <c r="A8" s="1962"/>
      <c r="B8" s="2979" t="str">
        <f>结果表!E103</f>
        <v>2.估价师知悉的法定优先受偿款</v>
      </c>
      <c r="C8" s="1967" t="s">
        <v>1620</v>
      </c>
      <c r="D8" s="1044">
        <f>结果表!H103</f>
        <v>0</v>
      </c>
      <c r="E8" s="1962"/>
    </row>
    <row r="9" spans="1:5" ht="15.6">
      <c r="A9" s="1962"/>
      <c r="B9" s="2981"/>
      <c r="C9" s="1965" t="s">
        <v>1618</v>
      </c>
      <c r="D9" s="1043" t="str">
        <f>NUMBERSTRING(INT(D8*10000),2)&amp;"元整"</f>
        <v>零元整</v>
      </c>
      <c r="E9" s="1962"/>
    </row>
    <row r="10" spans="1:5" ht="15.6">
      <c r="A10" s="1962"/>
      <c r="B10" s="1968" t="s">
        <v>1623</v>
      </c>
      <c r="C10" s="1969" t="s">
        <v>1621</v>
      </c>
      <c r="D10" s="1045">
        <f>结果表!H104</f>
        <v>0</v>
      </c>
      <c r="E10" s="1962"/>
    </row>
    <row r="11" spans="1:5" ht="15.6">
      <c r="A11" s="1962"/>
      <c r="B11" s="1968" t="s">
        <v>1625</v>
      </c>
      <c r="C11" s="1969" t="s">
        <v>1626</v>
      </c>
      <c r="D11" s="1045">
        <f>结果表!H105</f>
        <v>0</v>
      </c>
      <c r="E11" s="1962"/>
    </row>
    <row r="12" spans="1:5" ht="15.6">
      <c r="A12" s="1962"/>
      <c r="B12" s="1968" t="s">
        <v>1627</v>
      </c>
      <c r="C12" s="1969" t="s">
        <v>1626</v>
      </c>
      <c r="D12" s="1045">
        <f>结果表!H106</f>
        <v>0</v>
      </c>
      <c r="E12" s="1962"/>
    </row>
    <row r="13" spans="1:5" ht="15.6">
      <c r="A13" s="1962"/>
      <c r="B13" s="2972" t="str">
        <f>结果表!E107</f>
        <v>3.房地产抵押价值</v>
      </c>
      <c r="C13" s="1970" t="s">
        <v>1617</v>
      </c>
      <c r="D13" s="1046">
        <f ca="1">结果表!H107</f>
        <v>51832</v>
      </c>
      <c r="E13" s="1962"/>
    </row>
    <row r="14" spans="1:5" ht="15.6">
      <c r="A14" s="1962"/>
      <c r="B14" s="2973"/>
      <c r="C14" s="1965" t="s">
        <v>1618</v>
      </c>
      <c r="D14" s="1043" t="str">
        <f ca="1">NUMBERSTRING(INT(D13*10000),2)&amp;"元整"</f>
        <v>伍亿壹仟捌佰叁拾贰万元整</v>
      </c>
      <c r="E14" s="1962"/>
    </row>
    <row r="15" spans="1:5" ht="15.6">
      <c r="A15" s="1962"/>
      <c r="B15" s="2978"/>
      <c r="C15" s="1966" t="s">
        <v>1628</v>
      </c>
      <c r="D15" s="1055">
        <f ca="1">结果表!H108</f>
        <v>9750</v>
      </c>
      <c r="E15" s="1962"/>
    </row>
    <row r="16" spans="1:5" ht="15.6">
      <c r="A16" s="1962"/>
      <c r="B16" s="2979" t="str">
        <f>结果表!E109</f>
        <v>——</v>
      </c>
      <c r="C16" s="1970" t="s">
        <v>1629</v>
      </c>
      <c r="D16" s="1971" t="str">
        <f>结果表!H109</f>
        <v>——</v>
      </c>
      <c r="E16" s="1962"/>
    </row>
    <row r="17" spans="1:5" ht="15.6">
      <c r="A17" s="1962"/>
      <c r="B17" s="2980"/>
      <c r="C17" s="1965" t="s">
        <v>1630</v>
      </c>
      <c r="D17" s="1043" t="e">
        <f>NUMBERSTRING(INT(D16*10000),2)&amp;"元整"</f>
        <v>#VALUE!</v>
      </c>
      <c r="E17" s="1962"/>
    </row>
    <row r="18" spans="1:5" ht="15.6">
      <c r="A18" s="1962"/>
      <c r="B18" s="2981"/>
      <c r="C18" s="1966" t="s">
        <v>1619</v>
      </c>
      <c r="D18" s="1055" t="str">
        <f>结果表!H110</f>
        <v>——</v>
      </c>
      <c r="E18" s="1962"/>
    </row>
    <row r="19" spans="1:5" ht="15.6">
      <c r="A19" s="1962"/>
      <c r="B19" s="2972" t="str">
        <f>结果表!E111</f>
        <v>——</v>
      </c>
      <c r="C19" s="1970" t="s">
        <v>1617</v>
      </c>
      <c r="D19" s="1044" t="str">
        <f>结果表!H111</f>
        <v>——</v>
      </c>
      <c r="E19" s="1962"/>
    </row>
    <row r="20" spans="1:5" ht="15.6">
      <c r="A20" s="1962"/>
      <c r="B20" s="2973"/>
      <c r="C20" s="1965" t="s">
        <v>1630</v>
      </c>
      <c r="D20" s="1043" t="e">
        <f>NUMBERSTRING(INT(D19*10000),2)&amp;"元整"</f>
        <v>#VALUE!</v>
      </c>
      <c r="E20" s="1962"/>
    </row>
    <row r="21" spans="1:5" ht="16.2" thickBot="1">
      <c r="A21" s="1962"/>
      <c r="B21" s="2974"/>
      <c r="C21" s="1972" t="s">
        <v>1628</v>
      </c>
      <c r="D21" s="1056" t="str">
        <f>结果表!H112</f>
        <v>——</v>
      </c>
      <c r="E21" s="1962"/>
    </row>
    <row r="22" spans="1:5" ht="14.4" thickTop="1">
      <c r="A22" s="1962"/>
      <c r="B22" s="1973" t="s">
        <v>1631</v>
      </c>
      <c r="C22" s="1962"/>
      <c r="D22" s="1962"/>
      <c r="E22" s="1962"/>
    </row>
    <row r="23" spans="1:5">
      <c r="A23" s="1962"/>
      <c r="B23" s="1962"/>
      <c r="C23" s="1962"/>
      <c r="D23" s="1962"/>
      <c r="E23" s="1962"/>
    </row>
    <row r="24" spans="1:5" ht="17.399999999999999">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51700</v>
      </c>
      <c r="C2" s="2" t="s">
        <v>133</v>
      </c>
      <c r="D2" s="243"/>
      <c r="E2" s="243"/>
      <c r="F2" s="243"/>
      <c r="G2" s="243"/>
    </row>
    <row r="3" spans="1:7" s="244" customFormat="1" ht="18" customHeight="1" thickBot="1">
      <c r="A3" s="247" t="s">
        <v>85</v>
      </c>
      <c r="B3" s="248">
        <f ca="1">ROUND(B2*10000/'数据-汇总表'!E3,0)</f>
        <v>9725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1063</v>
      </c>
      <c r="D10" s="1035">
        <f>'数据-汇总表'!E6</f>
        <v>53162.09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1063</v>
      </c>
      <c r="D19" s="1039">
        <f>'数据-汇总表'!E3</f>
        <v>53162.09</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77</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6.4">
      <c r="A27" s="951" t="s">
        <v>787</v>
      </c>
      <c r="B27" s="288" t="s">
        <v>112</v>
      </c>
      <c r="C27" s="289">
        <f>C28</f>
        <v>3316</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3316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29223</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20693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18607</v>
      </c>
      <c r="D34" s="261"/>
      <c r="E34" s="264"/>
      <c r="F34" s="301">
        <f>IF('数据-取费表'!B24=0,1,'数据-取费表'!N16)</f>
        <v>1</v>
      </c>
      <c r="G34" s="263" t="s">
        <v>116</v>
      </c>
    </row>
    <row r="35" spans="1:7" ht="13.5" customHeight="1">
      <c r="A35" s="954" t="s">
        <v>796</v>
      </c>
      <c r="B35" s="259" t="s">
        <v>60</v>
      </c>
      <c r="C35" s="264">
        <f>ROUND(C34*F35,0)</f>
        <v>744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1063</v>
      </c>
      <c r="D37" s="261">
        <f>'数据-汇总表'!E3</f>
        <v>53162.09</v>
      </c>
      <c r="E37" s="293">
        <f>'数据-取费表'!B35</f>
        <v>200</v>
      </c>
      <c r="F37" s="303"/>
      <c r="G37" s="305" t="s">
        <v>119</v>
      </c>
    </row>
    <row r="38" spans="1:7" ht="13.5" customHeight="1">
      <c r="A38" s="954" t="s">
        <v>799</v>
      </c>
      <c r="B38" s="259" t="s">
        <v>63</v>
      </c>
      <c r="C38" s="264">
        <f>ROUND(C34*F38,0)</f>
        <v>279</v>
      </c>
      <c r="D38" s="264"/>
      <c r="E38" s="264"/>
      <c r="F38" s="303">
        <f>'数据-取费表'!B36</f>
        <v>1.4999999999999999E-2</v>
      </c>
      <c r="G38" s="263" t="s">
        <v>117</v>
      </c>
    </row>
    <row r="39" spans="1:7" s="258" customFormat="1" ht="13.5" customHeight="1">
      <c r="A39" s="951" t="s">
        <v>783</v>
      </c>
      <c r="B39" s="254" t="s">
        <v>104</v>
      </c>
      <c r="C39" s="276">
        <f>ROUND(C33*F20,0)</f>
        <v>414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748</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733</v>
      </c>
      <c r="D42" s="282"/>
      <c r="E42" s="282"/>
      <c r="F42" s="283"/>
      <c r="G42" s="3157" t="s">
        <v>121</v>
      </c>
    </row>
    <row r="43" spans="1:7" ht="13.5" customHeight="1">
      <c r="A43" s="954" t="s">
        <v>792</v>
      </c>
      <c r="B43" s="259" t="s">
        <v>1061</v>
      </c>
      <c r="C43" s="282">
        <f ca="1">ROUND(IF('数据-取费表'!B22&lt;=1,C39*F22*'数据-取费表'!B21/2,C39*(POWER((1+F22),'数据-取费表'!B21/2)-1)),0)</f>
        <v>15</v>
      </c>
      <c r="D43" s="282"/>
      <c r="E43" s="282"/>
      <c r="F43" s="283"/>
      <c r="G43" s="3158"/>
    </row>
    <row r="44" spans="1:7" ht="13.5" customHeight="1">
      <c r="A44" s="954"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51" t="s">
        <v>786</v>
      </c>
      <c r="B45" s="288" t="s">
        <v>112</v>
      </c>
      <c r="C45" s="289">
        <f>C46</f>
        <v>3166</v>
      </c>
      <c r="D45" s="279">
        <f>C47</f>
        <v>3.0000000000000001E-3</v>
      </c>
      <c r="E45" s="280" t="s">
        <v>129</v>
      </c>
      <c r="F45" s="290"/>
      <c r="G45" s="291" t="s">
        <v>1069</v>
      </c>
    </row>
    <row r="46" spans="1:7" s="258" customFormat="1" ht="13.5" customHeight="1">
      <c r="A46" s="954" t="s">
        <v>794</v>
      </c>
      <c r="B46" s="292" t="s">
        <v>1062</v>
      </c>
      <c r="C46" s="293">
        <f>ROUND((C33+C39)*F27,0)</f>
        <v>3166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27081</v>
      </c>
      <c r="D49" s="276"/>
      <c r="E49" s="276"/>
      <c r="F49" s="308"/>
      <c r="G49" s="278" t="s">
        <v>1070</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22477</v>
      </c>
      <c r="D51" s="276"/>
      <c r="E51" s="276"/>
      <c r="F51" s="308"/>
      <c r="G51" s="278" t="s">
        <v>64</v>
      </c>
    </row>
    <row r="52" spans="1:7" s="252" customFormat="1" ht="16.8" thickBot="1">
      <c r="A52" s="309" t="s">
        <v>65</v>
      </c>
      <c r="B52" s="310"/>
      <c r="C52" s="311">
        <f ca="1">C31+C51</f>
        <v>51700</v>
      </c>
      <c r="D52" s="310"/>
      <c r="E52" s="310"/>
      <c r="F52" s="310"/>
      <c r="G52" s="312"/>
    </row>
    <row r="55" spans="1:7" ht="15">
      <c r="B55" s="314" t="s">
        <v>66</v>
      </c>
      <c r="C55" s="315"/>
    </row>
    <row r="56" spans="1:7">
      <c r="B56" s="317" t="s">
        <v>67</v>
      </c>
      <c r="C56" s="318">
        <f ca="1">ROUND(C51/C52,3)</f>
        <v>0.435</v>
      </c>
    </row>
    <row r="57" spans="1:7">
      <c r="B57" s="317" t="s">
        <v>68</v>
      </c>
      <c r="C57" s="319">
        <f ca="1">1-C56</f>
        <v>0.56499999999999995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3" t="s">
        <v>868</v>
      </c>
      <c r="B1" s="3293"/>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43544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view="pageBreakPreview" zoomScale="80" zoomScaleNormal="80" zoomScaleSheetLayoutView="80" workbookViewId="0">
      <selection activeCell="H15" sqref="H15"/>
    </sheetView>
  </sheetViews>
  <sheetFormatPr defaultRowHeight="14.4"/>
  <cols>
    <col min="1" max="1" width="10.6640625" customWidth="1"/>
    <col min="2" max="2" width="15" customWidth="1"/>
    <col min="3" max="3" width="9.44140625" bestFit="1" customWidth="1"/>
    <col min="4" max="4" width="18.77734375" customWidth="1"/>
    <col min="5" max="5" width="12.77734375" customWidth="1"/>
    <col min="6" max="6" width="12.77734375" style="2965" customWidth="1"/>
    <col min="7" max="7" width="12.77734375" customWidth="1"/>
    <col min="8" max="8" width="12.77734375" style="2965" customWidth="1"/>
    <col min="9" max="16" width="12.77734375" customWidth="1"/>
    <col min="17" max="17" width="17.33203125" customWidth="1"/>
    <col min="18" max="18" width="18.109375" customWidth="1"/>
    <col min="19" max="19" width="8.109375" customWidth="1"/>
    <col min="20" max="20" width="17.33203125" customWidth="1"/>
  </cols>
  <sheetData>
    <row r="1" spans="1:20" ht="15" thickBot="1"/>
    <row r="2" spans="1:20" ht="46.8">
      <c r="A2" s="2945" t="s">
        <v>3135</v>
      </c>
      <c r="B2" s="2945" t="s">
        <v>3096</v>
      </c>
      <c r="C2" s="2945" t="s">
        <v>3097</v>
      </c>
      <c r="D2" s="2945" t="s">
        <v>3098</v>
      </c>
      <c r="E2" s="2946" t="s">
        <v>3123</v>
      </c>
      <c r="F2" s="2966"/>
      <c r="G2" s="2946" t="s">
        <v>3124</v>
      </c>
      <c r="H2" s="2966"/>
      <c r="I2" s="2946" t="s">
        <v>3127</v>
      </c>
      <c r="J2" s="2946"/>
      <c r="K2" s="2946" t="s">
        <v>3129</v>
      </c>
      <c r="L2" s="2946"/>
      <c r="M2" s="2946" t="s">
        <v>3125</v>
      </c>
      <c r="N2" s="2946"/>
      <c r="O2" s="2946" t="s">
        <v>3126</v>
      </c>
      <c r="P2" s="2946" t="s">
        <v>3134</v>
      </c>
      <c r="Q2" s="2947" t="s">
        <v>3133</v>
      </c>
      <c r="R2" s="2946" t="s">
        <v>3099</v>
      </c>
      <c r="S2" s="2946" t="s">
        <v>3100</v>
      </c>
      <c r="T2" s="2948" t="s">
        <v>3101</v>
      </c>
    </row>
    <row r="3" spans="1:20" ht="28.8">
      <c r="A3" s="3297">
        <v>4</v>
      </c>
      <c r="B3" s="3297" t="s">
        <v>3102</v>
      </c>
      <c r="C3" s="3297">
        <v>16946.169999999998</v>
      </c>
      <c r="D3" s="2952">
        <v>10047</v>
      </c>
      <c r="E3" s="2952">
        <v>1.1000000000000001</v>
      </c>
      <c r="F3" s="2967">
        <f>D3*E3*365/10000</f>
        <v>403.38705000000004</v>
      </c>
      <c r="G3" s="2952">
        <v>1.3</v>
      </c>
      <c r="H3" s="2967">
        <f>G3*D3*365/10000</f>
        <v>476.73014999999998</v>
      </c>
      <c r="I3" s="2952">
        <v>1.5</v>
      </c>
      <c r="J3" s="2967">
        <f>I3*D3*365/10000</f>
        <v>550.07325000000003</v>
      </c>
      <c r="K3" s="2952">
        <v>1.7</v>
      </c>
      <c r="L3" s="2967">
        <f>K3*D3*365/10000</f>
        <v>623.41634999999985</v>
      </c>
      <c r="M3" s="2952" t="s">
        <v>3128</v>
      </c>
      <c r="N3" s="2967"/>
      <c r="O3" s="2952" t="s">
        <v>3128</v>
      </c>
      <c r="P3" s="2967"/>
      <c r="Q3" s="2953">
        <f>(D3*E3*365*5+D3*G3*365*5)/10/10000</f>
        <v>440.05860000000001</v>
      </c>
      <c r="R3" s="2952" t="s">
        <v>3103</v>
      </c>
      <c r="S3" s="2952" t="s">
        <v>3104</v>
      </c>
      <c r="T3" s="2954" t="s">
        <v>3105</v>
      </c>
    </row>
    <row r="4" spans="1:20" ht="57.6">
      <c r="A4" s="3298"/>
      <c r="B4" s="3298"/>
      <c r="C4" s="3298"/>
      <c r="D4" s="2949">
        <f>C3-D3</f>
        <v>6899.1699999999983</v>
      </c>
      <c r="E4" s="2949">
        <v>1.2</v>
      </c>
      <c r="F4" s="2967">
        <f t="shared" ref="F4:F11" si="0">D4*E4*365/10000</f>
        <v>302.1836459999999</v>
      </c>
      <c r="G4" s="2949">
        <v>1.4</v>
      </c>
      <c r="H4" s="2967">
        <f t="shared" ref="H4:H11" si="1">G4*D4*365/10000</f>
        <v>352.54758699999985</v>
      </c>
      <c r="I4" s="2949">
        <v>1.6</v>
      </c>
      <c r="J4" s="2967">
        <f>I4*D4*365/10000</f>
        <v>402.91152799999992</v>
      </c>
      <c r="K4" s="2949">
        <v>1.8</v>
      </c>
      <c r="L4" s="2967">
        <f>K4*D4*365/10000</f>
        <v>453.27546899999993</v>
      </c>
      <c r="M4" s="2952" t="s">
        <v>3128</v>
      </c>
      <c r="N4" s="2967"/>
      <c r="O4" s="2952" t="s">
        <v>3128</v>
      </c>
      <c r="P4" s="2967"/>
      <c r="Q4" s="2953">
        <f>(D4*E4*365*5+D4*G4*365*5+D4*I4*365*5+D4*K4*365*5)/20/10000</f>
        <v>377.72955749999994</v>
      </c>
      <c r="R4" s="2949" t="s">
        <v>3106</v>
      </c>
      <c r="S4" s="2949" t="s">
        <v>3107</v>
      </c>
      <c r="T4" s="2951" t="s">
        <v>3108</v>
      </c>
    </row>
    <row r="5" spans="1:20" ht="46.8">
      <c r="A5" s="2949">
        <v>6</v>
      </c>
      <c r="B5" s="2949" t="s">
        <v>3109</v>
      </c>
      <c r="C5" s="2949">
        <v>10046.07</v>
      </c>
      <c r="D5" s="2949">
        <v>10046</v>
      </c>
      <c r="E5" s="2949">
        <v>1</v>
      </c>
      <c r="F5" s="2967">
        <f t="shared" si="0"/>
        <v>366.67899999999997</v>
      </c>
      <c r="G5" s="2949">
        <v>1.2</v>
      </c>
      <c r="H5" s="2967">
        <f>D5*G5*365/10000</f>
        <v>440.01479999999998</v>
      </c>
      <c r="I5" s="2949">
        <v>1.3</v>
      </c>
      <c r="J5" s="2967">
        <f>I5*D5*365/10000</f>
        <v>476.68270000000001</v>
      </c>
      <c r="K5" s="2952">
        <v>1.4</v>
      </c>
      <c r="L5" s="2967">
        <f t="shared" ref="L5:L9" si="2">K5*D5*365/10000</f>
        <v>513.35059999999999</v>
      </c>
      <c r="M5" s="2963" t="s">
        <v>3128</v>
      </c>
      <c r="N5" s="2967"/>
      <c r="O5" s="2963" t="s">
        <v>3128</v>
      </c>
      <c r="P5" s="2967"/>
      <c r="Q5" s="2950">
        <f>(D5*E5*365*5+D5*G5*365*2+D5*I5*365*2)/10/10000</f>
        <v>366.67899999999997</v>
      </c>
      <c r="R5" s="2949" t="s">
        <v>3110</v>
      </c>
      <c r="S5" s="2949" t="s">
        <v>3104</v>
      </c>
      <c r="T5" s="2951" t="s">
        <v>3111</v>
      </c>
    </row>
    <row r="6" spans="1:20" ht="46.8">
      <c r="A6" s="2949">
        <v>8</v>
      </c>
      <c r="B6" s="2949" t="s">
        <v>3114</v>
      </c>
      <c r="C6" s="2949">
        <v>8267.08</v>
      </c>
      <c r="D6" s="2949">
        <v>8267.08</v>
      </c>
      <c r="E6" s="2949">
        <v>1</v>
      </c>
      <c r="F6" s="2967">
        <f t="shared" si="0"/>
        <v>301.74842000000001</v>
      </c>
      <c r="G6" s="2949">
        <v>1.2</v>
      </c>
      <c r="H6" s="2967">
        <f>D6*G6*365/10000</f>
        <v>362.09810399999998</v>
      </c>
      <c r="I6" s="2949">
        <v>1.3</v>
      </c>
      <c r="J6" s="2967">
        <f>I6*D6*365/10000</f>
        <v>392.27294599999999</v>
      </c>
      <c r="K6" s="2952">
        <v>1.4</v>
      </c>
      <c r="L6" s="2967">
        <f t="shared" si="2"/>
        <v>422.447788</v>
      </c>
      <c r="M6" s="2963" t="s">
        <v>3128</v>
      </c>
      <c r="N6" s="2967"/>
      <c r="O6" s="2963" t="s">
        <v>3128</v>
      </c>
      <c r="P6" s="2967"/>
      <c r="Q6" s="2950">
        <f>(D6*E6*365*5+D6*G6*365*2+D6*I6*365*2)/10/10000</f>
        <v>301.74842000000001</v>
      </c>
      <c r="R6" s="2949" t="s">
        <v>3115</v>
      </c>
      <c r="S6" s="2949" t="s">
        <v>3112</v>
      </c>
      <c r="T6" s="2951" t="s">
        <v>3113</v>
      </c>
    </row>
    <row r="7" spans="1:20" ht="28.8">
      <c r="A7" s="3297">
        <v>5</v>
      </c>
      <c r="B7" s="3297" t="s">
        <v>3116</v>
      </c>
      <c r="C7" s="3297">
        <v>8545.7199999999993</v>
      </c>
      <c r="D7" s="2952">
        <v>3607</v>
      </c>
      <c r="E7" s="2952">
        <v>1.1000000000000001</v>
      </c>
      <c r="F7" s="2967">
        <f t="shared" si="0"/>
        <v>144.82105000000001</v>
      </c>
      <c r="G7" s="2952">
        <v>1.3</v>
      </c>
      <c r="H7" s="2967">
        <f t="shared" si="1"/>
        <v>171.15215000000003</v>
      </c>
      <c r="I7" s="2952">
        <v>1.5</v>
      </c>
      <c r="J7" s="2967">
        <f t="shared" ref="J7:J9" si="3">I7*D7*365/10000</f>
        <v>197.48325</v>
      </c>
      <c r="K7" s="2952">
        <v>1.7</v>
      </c>
      <c r="L7" s="2967">
        <f t="shared" si="2"/>
        <v>223.81434999999999</v>
      </c>
      <c r="M7" s="2952" t="s">
        <v>3128</v>
      </c>
      <c r="N7" s="2967"/>
      <c r="O7" s="2952" t="s">
        <v>3128</v>
      </c>
      <c r="P7" s="2967"/>
      <c r="Q7" s="2953">
        <f>(D7*E7*365*5+D7*G7*365*5)/10/10000</f>
        <v>157.98660000000001</v>
      </c>
      <c r="R7" s="2952" t="s">
        <v>3103</v>
      </c>
      <c r="S7" s="2952" t="s">
        <v>3104</v>
      </c>
      <c r="T7" s="2954" t="s">
        <v>3105</v>
      </c>
    </row>
    <row r="8" spans="1:20" ht="28.8">
      <c r="A8" s="3299"/>
      <c r="B8" s="3299"/>
      <c r="C8" s="3299"/>
      <c r="D8" s="2949">
        <v>977</v>
      </c>
      <c r="E8" s="2949">
        <v>1.2</v>
      </c>
      <c r="F8" s="2967">
        <f t="shared" si="0"/>
        <v>42.792599999999993</v>
      </c>
      <c r="G8" s="2949">
        <v>1.4</v>
      </c>
      <c r="H8" s="2967">
        <f t="shared" si="1"/>
        <v>49.924700000000001</v>
      </c>
      <c r="I8" s="2952">
        <v>1.6</v>
      </c>
      <c r="J8" s="2967">
        <f t="shared" si="3"/>
        <v>57.056800000000003</v>
      </c>
      <c r="K8" s="2952">
        <v>1.8</v>
      </c>
      <c r="L8" s="2967">
        <f t="shared" si="2"/>
        <v>64.188900000000004</v>
      </c>
      <c r="M8" s="2952" t="s">
        <v>3128</v>
      </c>
      <c r="N8" s="2967"/>
      <c r="O8" s="2952" t="s">
        <v>3128</v>
      </c>
      <c r="P8" s="2967"/>
      <c r="Q8" s="2953">
        <f>(D8*E8*365*5+D8*G8*365*5)/10/10000</f>
        <v>46.358649999999997</v>
      </c>
      <c r="R8" s="2949" t="s">
        <v>3117</v>
      </c>
      <c r="S8" s="2949" t="s">
        <v>3104</v>
      </c>
      <c r="T8" s="2951" t="s">
        <v>3118</v>
      </c>
    </row>
    <row r="9" spans="1:20" ht="15.6">
      <c r="A9" s="3299"/>
      <c r="B9" s="3299"/>
      <c r="C9" s="3299"/>
      <c r="D9" s="2949">
        <v>2848.57</v>
      </c>
      <c r="E9" s="2949">
        <v>1.3</v>
      </c>
      <c r="F9" s="2967">
        <f t="shared" si="0"/>
        <v>135.1646465</v>
      </c>
      <c r="G9" s="2949">
        <v>1.4</v>
      </c>
      <c r="H9" s="2967">
        <f t="shared" si="1"/>
        <v>145.561927</v>
      </c>
      <c r="I9" s="2962">
        <v>1.5</v>
      </c>
      <c r="J9" s="2967">
        <f t="shared" si="3"/>
        <v>155.95920750000002</v>
      </c>
      <c r="K9" s="2962">
        <v>1.6</v>
      </c>
      <c r="L9" s="2967">
        <f t="shared" si="2"/>
        <v>166.35648800000001</v>
      </c>
      <c r="M9" s="2962"/>
      <c r="N9" s="2967"/>
      <c r="O9" s="2962"/>
      <c r="P9" s="2967"/>
      <c r="Q9" s="2953">
        <f>(D9*E9*365*3+D9*G9*365*5+112637+337912)/8/10000</f>
        <v>147.29480931250001</v>
      </c>
      <c r="R9" s="2963" t="s">
        <v>3103</v>
      </c>
      <c r="S9" s="2949"/>
      <c r="T9" s="2964" t="s">
        <v>3149</v>
      </c>
    </row>
    <row r="10" spans="1:20" ht="57.6">
      <c r="A10" s="3298"/>
      <c r="B10" s="3298"/>
      <c r="C10" s="3298"/>
      <c r="D10" s="2949">
        <v>917</v>
      </c>
      <c r="E10" s="2949">
        <v>1.2</v>
      </c>
      <c r="F10" s="2967">
        <f t="shared" si="0"/>
        <v>40.164599999999993</v>
      </c>
      <c r="G10" s="2949">
        <v>1.4</v>
      </c>
      <c r="H10" s="2967">
        <f t="shared" si="1"/>
        <v>46.858699999999999</v>
      </c>
      <c r="I10" s="2949">
        <v>1.6</v>
      </c>
      <c r="J10" s="2967">
        <f>I10*D10*365/10000</f>
        <v>53.552799999999998</v>
      </c>
      <c r="K10" s="2949">
        <v>1.8</v>
      </c>
      <c r="L10" s="2967">
        <f>K10*D10*365/10000</f>
        <v>60.246899999999997</v>
      </c>
      <c r="M10" s="2952" t="s">
        <v>3128</v>
      </c>
      <c r="N10" s="2967"/>
      <c r="O10" s="2952" t="s">
        <v>3128</v>
      </c>
      <c r="P10" s="2967"/>
      <c r="Q10" s="2953">
        <f>(D10*E10*365*5+D10*G10*365*5+D10*I10*365*5+D10*K10*365*5)/20/10000</f>
        <v>50.205750000000002</v>
      </c>
      <c r="R10" s="2949" t="s">
        <v>3106</v>
      </c>
      <c r="S10" s="2949" t="s">
        <v>3107</v>
      </c>
      <c r="T10" s="2951" t="s">
        <v>3108</v>
      </c>
    </row>
    <row r="11" spans="1:20" ht="57.6">
      <c r="A11" s="2949">
        <v>1</v>
      </c>
      <c r="B11" s="2949" t="s">
        <v>3119</v>
      </c>
      <c r="C11" s="2949">
        <v>9357.0499999999993</v>
      </c>
      <c r="D11" s="2949">
        <v>9357.0499999999993</v>
      </c>
      <c r="E11" s="2949">
        <v>1.2</v>
      </c>
      <c r="F11" s="2967">
        <f t="shared" si="0"/>
        <v>409.83879000000002</v>
      </c>
      <c r="G11" s="2949">
        <v>1.4</v>
      </c>
      <c r="H11" s="2967">
        <f t="shared" si="1"/>
        <v>478.14525499999996</v>
      </c>
      <c r="I11" s="2949">
        <v>1.6</v>
      </c>
      <c r="J11" s="2967">
        <f>I11*D11*365/10000</f>
        <v>546.45171999999991</v>
      </c>
      <c r="K11" s="2949">
        <v>1.8</v>
      </c>
      <c r="L11" s="2967">
        <f>K11*D11*365/10000</f>
        <v>614.75818499999991</v>
      </c>
      <c r="M11" s="2952" t="s">
        <v>3128</v>
      </c>
      <c r="N11" s="2967"/>
      <c r="O11" s="2952" t="s">
        <v>3128</v>
      </c>
      <c r="P11" s="2967"/>
      <c r="Q11" s="2953">
        <f>(D11*E11*365*5+D11*G11*365*5+D11*I11*365*5+D11*K11*365*5)/20/10000</f>
        <v>512.29848749999996</v>
      </c>
      <c r="R11" s="2949" t="s">
        <v>3120</v>
      </c>
      <c r="S11" s="2949" t="s">
        <v>3121</v>
      </c>
      <c r="T11" s="2951" t="s">
        <v>3122</v>
      </c>
    </row>
    <row r="12" spans="1:20" ht="16.2" thickBot="1">
      <c r="B12" s="2955" t="s">
        <v>3132</v>
      </c>
      <c r="C12" s="2949">
        <f>SUM(C3:C11)</f>
        <v>53162.09</v>
      </c>
      <c r="E12" s="2958">
        <f>AVERAGE(E3:E11)</f>
        <v>1.1444444444444444</v>
      </c>
      <c r="F12" s="2968">
        <f>SUM(F3:F11)</f>
        <v>2146.7798025000002</v>
      </c>
      <c r="G12" s="2958">
        <f>AVERAGE(G3:G11)</f>
        <v>1.3333333333333335</v>
      </c>
      <c r="H12" s="2968">
        <f>SUM(H3:H11)</f>
        <v>2523.0333729999998</v>
      </c>
      <c r="I12" s="2958">
        <f>AVERAGE(I3:I11)</f>
        <v>1.5</v>
      </c>
      <c r="J12" s="2968">
        <f>SUM(J3:J11)</f>
        <v>2832.4442015</v>
      </c>
      <c r="K12" s="2958">
        <f>AVERAGE(K3:K11)</f>
        <v>1.666666666666667</v>
      </c>
      <c r="L12" s="2968">
        <f>SUM(L3:L11)</f>
        <v>3141.8550299999997</v>
      </c>
      <c r="M12" s="2958" t="e">
        <f t="shared" ref="M12" si="4">AVERAGE(M3:M11)</f>
        <v>#DIV/0!</v>
      </c>
      <c r="N12" s="2968">
        <f>SUM(N3:N11)</f>
        <v>0</v>
      </c>
      <c r="O12" s="2958"/>
      <c r="P12" s="2968">
        <f>SUM(P3:P11)</f>
        <v>0</v>
      </c>
      <c r="Q12" s="2957">
        <f>SUM(Q3:Q11)</f>
        <v>2400.3598743124994</v>
      </c>
      <c r="R12" s="2956"/>
    </row>
    <row r="13" spans="1:20" ht="62.4">
      <c r="E13" s="2946" t="s">
        <v>3150</v>
      </c>
      <c r="F13" s="2965">
        <f>F12*10000/C12/365</f>
        <v>1.106350126565754</v>
      </c>
      <c r="G13" s="2946" t="s">
        <v>3130</v>
      </c>
      <c r="H13" s="2965">
        <f>H12*10000/C12/365</f>
        <v>1.3002536581989157</v>
      </c>
      <c r="I13" s="2970">
        <f>ROUND((F13+H13+J13+L13)/4,1)</f>
        <v>1.4</v>
      </c>
      <c r="J13" s="2965">
        <f>J12*10000/C12/365</f>
        <v>1.459709559951462</v>
      </c>
      <c r="K13" s="2946" t="s">
        <v>3131</v>
      </c>
      <c r="L13" s="2965">
        <f>L12*10000/C12/365</f>
        <v>1.6191654617040074</v>
      </c>
      <c r="M13" s="2950">
        <f>ROUND(C12*I13*365*20/10000,2)</f>
        <v>54331.66</v>
      </c>
      <c r="N13" s="2965"/>
      <c r="O13">
        <f>(E12+G12+I12+K12)/4</f>
        <v>1.4111111111111112</v>
      </c>
      <c r="P13" s="2965"/>
    </row>
  </sheetData>
  <mergeCells count="6">
    <mergeCell ref="A3:A4"/>
    <mergeCell ref="A7:A10"/>
    <mergeCell ref="B7:B10"/>
    <mergeCell ref="C7:C10"/>
    <mergeCell ref="B3:B4"/>
    <mergeCell ref="C3:C4"/>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0" sqref="A30"/>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1635</v>
      </c>
      <c r="B2" s="2992" t="s">
        <v>1636</v>
      </c>
      <c r="C2" s="2992" t="s">
        <v>1637</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6">
      <c r="A3" s="2986"/>
      <c r="B3" s="2986"/>
      <c r="C3" s="2986"/>
      <c r="D3" s="1047" t="s">
        <v>1632</v>
      </c>
      <c r="E3" s="1047" t="s">
        <v>1638</v>
      </c>
      <c r="F3" s="1047" t="s">
        <v>1632</v>
      </c>
      <c r="G3" s="1047" t="s">
        <v>1633</v>
      </c>
      <c r="H3" s="1047" t="s">
        <v>1632</v>
      </c>
      <c r="I3" s="1047" t="s">
        <v>1633</v>
      </c>
    </row>
    <row r="4" spans="1:9" ht="30">
      <c r="A4" s="1976" t="str">
        <f>项目基本情况!S2</f>
        <v>北京市顺义区京顺路99号1幢等5幢办公用房房地产</v>
      </c>
      <c r="B4" s="1047">
        <f>项目基本情况!C17</f>
        <v>53162.09</v>
      </c>
      <c r="C4" s="1047">
        <f>项目基本情况!C18</f>
        <v>63000</v>
      </c>
      <c r="D4" s="1047">
        <f ca="1">结果表!D118</f>
        <v>34779</v>
      </c>
      <c r="E4" s="1047">
        <f ca="1">结果表!E118</f>
        <v>6542</v>
      </c>
      <c r="F4" s="1047">
        <f ca="1">结果表!F118</f>
        <v>17053</v>
      </c>
      <c r="G4" s="1047">
        <f ca="1">结果表!G118</f>
        <v>3208</v>
      </c>
      <c r="H4" s="1047">
        <f ca="1">结果表!H118</f>
        <v>51832</v>
      </c>
      <c r="I4" s="1047">
        <f ca="1">结果表!I118</f>
        <v>9750</v>
      </c>
    </row>
    <row r="5" spans="1:9" ht="30" customHeight="1">
      <c r="A5" s="2986" t="s">
        <v>1634</v>
      </c>
      <c r="B5" s="2986"/>
      <c r="C5" s="2986"/>
      <c r="D5" s="2987" t="str">
        <f ca="1">结果表!D119</f>
        <v>叁亿肆仟柒佰柒拾玖万元整</v>
      </c>
      <c r="E5" s="2987"/>
      <c r="F5" s="2987" t="str">
        <f ca="1">结果表!F119</f>
        <v>壹亿柒仟零伍拾叁万元整</v>
      </c>
      <c r="G5" s="2987"/>
      <c r="H5" s="2987" t="str">
        <f ca="1">结果表!H119</f>
        <v>伍亿壹仟捌佰叁拾贰万元整</v>
      </c>
      <c r="I5" s="2987"/>
    </row>
    <row r="6" spans="1:9" ht="15.6">
      <c r="A6" s="2985" t="str">
        <f>结果表!A120</f>
        <v>估价师知悉的法定优先受偿款</v>
      </c>
      <c r="B6" s="2985"/>
      <c r="C6" s="2985"/>
      <c r="D6" s="2985">
        <f>结果表!D120</f>
        <v>0</v>
      </c>
      <c r="E6" s="2985"/>
      <c r="F6" s="2985"/>
      <c r="G6" s="2985"/>
      <c r="H6" s="2985"/>
      <c r="I6" s="2985"/>
    </row>
    <row r="7" spans="1:9" ht="15">
      <c r="A7" s="2986" t="s">
        <v>1634</v>
      </c>
      <c r="B7" s="2986"/>
      <c r="C7" s="2986"/>
      <c r="D7" s="2988" t="str">
        <f>结果表!D121</f>
        <v>零元整</v>
      </c>
      <c r="E7" s="2989"/>
      <c r="F7" s="2989"/>
      <c r="G7" s="2989"/>
      <c r="H7" s="2989"/>
      <c r="I7" s="2990"/>
    </row>
    <row r="8" spans="1:9" ht="15.6">
      <c r="A8" s="2985" t="str">
        <f>结果表!A122</f>
        <v>房地产抵押价值</v>
      </c>
      <c r="B8" s="2985"/>
      <c r="C8" s="2985"/>
      <c r="D8" s="2985">
        <f ca="1">结果表!D122</f>
        <v>51832</v>
      </c>
      <c r="E8" s="2985"/>
      <c r="F8" s="2985"/>
      <c r="G8" s="2985"/>
      <c r="H8" s="2985"/>
      <c r="I8" s="2985"/>
    </row>
    <row r="9" spans="1:9" ht="15">
      <c r="A9" s="2986" t="s">
        <v>1634</v>
      </c>
      <c r="B9" s="2986"/>
      <c r="C9" s="2986"/>
      <c r="D9" s="2987" t="str">
        <f ca="1">结果表!D123</f>
        <v>伍亿壹仟捌佰叁拾贰万元整</v>
      </c>
      <c r="E9" s="2987"/>
      <c r="F9" s="2987"/>
      <c r="G9" s="2987"/>
      <c r="H9" s="2987"/>
      <c r="I9" s="2987"/>
    </row>
    <row r="10" spans="1:9" ht="15.6">
      <c r="A10" s="2985" t="str">
        <f>结果表!A124</f>
        <v/>
      </c>
      <c r="B10" s="2985"/>
      <c r="C10" s="2985"/>
      <c r="D10" s="2985" t="str">
        <f>结果表!D124</f>
        <v>——</v>
      </c>
      <c r="E10" s="2985"/>
      <c r="F10" s="2985"/>
      <c r="G10" s="2985"/>
      <c r="H10" s="2985"/>
      <c r="I10" s="2985"/>
    </row>
    <row r="11" spans="1:9" ht="15">
      <c r="A11" s="2986" t="s">
        <v>1634</v>
      </c>
      <c r="B11" s="2986"/>
      <c r="C11" s="2986"/>
      <c r="D11" s="2987" t="e">
        <f>结果表!D125</f>
        <v>#VALUE!</v>
      </c>
      <c r="E11" s="2987"/>
      <c r="F11" s="2987"/>
      <c r="G11" s="2987"/>
      <c r="H11" s="2987"/>
      <c r="I11" s="2987"/>
    </row>
    <row r="12" spans="1:9" ht="15.6">
      <c r="A12" s="2985" t="str">
        <f>结果表!A126</f>
        <v/>
      </c>
      <c r="B12" s="2985"/>
      <c r="C12" s="2985"/>
      <c r="D12" s="2985" t="str">
        <f>结果表!D126</f>
        <v>——</v>
      </c>
      <c r="E12" s="2985"/>
      <c r="F12" s="2985"/>
      <c r="G12" s="2985"/>
      <c r="H12" s="2985"/>
      <c r="I12" s="2985"/>
    </row>
    <row r="13" spans="1:9" ht="15.6" thickBot="1">
      <c r="A13" s="2982" t="s">
        <v>1634</v>
      </c>
      <c r="B13" s="2982"/>
      <c r="C13" s="2982"/>
      <c r="D13" s="2983" t="e">
        <f>结果表!D127</f>
        <v>#VALUE!</v>
      </c>
      <c r="E13" s="2983"/>
      <c r="F13" s="2983"/>
      <c r="G13" s="2983"/>
      <c r="H13" s="2983"/>
      <c r="I13" s="2983"/>
    </row>
    <row r="14" spans="1:9" ht="14.4" thickTop="1">
      <c r="A14" s="2984" t="s">
        <v>1639</v>
      </c>
      <c r="B14" s="2984"/>
      <c r="C14" s="2984"/>
      <c r="D14" s="2984"/>
      <c r="E14" s="2984"/>
      <c r="F14" s="2984"/>
      <c r="G14" s="2984"/>
      <c r="H14" s="2984"/>
      <c r="I14" s="2984"/>
    </row>
    <row r="16" spans="1:9" ht="17.399999999999999">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99" t="s">
        <v>1656</v>
      </c>
      <c r="B1" s="2999"/>
      <c r="C1" s="2999"/>
      <c r="D1" s="2999"/>
    </row>
    <row r="2" spans="1:4" ht="17.399999999999999">
      <c r="A2" s="3000" t="s">
        <v>1640</v>
      </c>
      <c r="B2" s="3000"/>
      <c r="C2" s="3000"/>
      <c r="D2" s="3000"/>
    </row>
    <row r="3" spans="1:4" ht="17.399999999999999">
      <c r="A3" s="1980" t="s">
        <v>1641</v>
      </c>
      <c r="B3" s="1980" t="s">
        <v>1642</v>
      </c>
      <c r="C3" s="1980" t="s">
        <v>1643</v>
      </c>
      <c r="D3" s="1980" t="s">
        <v>1644</v>
      </c>
    </row>
    <row r="4" spans="1:4" ht="56.25" customHeight="1">
      <c r="A4" s="1981" t="str">
        <f>项目基本情况!B4</f>
        <v>吴薇</v>
      </c>
      <c r="B4" s="1982">
        <f ca="1">项目基本情况!C4</f>
        <v>1419970001</v>
      </c>
      <c r="C4" s="1983"/>
      <c r="D4" s="1984" t="s">
        <v>1645</v>
      </c>
    </row>
    <row r="5" spans="1:4" ht="56.25" customHeight="1">
      <c r="A5" s="1981" t="str">
        <f>项目基本情况!D4</f>
        <v>崔锴</v>
      </c>
      <c r="B5" s="1982">
        <f ca="1">项目基本情况!E4</f>
        <v>1120100036</v>
      </c>
      <c r="C5" s="1985"/>
      <c r="D5" s="1984" t="s">
        <v>1645</v>
      </c>
    </row>
    <row r="6" spans="1:4" ht="17.399999999999999">
      <c r="A6" s="3000" t="s">
        <v>1646</v>
      </c>
      <c r="B6" s="3000"/>
      <c r="C6" s="3000"/>
      <c r="D6" s="3000"/>
    </row>
    <row r="7" spans="1:4" ht="17.399999999999999">
      <c r="A7" s="1980" t="s">
        <v>1641</v>
      </c>
      <c r="B7" s="1982" t="s">
        <v>1647</v>
      </c>
      <c r="C7" s="1980" t="s">
        <v>1643</v>
      </c>
      <c r="D7" s="1980" t="s">
        <v>1644</v>
      </c>
    </row>
    <row r="8" spans="1:4" ht="56.25" customHeight="1">
      <c r="A8" s="1986" t="s">
        <v>866</v>
      </c>
      <c r="B8" s="1986" t="s">
        <v>1</v>
      </c>
      <c r="C8" s="1983"/>
      <c r="D8" s="1984" t="s">
        <v>1645</v>
      </c>
    </row>
    <row r="9" spans="1:4">
      <c r="A9" s="728"/>
      <c r="B9" s="728"/>
      <c r="C9" s="728"/>
      <c r="D9" s="728"/>
    </row>
    <row r="10" spans="1:4" ht="17.399999999999999">
      <c r="A10" s="1987" t="s">
        <v>1648</v>
      </c>
      <c r="B10" s="728"/>
      <c r="C10" s="728"/>
      <c r="D10" s="728"/>
    </row>
    <row r="11" spans="1:4" ht="30" customHeight="1">
      <c r="A11" s="3001" t="s">
        <v>1649</v>
      </c>
      <c r="B11" s="2993"/>
      <c r="C11" s="2993"/>
      <c r="D11" s="2993"/>
    </row>
    <row r="12" spans="1:4" ht="15.6">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（1）根据估价对象《房屋所有权证》原件、《国有土地使用权》原件，截至价值时点，估价对象抵押权未见登记。</v>
      </c>
      <c r="B15" s="2993"/>
      <c r="C15" s="2993"/>
      <c r="D15" s="2993"/>
    </row>
    <row r="16" spans="1:4" ht="30" customHeight="1">
      <c r="A16" s="2995" t="s">
        <v>1650</v>
      </c>
      <c r="B16" s="2995"/>
      <c r="C16" s="2995"/>
      <c r="D16" s="2995"/>
    </row>
    <row r="17" spans="1:4" ht="144" customHeight="1">
      <c r="A17" s="2995" t="s">
        <v>1651</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88"/>
      <c r="B23" s="1960"/>
      <c r="C23" s="1960"/>
      <c r="D23" s="1960"/>
    </row>
    <row r="24" spans="1:4">
      <c r="A24" s="1988"/>
      <c r="B24" s="1960"/>
      <c r="C24" s="1960"/>
      <c r="D24" s="1960"/>
    </row>
    <row r="25" spans="1:4" ht="17.399999999999999">
      <c r="A25" s="1989" t="s">
        <v>1653</v>
      </c>
    </row>
    <row r="26" spans="1:4" ht="17.399999999999999">
      <c r="A26" s="1958"/>
    </row>
    <row r="27" spans="1:4" ht="17.399999999999999">
      <c r="A27" s="1958" t="s">
        <v>1654</v>
      </c>
    </row>
    <row r="30" spans="1:4" ht="17.399999999999999">
      <c r="D30" s="1989" t="s">
        <v>1655</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6" customWidth="1"/>
    <col min="2" max="16384" width="14.44140625" style="1978"/>
  </cols>
  <sheetData>
    <row r="1" spans="1:7" s="1993" customFormat="1" ht="17.399999999999999">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4.4">
      <c r="A15" s="3007" t="s">
        <v>1663</v>
      </c>
      <c r="B15" s="3002" t="s">
        <v>136</v>
      </c>
      <c r="C15" s="3003"/>
    </row>
    <row r="16" spans="1:7" ht="14.4">
      <c r="A16" s="3008"/>
      <c r="B16" s="3002" t="s">
        <v>69</v>
      </c>
      <c r="C16" s="3003"/>
    </row>
    <row r="17" spans="1:3" ht="14.4">
      <c r="A17" s="3008"/>
      <c r="B17" s="3005" t="s">
        <v>1664</v>
      </c>
      <c r="C17" s="2003" t="s">
        <v>1663</v>
      </c>
    </row>
    <row r="18" spans="1:3" ht="14.4">
      <c r="A18" s="3008"/>
      <c r="B18" s="3005"/>
      <c r="C18" s="2003" t="s">
        <v>1665</v>
      </c>
    </row>
    <row r="19" spans="1:3" ht="14.4">
      <c r="A19" s="3008"/>
      <c r="B19" s="3005"/>
      <c r="C19" s="2003" t="s">
        <v>1666</v>
      </c>
    </row>
    <row r="20" spans="1:3" ht="14.4">
      <c r="A20" s="3009"/>
      <c r="B20" s="3004" t="s">
        <v>1667</v>
      </c>
      <c r="C20" s="3003"/>
    </row>
    <row r="21" spans="1:3" ht="14.4">
      <c r="A21" s="2004" t="s">
        <v>1668</v>
      </c>
      <c r="B21" s="2005"/>
      <c r="C21" s="2006"/>
    </row>
    <row r="22" spans="1:3" ht="14.4">
      <c r="A22" s="3006" t="s">
        <v>1669</v>
      </c>
      <c r="B22" s="3004" t="s">
        <v>1670</v>
      </c>
      <c r="C22" s="3003"/>
    </row>
    <row r="23" spans="1:3" ht="14.4">
      <c r="A23" s="3006"/>
      <c r="B23" s="3004" t="s">
        <v>1671</v>
      </c>
      <c r="C23" s="3003"/>
    </row>
    <row r="24" spans="1:3" ht="14.4">
      <c r="A24" s="3006"/>
      <c r="B24" s="3004" t="s">
        <v>1672</v>
      </c>
      <c r="C24" s="3003"/>
    </row>
    <row r="25" spans="1:3" ht="14.4">
      <c r="A25" s="3006"/>
      <c r="B25" s="3005" t="s">
        <v>1673</v>
      </c>
      <c r="C25" s="2003" t="s">
        <v>1674</v>
      </c>
    </row>
    <row r="26" spans="1:3" ht="14.4">
      <c r="A26" s="3006"/>
      <c r="B26" s="3005"/>
      <c r="C26" s="2003" t="s">
        <v>1675</v>
      </c>
    </row>
    <row r="27" spans="1:3" ht="14.4">
      <c r="A27" s="3006"/>
      <c r="B27" s="3005"/>
      <c r="C27" s="2003" t="s">
        <v>1676</v>
      </c>
    </row>
    <row r="28" spans="1:3" ht="14.4">
      <c r="A28" s="3006"/>
      <c r="B28" s="3005"/>
      <c r="C28" s="2003" t="s">
        <v>1677</v>
      </c>
    </row>
    <row r="29" spans="1:3" ht="14.4">
      <c r="A29" s="3006"/>
      <c r="B29" s="3005"/>
      <c r="C29" s="2003" t="s">
        <v>1678</v>
      </c>
    </row>
    <row r="30" spans="1:3" ht="14.4">
      <c r="A30" s="3006"/>
      <c r="B30" s="3005"/>
      <c r="C30" s="2003" t="s">
        <v>1679</v>
      </c>
    </row>
    <row r="31" spans="1:3" ht="14.4">
      <c r="A31" s="3006"/>
      <c r="B31" s="3005"/>
      <c r="C31" s="2003" t="s">
        <v>1680</v>
      </c>
    </row>
    <row r="32" spans="1:3" ht="14.4">
      <c r="A32" s="3006"/>
      <c r="B32" s="3005"/>
      <c r="C32" s="2003" t="s">
        <v>1681</v>
      </c>
    </row>
    <row r="33" spans="1:3" ht="14.4">
      <c r="A33" s="3006"/>
      <c r="B33" s="3005"/>
      <c r="C33" s="2003" t="s">
        <v>1682</v>
      </c>
    </row>
    <row r="34" spans="1:3">
      <c r="A34" s="2007" t="s">
        <v>76</v>
      </c>
    </row>
    <row r="37" spans="1:3">
      <c r="A37" s="2007" t="s">
        <v>1683</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43546</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t="str">
        <f ca="1">IF(C10&lt;B2,"已过期",1120060040)</f>
        <v>已过期</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c r="B12" s="1025"/>
      <c r="C12" s="2937"/>
      <c r="D12" s="1705"/>
      <c r="E12" s="1025"/>
      <c r="F12" s="1033"/>
    </row>
    <row r="13" spans="1:6" ht="24" customHeight="1">
      <c r="A13" s="1705" t="s">
        <v>840</v>
      </c>
      <c r="B13" s="1025">
        <f ca="1">IF(C13&lt;B2,"已过期",1120070131)</f>
        <v>1120070131</v>
      </c>
      <c r="C13" s="2346">
        <v>43814</v>
      </c>
      <c r="D13" s="2349" t="s">
        <v>840</v>
      </c>
      <c r="E13" s="1025">
        <f ca="1">IF(F13&lt;B2,"已过期",2014110011)</f>
        <v>2014110011</v>
      </c>
      <c r="F13" s="1033">
        <v>49302</v>
      </c>
    </row>
    <row r="14" spans="1:6" ht="24" customHeight="1">
      <c r="A14" s="1705" t="s">
        <v>3037</v>
      </c>
      <c r="B14" s="1025">
        <f ca="1">IF(C14&lt;B2,"已过期",1120040230)</f>
        <v>1120040230</v>
      </c>
      <c r="C14" s="2346">
        <v>43835</v>
      </c>
      <c r="D14" s="2349" t="s">
        <v>3037</v>
      </c>
      <c r="E14" s="1025">
        <f ca="1">IF(F14&lt;B2,"已过期",98030020)</f>
        <v>98030020</v>
      </c>
      <c r="F14" s="1033">
        <v>47118</v>
      </c>
    </row>
    <row r="15" spans="1:6" ht="24" customHeight="1">
      <c r="A15" s="1706" t="s">
        <v>3038</v>
      </c>
      <c r="B15" s="1025">
        <f ca="1">IF(C15&lt;B2,"已过期",1120070085)</f>
        <v>1120070085</v>
      </c>
      <c r="C15" s="2346">
        <v>43814</v>
      </c>
      <c r="D15" s="2350" t="s">
        <v>3038</v>
      </c>
      <c r="E15" s="1025">
        <f ca="1">IF(F15&lt;B2,"已过期",2004110128)</f>
        <v>2004110128</v>
      </c>
      <c r="F15" s="1026">
        <v>47118</v>
      </c>
    </row>
    <row r="16" spans="1:6" ht="24" customHeight="1">
      <c r="A16" s="1705" t="s">
        <v>3039</v>
      </c>
      <c r="B16" s="1025">
        <f ca="1">IF(C16&lt;B2,"已过期",1120140022)</f>
        <v>1120140022</v>
      </c>
      <c r="C16" s="2937">
        <v>44029</v>
      </c>
      <c r="D16" s="2349" t="s">
        <v>3039</v>
      </c>
      <c r="E16" s="1025">
        <f ca="1">IF(F16&lt;B2,"已过期",2008110059)</f>
        <v>2008110059</v>
      </c>
      <c r="F16" s="1033">
        <v>47177</v>
      </c>
    </row>
    <row r="17" spans="1:7" ht="24" customHeight="1">
      <c r="A17" s="1705"/>
      <c r="B17" s="1025"/>
      <c r="C17" s="2346"/>
      <c r="D17" s="2349" t="s">
        <v>3040</v>
      </c>
      <c r="E17" s="1025">
        <f ca="1">IF(F17&lt;B2,"已过期",2014110076)</f>
        <v>2014110076</v>
      </c>
      <c r="F17" s="1033">
        <v>49302</v>
      </c>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841</v>
      </c>
      <c r="E21" s="1025">
        <f ca="1">IF(F21&lt;B2,"已过期",2011110090)</f>
        <v>2011110090</v>
      </c>
      <c r="F21" s="1033">
        <v>48302</v>
      </c>
    </row>
    <row r="22" spans="1:7" ht="24" customHeight="1">
      <c r="A22" s="1705" t="s">
        <v>842</v>
      </c>
      <c r="B22" s="1025">
        <f ca="1">IF(C22&lt;B2,"已过期",1120020033)</f>
        <v>1120020033</v>
      </c>
      <c r="C22" s="2937">
        <v>44339</v>
      </c>
      <c r="D22" s="2349" t="s">
        <v>842</v>
      </c>
      <c r="E22" s="1025">
        <f ca="1">IF(F22&lt;B2,"已过期",2000110137)</f>
        <v>2000110137</v>
      </c>
      <c r="F22" s="1033">
        <v>46387</v>
      </c>
    </row>
    <row r="23" spans="1:7" ht="24" customHeight="1">
      <c r="A23" s="1705"/>
      <c r="B23" s="1025"/>
      <c r="C23" s="2346"/>
      <c r="D23" s="2349"/>
      <c r="E23" s="1025"/>
      <c r="F23" s="1025"/>
    </row>
    <row r="24" spans="1:7" s="1027" customFormat="1" ht="24" customHeight="1">
      <c r="A24" s="1706" t="s">
        <v>1329</v>
      </c>
      <c r="B24" s="1706" t="s">
        <v>1329</v>
      </c>
      <c r="C24" s="2347" t="s">
        <v>1329</v>
      </c>
      <c r="D24" s="2350" t="s">
        <v>1329</v>
      </c>
      <c r="E24" s="1706" t="s">
        <v>1329</v>
      </c>
      <c r="F24" s="1706"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比较法-办公</vt:lpstr>
      <vt:lpstr>地价</vt:lpstr>
      <vt:lpstr>典型户型修正</vt:lpstr>
      <vt:lpstr>成本法（废）</vt:lpstr>
      <vt:lpstr>区片价</vt:lpstr>
      <vt:lpstr>因素修正幅度</vt:lpstr>
      <vt:lpstr>存贷款利率</vt:lpstr>
      <vt:lpstr>区片价（范围）</vt:lpstr>
      <vt:lpstr>租金表</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2019-03-22T07:57:20Z</dcterms:modified>
</cp:coreProperties>
</file>