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酒店模型" sheetId="77"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G62" i="43"/>
  <c r="G63" i="43"/>
  <c r="G64" i="43"/>
  <c r="G65" i="43"/>
  <c r="G66" i="43"/>
  <c r="G67" i="43"/>
  <c r="G68" i="43"/>
  <c r="G69" i="43"/>
  <c r="G61" i="43"/>
  <c r="D33" i="43"/>
  <c r="Y6" i="1"/>
  <c r="N18" i="1"/>
  <c r="B54" i="1"/>
  <c r="B21" i="1"/>
  <c r="F19" i="6"/>
  <c r="I13" i="3"/>
  <c r="D29" i="81"/>
  <c r="C29" i="8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G5" i="3" s="1"/>
  <c r="B3" i="3" s="1"/>
  <c r="E510"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6" i="15"/>
  <c r="E8" i="76"/>
  <c r="F7" i="73"/>
  <c r="D7" i="73"/>
  <c r="F16" i="67"/>
  <c r="J15" i="67"/>
  <c r="F6" i="73"/>
  <c r="F13" i="15"/>
  <c r="E9" i="76"/>
  <c r="F9" i="15"/>
  <c r="F9" i="67"/>
  <c r="M24" i="67"/>
  <c r="F42" i="67"/>
  <c r="E12" i="76"/>
  <c r="M26" i="15"/>
  <c r="F8" i="15"/>
  <c r="C76" i="15"/>
  <c r="F20" i="31"/>
  <c r="M22" i="67"/>
  <c r="M28" i="67"/>
  <c r="AO13" i="1"/>
  <c r="M24" i="15"/>
  <c r="F38" i="15"/>
  <c r="F7" i="67"/>
  <c r="M29" i="67"/>
  <c r="M28" i="15"/>
  <c r="F26" i="15"/>
  <c r="F3" i="73"/>
  <c r="M8" i="15"/>
  <c r="B7" i="76"/>
  <c r="F16" i="15"/>
  <c r="M29" i="15"/>
  <c r="F5" i="73"/>
  <c r="M6" i="15"/>
  <c r="E11" i="76"/>
  <c r="D35" i="9"/>
  <c r="E13" i="76"/>
  <c r="F43" i="67"/>
  <c r="M22" i="15"/>
  <c r="F40" i="67"/>
  <c r="F6" i="67"/>
  <c r="M9" i="67"/>
  <c r="B11" i="76"/>
  <c r="E10" i="76"/>
  <c r="L48" i="67"/>
  <c r="F13" i="67"/>
  <c r="M23" i="15"/>
  <c r="F37" i="67"/>
  <c r="E7" i="76"/>
  <c r="M6" i="67"/>
  <c r="F37" i="15"/>
  <c r="F38" i="67"/>
  <c r="D4" i="73"/>
  <c r="D34" i="9"/>
  <c r="J15" i="15"/>
  <c r="B12" i="76"/>
  <c r="F40" i="15"/>
  <c r="M23" i="67"/>
  <c r="E2" i="68"/>
  <c r="B13" i="76"/>
  <c r="F36" i="15"/>
  <c r="L48" i="15"/>
  <c r="M8" i="67"/>
  <c r="B9" i="76"/>
  <c r="F26" i="67"/>
  <c r="F42" i="15"/>
  <c r="C76" i="67"/>
  <c r="M26" i="67"/>
  <c r="B8" i="76"/>
  <c r="F4" i="73"/>
  <c r="D3" i="73"/>
  <c r="F36" i="67"/>
  <c r="M9" i="15"/>
  <c r="D6" i="73"/>
  <c r="L47" i="15"/>
  <c r="F43" i="15"/>
  <c r="C18" i="9" l="1"/>
  <c r="D18" i="9" s="1"/>
  <c r="F34" i="67"/>
  <c r="F62" i="67" s="1"/>
  <c r="F34" i="15"/>
  <c r="F62" i="15" s="1"/>
  <c r="C24" i="12"/>
  <c r="D93" i="9"/>
  <c r="B41" i="1"/>
  <c r="F53" i="9" s="1"/>
  <c r="C40" i="11"/>
  <c r="C40" i="69"/>
  <c r="C21" i="68"/>
  <c r="G28" i="6"/>
  <c r="BA13" i="3"/>
  <c r="BA5"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26" i="43" l="1"/>
  <c r="H26" i="43"/>
  <c r="N94" i="46"/>
  <c r="J26" i="43"/>
  <c r="N370" i="46"/>
  <c r="F48" i="9"/>
  <c r="O52" i="9" s="1"/>
  <c r="F31" i="12"/>
  <c r="C31" i="12" s="1"/>
  <c r="F30" i="69"/>
  <c r="D68" i="9"/>
  <c r="F28" i="67"/>
  <c r="C28" i="67" s="1"/>
  <c r="F30" i="68"/>
  <c r="F52" i="9"/>
  <c r="F32" i="15"/>
  <c r="F60" i="15" s="1"/>
  <c r="F54" i="9"/>
  <c r="F28" i="15"/>
  <c r="C28" i="15" s="1"/>
  <c r="F30" i="11"/>
  <c r="M18" i="67"/>
  <c r="J18" i="67" s="1"/>
  <c r="M18" i="15"/>
  <c r="J18" i="15" s="1"/>
  <c r="F32" i="67"/>
  <c r="F60" i="67" s="1"/>
  <c r="P6" i="1"/>
  <c r="C13" i="12"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7" i="1"/>
  <c r="AE8" i="1"/>
  <c r="AE12" i="1"/>
  <c r="AE10" i="1"/>
  <c r="F41" i="67"/>
  <c r="AE6" i="1"/>
  <c r="C32" i="15" l="1"/>
  <c r="C32" i="67"/>
  <c r="C48" i="1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9"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l="1"/>
  <c r="D4" i="52" s="1"/>
  <c r="B47" i="72" s="1"/>
  <c r="H118" i="9"/>
  <c r="F118" i="9"/>
  <c r="F119" i="9" s="1"/>
  <c r="F5" i="52" s="1"/>
  <c r="B53" i="72" s="1"/>
  <c r="H119" i="9" l="1"/>
  <c r="H5" i="52" s="1"/>
  <c r="D14" i="74"/>
  <c r="D119" i="9"/>
  <c r="D5" i="52" s="1"/>
  <c r="B49" i="72" s="1"/>
  <c r="G118" i="9"/>
  <c r="G4" i="52" s="1"/>
  <c r="B52" i="72" s="1"/>
  <c r="F4" i="52"/>
  <c r="B51" i="72" s="1"/>
  <c r="C104" i="9"/>
  <c r="H4" i="52"/>
  <c r="I118" i="9"/>
  <c r="H101" i="9"/>
  <c r="E14" i="74" l="1"/>
  <c r="F14" i="74"/>
  <c r="B5" i="74"/>
  <c r="D5" i="74" s="1"/>
  <c r="D5" i="53"/>
  <c r="D45" i="9"/>
  <c r="M48" i="9"/>
  <c r="H107" i="9"/>
  <c r="E118" i="9"/>
  <c r="E4" i="52" s="1"/>
  <c r="B48" i="72" s="1"/>
  <c r="H102" i="9"/>
  <c r="C105" i="9"/>
  <c r="I4" i="52"/>
  <c r="D13" i="53" l="1"/>
  <c r="H108" i="9"/>
  <c r="D122" i="9"/>
  <c r="D52" i="9"/>
  <c r="C64" i="9"/>
  <c r="C63" i="9" s="1"/>
  <c r="C67" i="9" s="1"/>
  <c r="C93" i="9"/>
  <c r="C86" i="9" s="1"/>
  <c r="D55" i="9"/>
  <c r="M53" i="9" s="1"/>
  <c r="C72" i="9"/>
  <c r="C85" i="9"/>
  <c r="C78" i="9"/>
  <c r="C73" i="9" s="1"/>
  <c r="D53" i="9"/>
  <c r="D7" i="53"/>
  <c r="B21" i="72" s="1"/>
  <c r="C5" i="74"/>
  <c r="B20" i="72"/>
  <c r="D6" i="53"/>
  <c r="B22" i="72" s="1"/>
  <c r="D123" i="9" l="1"/>
  <c r="D9" i="52" s="1"/>
  <c r="D8" i="52"/>
  <c r="C79" i="9"/>
  <c r="C6" i="74"/>
  <c r="D15" i="53"/>
  <c r="B31" i="72" s="1"/>
  <c r="C95" i="9"/>
  <c r="C68" i="9"/>
  <c r="D54" i="9" s="1"/>
  <c r="D59" i="9"/>
  <c r="M55" i="9" s="1"/>
  <c r="B30" i="72"/>
  <c r="D14" i="53"/>
  <c r="B32" i="72" s="1"/>
  <c r="C80" i="9" l="1"/>
  <c r="E80" i="9" s="1"/>
  <c r="E81" i="9" s="1"/>
  <c r="C81" i="9"/>
  <c r="C97" i="9"/>
  <c r="D58" i="9" s="1"/>
  <c r="D56" i="9" s="1"/>
  <c r="M54" i="9" s="1"/>
  <c r="N57" i="9" s="1"/>
  <c r="C96" i="9"/>
  <c r="E96" i="9" s="1"/>
  <c r="E9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<sst xmlns="http://schemas.openxmlformats.org/spreadsheetml/2006/main" count="7859" uniqueCount="3436">
  <si>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</si>
  <si>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</si>
  <si>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</si>
  <si>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</si>
  <si>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</si>
  <si>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</si>
  <si>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</si>
  <si>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</si>
  <si>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</si>
  <si>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</si>
  <si>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</si>
  <si>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</si>
  <si>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</si>
  <si>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</si>
  <si>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</si>
  <si>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</si>
  <si>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</si>
  <si>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</si>
  <si>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</si>
  <si>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</si>
  <si>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</si>
  <si>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</si>
  <si>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</si>
  <si>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</si>
  <si>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</si>
  <si>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</si>
  <si>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</si>
  <si>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</si>
  <si>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</si>
  <si>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</si>
  <si>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</si>
  <si>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</si>
  <si>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</si>
  <si>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</si>
  <si>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</si>
  <si>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</si>
  <si>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</si>
  <si>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</si>
  <si>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</si>
  <si>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</si>
  <si>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</si>
  <si>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</si>
  <si>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</si>
  <si>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</si>
  <si>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</si>
  <si>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</si>
  <si>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</si>
  <si>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</si>
  <si>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</si>
  <si>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</si>
  <si>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</si>
  <si>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</si>
  <si>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</si>
  <si>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</si>
  <si>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</si>
  <si>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</si>
  <si>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</si>
  <si>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</si>
  <si>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</si>
  <si>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</si>
  <si>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</si>
  <si>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</si>
  <si>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</si>
  <si>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</si>
  <si>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</si>
  <si>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</si>
  <si>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</si>
  <si>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</si>
  <si>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</si>
  <si>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</si>
  <si>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</si>
  <si>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</si>
  <si>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</si>
  <si>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</si>
  <si>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</si>
  <si>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</si>
  <si>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</si>
  <si>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</si>
  <si>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</si>
  <si>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</si>
  <si>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</si>
  <si>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</si>
  <si>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</si>
  <si>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</si>
  <si>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</si>
  <si>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</si>
  <si>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</si>
  <si>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</si>
  <si>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</si>
  <si>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</si>
  <si>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</si>
  <si>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</si>
  <si>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</si>
  <si>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</si>
  <si>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</si>
  <si>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</si>
  <si>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</si>
  <si>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</si>
  <si>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</si>
  <si>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</si>
  <si>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</si>
  <si>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</si>
  <si>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</si>
  <si>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</si>
  <si>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</si>
  <si>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</si>
  <si>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</si>
  <si>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</si>
  <si>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</si>
  <si>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</si>
  <si>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</si>
  <si>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</si>
  <si>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</si>
  <si>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</si>
  <si>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</si>
  <si>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</si>
  <si>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</si>
  <si>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</si>
  <si>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</si>
  <si>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</si>
  <si>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</si>
  <si>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</si>
  <si>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</si>
  <si>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</si>
  <si>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</si>
  <si>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</si>
  <si>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</si>
  <si>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</si>
  <si>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</si>
  <si>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</si>
  <si>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</si>
  <si>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</si>
  <si>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</si>
  <si>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</si>
  <si>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</si>
  <si>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</si>
  <si>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</si>
  <si>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</si>
  <si>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</si>
  <si>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</si>
  <si>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</si>
  <si>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</si>
  <si>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</si>
  <si>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</si>
  <si>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</si>
  <si>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</si>
  <si>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</si>
  <si>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</si>
  <si>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</si>
  <si>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</si>
  <si>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</si>
  <si>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</si>
  <si>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</si>
  <si>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</si>
  <si>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</si>
  <si>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</si>
  <si>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</si>
  <si>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</si>
  <si>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</si>
  <si>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</si>
  <si>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</si>
  <si>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</si>
  <si>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</si>
  <si>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</si>
  <si>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</si>
  <si>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</si>
  <si>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</si>
  <si>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</si>
  <si>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</si>
  <si>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</si>
  <si>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</si>
  <si>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</si>
  <si>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</si>
  <si>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</si>
  <si>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</si>
  <si>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</si>
  <si>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</si>
  <si>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</si>
  <si>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</si>
  <si>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</si>
  <si>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</si>
  <si>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</si>
  <si>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</si>
  <si>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</si>
  <si>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</si>
  <si>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</si>
  <si>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</si>
  <si>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</si>
  <si>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</si>
  <si>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</si>
  <si>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</si>
  <si>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</si>
  <si>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</si>
  <si>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</si>
  <si>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</si>
  <si>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</si>
  <si>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</si>
  <si>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</si>
  <si>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</si>
  <si>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</si>
  <si>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</si>
  <si>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</si>
  <si>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</si>
  <si>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</si>
  <si>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</si>
  <si>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</si>
  <si>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</si>
  <si>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</si>
  <si>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</si>
  <si>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</si>
  <si>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</si>
  <si>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</si>
  <si>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</si>
  <si>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</si>
  <si>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</si>
  <si>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</si>
  <si>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</si>
  <si>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</si>
  <si>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</si>
  <si>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</si>
  <si>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</si>
  <si>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</si>
  <si>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</si>
  <si>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</si>
  <si>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</si>
  <si>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</si>
  <si>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</si>
  <si>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</si>
  <si>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</si>
  <si>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</si>
  <si>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</si>
  <si>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</si>
  <si>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</si>
  <si>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</si>
  <si>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</si>
  <si>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</si>
  <si>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</si>
  <si>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</si>
  <si>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</si>
  <si>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</si>
  <si>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</si>
  <si>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</si>
  <si>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</si>
  <si>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</si>
  <si>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</si>
  <si>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</si>
  <si>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</si>
  <si>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</si>
  <si>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</si>
  <si>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</si>
  <si>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</si>
  <si>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</si>
  <si>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</si>
  <si>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</si>
  <si>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</si>
  <si>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</si>
  <si>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</si>
  <si>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</si>
  <si>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</si>
  <si>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</si>
  <si>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</si>
  <si>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</si>
  <si>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</si>
  <si>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</si>
  <si>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</si>
  <si>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</si>
  <si>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</si>
  <si>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</si>
  <si>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</si>
  <si>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</si>
  <si>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</si>
  <si>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</si>
  <si>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</si>
  <si>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</si>
  <si>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</si>
  <si>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</si>
  <si>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</si>
  <si>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</si>
  <si>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</si>
  <si>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</si>
  <si>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</si>
  <si>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</si>
  <si>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</si>
  <si>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</si>
  <si>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</si>
  <si>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</si>
  <si>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</si>
  <si>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</si>
  <si>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</si>
  <si>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</si>
  <si>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</si>
  <si>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</si>
  <si>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</si>
  <si>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</si>
  <si>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</si>
  <si>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</si>
  <si>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</si>
  <si>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</si>
  <si>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</si>
  <si>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</si>
  <si>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</si>
  <si>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</si>
  <si>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</si>
  <si>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</si>
  <si>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</si>
  <si>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</si>
  <si>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</si>
  <si>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</si>
  <si>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</si>
  <si>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</si>
  <si>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</si>
  <si>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</si>
  <si>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</si>
  <si>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</si>
  <si>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</si>
  <si>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</si>
  <si>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</si>
  <si>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</si>
  <si>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</si>
  <si>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</si>
  <si>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</si>
  <si>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</si>
  <si>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</si>
  <si>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</si>
  <si>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</si>
  <si>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</si>
  <si>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</si>
  <si>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</si>
  <si>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</si>
  <si>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</si>
  <si>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</si>
  <si>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</si>
  <si>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</si>
  <si>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</si>
  <si>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</si>
  <si>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</si>
  <si>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</si>
  <si>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</si>
  <si>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</si>
  <si>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</si>
  <si>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</si>
  <si>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</si>
  <si>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</si>
  <si>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</si>
  <si>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</si>
  <si>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</si>
  <si>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</si>
  <si>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</si>
  <si>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</si>
  <si>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</si>
  <si>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</si>
  <si>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</si>
  <si>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</si>
  <si>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</si>
  <si>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</si>
  <si>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</si>
  <si>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</si>
  <si>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</si>
  <si>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</si>
  <si>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</si>
  <si>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</si>
  <si>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</si>
  <si>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</si>
  <si>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</si>
  <si>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</si>
  <si>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</si>
  <si>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</si>
  <si>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</si>
  <si>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</si>
  <si>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</si>
  <si>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</si>
  <si>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</si>
  <si>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</si>
  <si>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</si>
  <si>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</si>
  <si>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</si>
  <si>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</si>
  <si>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</si>
  <si>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</si>
  <si>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</si>
  <si>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</si>
  <si>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</si>
  <si>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</si>
  <si>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</si>
  <si>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</si>
  <si>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</si>
  <si>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</si>
  <si>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</si>
  <si>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</si>
  <si>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</si>
  <si>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</si>
  <si>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</si>
  <si>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</si>
  <si>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</si>
  <si>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</si>
  <si>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</si>
  <si>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</si>
  <si>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</si>
  <si>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</si>
  <si>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</si>
  <si>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</si>
  <si>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</si>
  <si>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</si>
  <si>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</si>
  <si>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</si>
  <si>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</si>
  <si>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</si>
  <si>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</si>
  <si>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</si>
  <si>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</si>
  <si>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</si>
  <si>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</si>
  <si>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</si>
  <si>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</si>
  <si>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</si>
  <si>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</si>
  <si>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</si>
  <si>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</si>
  <si>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</si>
  <si>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</si>
  <si>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</si>
  <si>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</si>
  <si>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</si>
  <si>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</si>
  <si>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</si>
  <si>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</si>
  <si>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</si>
  <si>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</si>
  <si>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</si>
  <si>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</si>
  <si>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</si>
  <si>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</si>
  <si>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</si>
  <si>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</si>
  <si>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</si>
  <si>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</si>
  <si>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</si>
  <si>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</si>
  <si>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</si>
  <si>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</si>
  <si>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</si>
  <si>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</si>
  <si>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</si>
  <si>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</si>
  <si>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</si>
  <si>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</si>
  <si>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</si>
  <si>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</si>
  <si>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</si>
  <si>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</si>
  <si>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</si>
  <si>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</si>
  <si>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</si>
  <si>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</si>
  <si>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</si>
  <si>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</si>
  <si>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</si>
  <si>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</si>
  <si>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</si>
  <si>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</si>
  <si>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</si>
  <si>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</si>
  <si>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</si>
  <si>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</si>
  <si>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</si>
  <si>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</si>
  <si>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</si>
  <si>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</si>
  <si>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</si>
  <si>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</si>
  <si>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</si>
  <si>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</si>
  <si>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</si>
  <si>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</si>
  <si>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</si>
  <si>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</si>
  <si>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</si>
  <si>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</si>
  <si>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</si>
  <si>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</si>
  <si>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</si>
  <si>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</si>
  <si>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</si>
  <si>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</si>
  <si>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</si>
  <si>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</si>
  <si>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</si>
  <si>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</si>
  <si>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</si>
  <si>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</si>
  <si>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</si>
  <si>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</si>
  <si>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</si>
  <si>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</si>
  <si>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</si>
  <si>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</si>
  <si>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</si>
  <si>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</si>
  <si>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</si>
  <si>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</si>
  <si>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</si>
  <si>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</si>
  <si>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</si>
  <si>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</si>
  <si>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</si>
  <si>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</si>
  <si>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</si>
  <si>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</si>
  <si>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</si>
  <si>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</si>
  <si>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</si>
  <si>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</si>
  <si>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</si>
  <si>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</si>
  <si>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</si>
  <si>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</si>
  <si>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</si>
  <si>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</si>
  <si>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</si>
  <si>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</si>
  <si>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</si>
  <si>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</si>
  <si>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</si>
  <si>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</si>
  <si>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</si>
  <si>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</si>
  <si>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</si>
  <si>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</si>
  <si>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</si>
  <si>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</si>
  <si>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</si>
  <si>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</si>
  <si>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</si>
  <si>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</si>
  <si>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</si>
  <si>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</si>
  <si>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</si>
  <si>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</si>
  <si>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</si>
  <si>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</si>
  <si>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</si>
  <si>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</si>
  <si>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</si>
  <si>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</si>
  <si>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</si>
  <si>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</si>
  <si>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</si>
  <si>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</si>
  <si>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</si>
  <si>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</si>
  <si>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</si>
  <si>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</si>
  <si>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</si>
  <si>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</si>
  <si>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</si>
  <si>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</si>
  <si>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</si>
  <si>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</si>
  <si>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</si>
  <si>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</si>
  <si>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</si>
  <si>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</si>
  <si>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</si>
  <si>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</si>
  <si>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</si>
  <si>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</si>
  <si>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</si>
  <si>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</si>
  <si>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</si>
  <si>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</si>
  <si>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</si>
  <si>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</si>
  <si>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</si>
  <si>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</si>
  <si>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</si>
  <si>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</si>
  <si>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</si>
  <si>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</si>
  <si>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</si>
  <si>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</si>
  <si>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</si>
  <si>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</si>
  <si>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</si>
  <si>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</si>
  <si>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</si>
  <si>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</si>
  <si>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</si>
  <si>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</si>
  <si>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</si>
  <si>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</si>
  <si>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</si>
  <si>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</si>
  <si>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</si>
  <si>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</si>
  <si>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</si>
  <si>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</si>
  <si>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</si>
  <si>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</si>
  <si>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</si>
  <si>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</si>
  <si>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</si>
  <si>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</si>
  <si>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</si>
  <si>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</si>
  <si>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</si>
  <si>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</si>
  <si>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</si>
  <si>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</si>
  <si>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</si>
  <si>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</si>
  <si>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</si>
  <si>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</si>
  <si>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</si>
  <si>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</si>
  <si>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</si>
  <si>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</si>
  <si>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</si>
  <si>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</si>
  <si>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</si>
  <si>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</si>
  <si>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</si>
  <si>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</si>
  <si>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</si>
  <si>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</si>
  <si>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</si>
  <si>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</si>
  <si>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</si>
  <si>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</si>
  <si>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</si>
  <si>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</si>
  <si>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</si>
  <si>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</si>
  <si>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</si>
  <si>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</si>
  <si>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</si>
  <si>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</si>
  <si>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</si>
  <si>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</si>
  <si>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</si>
  <si>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</si>
  <si>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</si>
  <si>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</si>
  <si>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</si>
  <si>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</si>
  <si>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</si>
  <si>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</si>
  <si>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</si>
  <si>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</si>
  <si>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</si>
  <si>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</si>
  <si>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</si>
  <si>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</si>
  <si>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</si>
  <si>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</si>
  <si>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</si>
  <si>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</si>
  <si>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</si>
  <si>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</si>
  <si>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</si>
  <si>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</si>
  <si>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</si>
  <si>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</si>
  <si>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</si>
  <si>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</si>
  <si>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</si>
  <si>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</si>
  <si>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</si>
  <si>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</si>
  <si>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</si>
  <si>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</si>
  <si>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</si>
  <si>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</si>
  <si>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</si>
  <si>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</si>
  <si>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</si>
  <si>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</si>
  <si>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</si>
  <si>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</si>
  <si>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</si>
  <si>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</si>
  <si>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</si>
  <si>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</si>
  <si>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</si>
  <si>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</si>
  <si>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</si>
  <si>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</si>
  <si>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</si>
  <si>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</si>
  <si>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</si>
  <si>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</si>
  <si>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</si>
  <si>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</si>
  <si>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</si>
  <si>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</si>
  <si>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</si>
  <si>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</si>
  <si>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</si>
  <si>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</si>
  <si>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</si>
  <si>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</si>
  <si>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</si>
  <si>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</si>
  <si>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</si>
  <si>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</si>
  <si>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</si>
  <si>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</si>
  <si>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</si>
  <si>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</si>
  <si>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</si>
  <si>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</si>
  <si>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</si>
  <si>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</si>
  <si>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</si>
  <si>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</si>
  <si>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</si>
  <si>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</si>
  <si>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</si>
  <si>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</si>
  <si>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</si>
  <si>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</si>
  <si>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</si>
  <si>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</si>
  <si>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</si>
  <si>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</si>
  <si>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</si>
  <si>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</si>
  <si>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</si>
  <si>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</si>
  <si>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</si>
  <si>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</si>
  <si>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</si>
  <si>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</si>
  <si>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</si>
  <si>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</si>
  <si>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</si>
  <si>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</si>
  <si>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</si>
  <si>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</si>
  <si>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</si>
  <si>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</si>
  <si>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</si>
  <si>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</si>
  <si>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</si>
  <si>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</si>
  <si>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</si>
  <si>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</si>
  <si>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</si>
  <si>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</si>
  <si>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</si>
  <si>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</si>
  <si>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</si>
  <si>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</si>
  <si>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</si>
  <si>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</si>
  <si>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</si>
  <si>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</si>
  <si>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</si>
  <si>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</si>
  <si>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</si>
  <si>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</si>
  <si>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</si>
  <si>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</si>
  <si>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</si>
  <si>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</si>
  <si>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</si>
  <si>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</si>
  <si>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</si>
  <si>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</si>
  <si>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</si>
  <si>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</si>
  <si>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</si>
  <si>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</si>
  <si>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</si>
  <si>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</si>
  <si>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</si>
  <si>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</si>
  <si>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</si>
  <si>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</si>
  <si>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</si>
  <si>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</si>
  <si>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</si>
  <si>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</si>
  <si>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</si>
  <si>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</si>
  <si>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</si>
  <si>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</si>
  <si>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</si>
  <si>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</si>
  <si>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</si>
  <si>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</si>
  <si>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</si>
  <si>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</si>
  <si>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</si>
  <si>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</si>
  <si>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</si>
  <si>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</si>
  <si>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</si>
  <si>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</si>
  <si>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</si>
  <si>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</si>
  <si>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</si>
  <si>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</si>
  <si>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</si>
  <si>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</si>
  <si>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</si>
  <si>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</si>
  <si>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</si>
  <si>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</si>
  <si>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</si>
  <si>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</si>
  <si>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</si>
  <si>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</si>
  <si>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</si>
  <si>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</si>
  <si>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</si>
  <si>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</si>
  <si>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</si>
  <si>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</si>
  <si>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</si>
  <si>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</si>
  <si>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</si>
  <si>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</si>
  <si>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</si>
  <si>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</si>
  <si>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</si>
  <si>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</si>
  <si>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</si>
  <si>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</si>
  <si>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</si>
  <si>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</si>
  <si>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</si>
  <si>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</si>
  <si>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</si>
  <si>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</si>
  <si>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</si>
  <si>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</si>
  <si>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</si>
  <si>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</si>
  <si>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</si>
  <si>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</si>
  <si>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</si>
  <si>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</si>
  <si>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</si>
  <si>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</si>
  <si>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</si>
  <si>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</si>
  <si>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</si>
  <si>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</si>
  <si>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</si>
  <si>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</si>
  <si>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</si>
  <si>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</si>
  <si>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</si>
  <si>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</si>
  <si>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</si>
  <si>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</si>
  <si>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</si>
  <si>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</si>
  <si>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</si>
  <si>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</si>
  <si>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</si>
  <si>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</si>
  <si>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</si>
  <si>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</si>
  <si>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</si>
  <si>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</si>
  <si>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</si>
  <si>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</si>
  <si>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</si>
  <si>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</si>
  <si>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</si>
  <si>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</si>
  <si>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</si>
  <si>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</si>
  <si>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</si>
  <si>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</si>
  <si>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</si>
  <si>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</si>
  <si>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</si>
  <si>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</si>
  <si>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</si>
  <si>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</si>
  <si>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</si>
  <si>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</si>
  <si>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</si>
  <si>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</si>
  <si>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</si>
  <si>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</si>
  <si>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</si>
  <si>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</si>
  <si>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</si>
  <si>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</si>
  <si>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</si>
  <si>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</si>
  <si>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</si>
  <si>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</si>
  <si>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</si>
  <si>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</si>
  <si>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</si>
  <si>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</si>
  <si>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</si>
  <si>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</si>
  <si>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</si>
  <si>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</si>
  <si>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</si>
  <si>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</si>
  <si>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</si>
  <si>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</si>
  <si>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</si>
  <si>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</si>
  <si>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</si>
  <si>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</si>
  <si>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</si>
  <si>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</si>
  <si>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</si>
  <si>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</si>
  <si>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</si>
  <si>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</si>
  <si>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</si>
  <si>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</si>
  <si>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</si>
  <si>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</si>
  <si>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</si>
  <si>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</si>
  <si>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</si>
  <si>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</si>
  <si>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</si>
  <si>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</si>
  <si>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</si>
  <si>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</si>
  <si>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</si>
  <si>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</si>
  <si>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</si>
  <si>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</si>
  <si>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</si>
  <si>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</si>
  <si>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</si>
  <si>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</si>
  <si>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</si>
  <si>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</si>
  <si>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</si>
  <si>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</si>
  <si>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</si>
  <si>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</si>
  <si>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</si>
  <si>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</si>
  <si>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</si>
  <si>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</si>
  <si>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</si>
  <si>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</si>
  <si>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</si>
  <si>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</si>
  <si>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</si>
  <si>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</si>
  <si>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</si>
  <si>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</si>
  <si>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</si>
  <si>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</si>
  <si>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</si>
  <si>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</si>
  <si>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</si>
  <si>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</si>
  <si>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</si>
  <si>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</si>
  <si>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</si>
  <si>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</si>
  <si>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</si>
  <si>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</si>
  <si>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</si>
  <si>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</si>
  <si>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</si>
  <si>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</si>
  <si>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</si>
  <si>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</si>
  <si>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</si>
  <si>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</si>
  <si>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</si>
  <si>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</si>
  <si>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</si>
  <si>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</si>
  <si>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</si>
  <si>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</si>
  <si>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</si>
  <si>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</si>
  <si>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</si>
  <si>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</si>
  <si>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</si>
  <si>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</si>
  <si>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</si>
  <si>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</si>
  <si>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</si>
  <si>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</si>
  <si>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</si>
  <si>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</si>
  <si>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</si>
  <si>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</si>
  <si>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</si>
  <si>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</si>
  <si>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</si>
  <si>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</si>
  <si>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</si>
  <si>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</si>
  <si>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</si>
  <si>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</si>
  <si>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</si>
  <si>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</si>
  <si>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</si>
  <si>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</si>
  <si>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</si>
  <si>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</si>
  <si>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</si>
  <si>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</si>
  <si>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</si>
  <si>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</si>
  <si>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</si>
  <si>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</si>
  <si>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</si>
  <si>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</si>
  <si>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</si>
  <si>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</si>
  <si>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</si>
  <si>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</si>
  <si>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</si>
  <si>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</si>
  <si>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</si>
  <si>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</si>
  <si>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</si>
  <si>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</si>
  <si>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</si>
  <si>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</si>
  <si>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</si>
  <si>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</si>
  <si>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</si>
  <si>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</si>
  <si>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</si>
  <si>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</si>
  <si>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</si>
  <si>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</si>
  <si>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</si>
  <si>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</si>
  <si>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</si>
  <si>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</si>
  <si>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</si>
  <si>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</si>
  <si>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</si>
  <si>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</si>
  <si>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</si>
  <si>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</si>
  <si>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</si>
  <si>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</si>
  <si>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</si>
  <si>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</si>
  <si>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</si>
  <si>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</si>
  <si>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</si>
  <si>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</si>
  <si>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</si>
  <si>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</si>
  <si>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</si>
  <si>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</si>
  <si>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</si>
  <si>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</si>
  <si>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</si>
  <si>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</si>
  <si>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</si>
  <si>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</si>
  <si>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</si>
  <si>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</si>
  <si>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</si>
  <si>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</si>
  <si>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</si>
  <si>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</si>
  <si>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</si>
  <si>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</si>
  <si>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</si>
  <si>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</si>
  <si>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</si>
  <si>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</si>
  <si>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</si>
  <si>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</si>
  <si>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</si>
  <si>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</si>
  <si>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</si>
  <si>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</si>
  <si>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</si>
  <si>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</si>
  <si>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</si>
  <si>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</si>
  <si>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</si>
  <si>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</si>
  <si>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</si>
  <si>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</si>
  <si>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</si>
  <si>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</si>
  <si>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</si>
  <si>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</si>
  <si>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</si>
  <si>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</si>
  <si>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</si>
  <si>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</si>
  <si>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</si>
  <si>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</si>
  <si>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</si>
  <si>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</si>
  <si>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</si>
  <si>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</si>
  <si>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</si>
  <si>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</si>
  <si>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</si>
  <si>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</si>
  <si>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</si>
  <si>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</si>
  <si>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</si>
  <si>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</si>
  <si>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</si>
  <si>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</si>
  <si>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</si>
  <si>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</si>
  <si>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</si>
  <si>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</si>
  <si>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</si>
  <si>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</si>
  <si>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</si>
  <si>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</si>
  <si>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</si>
  <si>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</si>
  <si>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</si>
  <si>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</si>
  <si>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</si>
  <si>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</si>
  <si>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</si>
  <si>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</si>
  <si>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</si>
  <si>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</si>
  <si>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</si>
  <si>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</si>
  <si>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</si>
  <si>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</si>
  <si>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</si>
  <si>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</si>
  <si>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</si>
  <si>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</si>
  <si>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</si>
  <si>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</si>
  <si>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</si>
  <si>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</si>
  <si>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</si>
  <si>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</si>
  <si>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</si>
  <si>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</si>
  <si>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</si>
  <si>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</si>
  <si>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</si>
  <si>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</si>
  <si>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</si>
  <si>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</si>
  <si>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</si>
  <si>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</si>
  <si>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</si>
  <si>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</si>
  <si>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</si>
  <si>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</si>
  <si>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</si>
  <si>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</si>
  <si>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</si>
  <si>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</si>
  <si>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</si>
  <si>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</si>
  <si>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</si>
  <si>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</si>
  <si>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</si>
  <si>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</si>
  <si>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</si>
  <si>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</si>
  <si>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</si>
  <si>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</si>
  <si>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</si>
  <si>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</si>
  <si>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</si>
  <si>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</si>
  <si>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</si>
  <si>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</si>
  <si>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</si>
  <si>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</si>
  <si>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</si>
  <si>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</si>
  <si>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</si>
  <si>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</si>
  <si>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</si>
  <si>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</si>
  <si>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</si>
  <si>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</si>
  <si>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</si>
  <si>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</si>
  <si>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</si>
  <si>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</si>
  <si>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</si>
  <si>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</si>
  <si>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</si>
  <si>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</si>
  <si>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</si>
  <si>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</si>
  <si>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</si>
  <si>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</si>
  <si>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</si>
  <si>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</si>
  <si>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</si>
  <si>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</si>
  <si>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</si>
  <si>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</si>
  <si>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</si>
  <si>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</si>
  <si>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</si>
  <si>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</si>
  <si>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</si>
  <si>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</si>
  <si>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</si>
  <si>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</si>
  <si>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</si>
  <si>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</si>
  <si>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</si>
  <si>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</si>
  <si>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</si>
  <si>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</si>
  <si>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</si>
  <si>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</si>
  <si>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</si>
  <si>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</si>
  <si>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</si>
  <si>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</si>
  <si>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</si>
  <si>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</si>
  <si>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</si>
  <si>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</si>
  <si>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</si>
  <si>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</si>
  <si>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</si>
  <si>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</si>
  <si>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</si>
  <si>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</si>
  <si>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</si>
  <si>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</si>
  <si>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</si>
  <si>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</si>
  <si>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</si>
  <si>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</si>
  <si>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</si>
  <si>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</si>
  <si>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</si>
  <si>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</si>
  <si>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</si>
  <si>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</si>
  <si>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</si>
  <si>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</si>
  <si>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</si>
  <si>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</si>
  <si>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</si>
  <si>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</si>
  <si>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</si>
  <si>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</si>
  <si>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</si>
  <si>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</si>
  <si>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</si>
  <si>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</si>
  <si>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</si>
  <si>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</si>
  <si>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</si>
  <si>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</si>
  <si>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</si>
  <si>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</si>
  <si>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</si>
  <si>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</si>
  <si>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</si>
  <si>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</si>
  <si>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</si>
  <si>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</si>
  <si>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</si>
  <si>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</si>
  <si>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</si>
  <si>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</si>
  <si>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</si>
  <si>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</si>
  <si>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</si>
  <si>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</si>
  <si>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</si>
  <si>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</si>
  <si>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</si>
  <si>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</si>
  <si>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</si>
  <si>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</si>
  <si>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</si>
  <si>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</si>
  <si>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</si>
  <si>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</si>
  <si>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</si>
  <si>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</si>
  <si>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</si>
  <si>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</si>
  <si>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</si>
  <si>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</si>
  <si>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</si>
  <si>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</si>
  <si>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</si>
  <si>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</si>
  <si>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</si>
  <si>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</si>
  <si>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</si>
  <si>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</si>
  <si>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</si>
  <si>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</si>
  <si>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</si>
  <si>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</si>
  <si>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</si>
  <si>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</si>
  <si>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</si>
  <si>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</si>
  <si>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</si>
  <si>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</si>
  <si>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</si>
  <si>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</si>
  <si>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</si>
  <si>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</si>
  <si>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</si>
  <si>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</si>
  <si>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</si>
  <si>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</si>
  <si>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</si>
  <si>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</si>
  <si>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</si>
  <si>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</si>
  <si>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</si>
  <si>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</si>
  <si>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</si>
  <si>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</si>
  <si>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</si>
  <si>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</si>
  <si>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</si>
  <si>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</si>
  <si>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</si>
  <si>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</si>
  <si>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</si>
  <si>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</si>
  <si>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</si>
  <si>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</si>
  <si>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</si>
  <si>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</si>
  <si>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</si>
  <si>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</si>
  <si>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</si>
  <si>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</si>
  <si>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</si>
  <si>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</si>
  <si>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</si>
  <si>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</si>
  <si>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</si>
  <si>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</si>
  <si>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</si>
  <si>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</si>
  <si>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</si>
  <si>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</si>
  <si>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</si>
  <si>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</si>
  <si>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</si>
  <si>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</si>
  <si>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</si>
  <si>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</si>
  <si>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</si>
  <si>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</si>
  <si>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</si>
  <si>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</si>
  <si>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</si>
  <si>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</si>
  <si>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</si>
  <si>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</si>
  <si>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</si>
  <si>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</si>
  <si>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</si>
  <si>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</si>
  <si>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</si>
  <si>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</si>
  <si>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</si>
  <si>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</si>
  <si>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</si>
  <si>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</si>
  <si>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</si>
  <si>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</si>
  <si>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</si>
  <si>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</si>
  <si>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</si>
  <si>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</si>
  <si>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</si>
  <si>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</si>
  <si>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</si>
  <si>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</si>
  <si>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</si>
  <si>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</si>
  <si>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</si>
  <si>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</si>
  <si>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</si>
  <si>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</si>
  <si>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</si>
  <si>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</si>
  <si>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</si>
  <si>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</si>
  <si>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</si>
  <si>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</si>
  <si>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</si>
  <si>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</si>
  <si>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</si>
  <si>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</si>
  <si>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</si>
  <si>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</si>
  <si>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</si>
  <si>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</si>
  <si>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</si>
  <si>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</si>
  <si>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</si>
  <si>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</si>
  <si>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</si>
  <si>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</si>
  <si>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</si>
  <si>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</si>
  <si>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</si>
  <si>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</si>
  <si>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</si>
  <si>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</si>
  <si>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</si>
  <si>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</si>
  <si>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</si>
  <si>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</si>
  <si>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</si>
  <si>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</si>
  <si>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</si>
  <si>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</si>
  <si>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</si>
  <si>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</si>
  <si>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</si>
  <si>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</si>
  <si>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</si>
  <si>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</si>
  <si>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</si>
  <si>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</si>
  <si>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</si>
  <si>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</si>
  <si>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</si>
  <si>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</si>
  <si>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</si>
  <si>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</si>
  <si>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</si>
  <si>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</si>
  <si>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</si>
  <si>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</si>
  <si>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</si>
  <si>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</si>
  <si>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</si>
  <si>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</si>
  <si>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</si>
  <si>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</si>
  <si>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</si>
  <si>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</si>
  <si>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</si>
  <si>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</si>
  <si>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</si>
  <si>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</si>
  <si>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</si>
  <si>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</si>
  <si>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</si>
  <si>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</si>
  <si>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</si>
  <si>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</si>
  <si>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</si>
  <si>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</si>
  <si>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</si>
  <si>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</si>
  <si>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</si>
  <si>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</si>
  <si>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</si>
  <si>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</si>
  <si>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</si>
  <si>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</si>
  <si>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</si>
  <si>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</si>
  <si>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</si>
  <si>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</si>
  <si>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</si>
  <si>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</si>
  <si>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</si>
  <si>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</si>
  <si>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</si>
  <si>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</si>
  <si>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</si>
  <si>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</si>
  <si>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</si>
  <si>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</si>
  <si>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</si>
  <si>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</si>
  <si>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</si>
  <si>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</si>
  <si>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</si>
  <si>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</si>
  <si>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</si>
  <si>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</si>
  <si>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</si>
  <si>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</si>
  <si>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</si>
  <si>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</si>
  <si>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</si>
  <si>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</si>
  <si>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</si>
  <si>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</si>
  <si>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</si>
  <si>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</si>
  <si>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</si>
  <si>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</si>
  <si>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</si>
  <si>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</si>
  <si>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</si>
  <si>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</si>
  <si>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</si>
  <si>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</si>
  <si>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</si>
  <si>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</si>
  <si>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</si>
  <si>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</si>
  <si>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</si>
  <si>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</si>
  <si>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</si>
  <si>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</si>
  <si>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</si>
  <si>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</si>
  <si>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</si>
  <si>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</si>
  <si>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</si>
  <si>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</si>
  <si>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</si>
  <si>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</si>
  <si>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</si>
  <si>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</si>
  <si>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</si>
  <si>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</si>
  <si>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</si>
  <si>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</si>
  <si>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</si>
  <si>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</si>
  <si>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</si>
  <si>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</si>
  <si>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</si>
  <si>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</si>
  <si>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</si>
  <si>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</si>
  <si>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</si>
  <si>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</si>
  <si>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</si>
  <si>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</si>
  <si>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</si>
  <si>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</si>
  <si>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</si>
  <si>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</si>
  <si>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</si>
  <si>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</si>
  <si>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</si>
  <si>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</si>
  <si>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</si>
  <si>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</si>
  <si>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</si>
  <si>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</si>
  <si>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</si>
  <si>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</si>
  <si>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</si>
  <si>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</si>
  <si>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</si>
  <si>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</si>
  <si>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</si>
  <si>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</si>
  <si>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</si>
  <si>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</si>
  <si>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</si>
  <si>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</si>
  <si>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</si>
  <si>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</si>
  <si>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</si>
  <si>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</si>
  <si>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</si>
  <si>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</si>
  <si>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</si>
  <si>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</si>
  <si>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</si>
  <si>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</si>
  <si>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</si>
  <si>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</si>
  <si>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</si>
  <si>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</si>
  <si>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</si>
  <si>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</si>
  <si>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</si>
  <si>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</si>
  <si>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</si>
  <si>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</si>
  <si>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</si>
  <si>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</si>
  <si>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</si>
  <si>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</si>
  <si>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</si>
  <si>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</si>
  <si>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</si>
  <si>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</si>
  <si>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</si>
  <si>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</si>
  <si>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</si>
  <si>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</si>
  <si>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</si>
  <si>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</si>
  <si>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</si>
  <si>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</si>
  <si>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</si>
  <si>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</si>
  <si>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</si>
  <si>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</si>
  <si>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</si>
  <si>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</si>
  <si>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</si>
  <si>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</si>
  <si>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</si>
  <si>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</si>
  <si>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</si>
  <si>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</si>
  <si>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</si>
  <si>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</si>
  <si>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</si>
  <si>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</si>
  <si>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</si>
  <si>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</si>
  <si>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</si>
  <si>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</si>
  <si>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</si>
  <si>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</si>
  <si>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</si>
  <si>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</si>
  <si>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</si>
  <si>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</si>
  <si>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</si>
  <si>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</si>
  <si>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</si>
  <si>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</si>
  <si>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</si>
  <si>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</si>
  <si>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</si>
  <si>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</si>
  <si>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</si>
  <si>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</si>
  <si>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</si>
  <si>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</si>
  <si>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</si>
  <si>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</si>
  <si>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</si>
  <si>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</si>
  <si>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</si>
  <si>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</si>
  <si>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</si>
  <si>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</si>
  <si>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</si>
  <si>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</si>
  <si>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</si>
  <si>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</si>
  <si>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</si>
  <si>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</si>
  <si>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</si>
  <si>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</si>
  <si>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</si>
  <si>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</si>
  <si>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</si>
  <si>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</si>
  <si>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</si>
  <si>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</si>
  <si>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</si>
  <si>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</si>
  <si>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</si>
  <si>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</si>
  <si>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</si>
  <si>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</si>
  <si>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</si>
  <si>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</si>
  <si>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</si>
  <si>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</si>
  <si>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</si>
  <si>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</si>
  <si>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</si>
  <si>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</si>
  <si>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</si>
  <si>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</si>
  <si>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</si>
  <si>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</si>
  <si>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</si>
  <si>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</si>
  <si>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</si>
  <si>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</si>
  <si>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</si>
  <si>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</si>
  <si>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</si>
  <si>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</si>
  <si>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</si>
  <si>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</si>
  <si>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</si>
  <si>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</si>
  <si>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</si>
  <si>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</si>
  <si>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</si>
  <si>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</si>
  <si>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</si>
  <si>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</si>
  <si>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</si>
  <si>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</si>
  <si>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</si>
  <si>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</si>
  <si>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</si>
  <si>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</si>
  <si>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</si>
  <si>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</si>
  <si>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</si>
  <si>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</si>
  <si>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</si>
  <si>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</si>
  <si>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</si>
  <si>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</si>
  <si>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</si>
  <si>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</si>
  <si>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</si>
  <si>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</si>
  <si>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</si>
  <si>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</si>
  <si>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</si>
  <si>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</si>
  <si>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</si>
  <si>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</si>
  <si>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</si>
  <si>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</si>
  <si>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</si>
  <si>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</si>
  <si>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</si>
  <si>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</si>
  <si>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</si>
  <si>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</si>
  <si>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</si>
  <si>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</si>
  <si>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</si>
  <si>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</si>
  <si>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</si>
  <si>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</si>
  <si>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</si>
  <si>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</si>
  <si>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</si>
  <si>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</si>
  <si>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</si>
  <si>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</si>
  <si>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</si>
  <si>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</si>
  <si>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</si>
  <si>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</si>
  <si>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</si>
  <si>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</si>
  <si>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</si>
  <si>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</si>
  <si>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</si>
  <si>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</si>
  <si>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</si>
  <si>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</si>
  <si>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</si>
  <si>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</si>
  <si>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</si>
  <si>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</si>
  <si>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</si>
  <si>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</si>
  <si>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</si>
  <si>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</si>
  <si>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</si>
  <si>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</si>
  <si>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</si>
  <si>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</si>
  <si>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</si>
  <si>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</si>
  <si>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</si>
  <si>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</si>
  <si>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</si>
  <si>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</si>
  <si>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</si>
  <si>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</si>
  <si>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</si>
  <si>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</si>
  <si>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</si>
  <si>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</si>
  <si>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</si>
  <si>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</si>
  <si>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</si>
  <si>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</si>
  <si>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</si>
  <si>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</si>
  <si>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</si>
  <si>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</si>
  <si>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</si>
  <si>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</si>
  <si>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</si>
  <si>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</si>
  <si>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</si>
  <si>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</si>
  <si>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</si>
  <si>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</si>
  <si>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</si>
  <si>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</si>
  <si>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</si>
  <si>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</si>
  <si>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</si>
  <si>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</si>
  <si>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</si>
  <si>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</si>
  <si>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</si>
  <si>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</si>
  <si>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</si>
  <si>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</si>
  <si>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</si>
  <si>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</si>
  <si>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</si>
  <si>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</si>
  <si>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</si>
  <si>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</si>
  <si>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</si>
  <si>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</si>
  <si>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</si>
  <si>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</si>
  <si>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</si>
  <si>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</si>
  <si>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</si>
  <si>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</si>
  <si>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</si>
  <si>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</si>
  <si>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</si>
  <si>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</si>
  <si>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</si>
  <si>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</si>
  <si>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</si>
  <si>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</si>
  <si>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</si>
  <si>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</si>
  <si>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</si>
  <si>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</si>
  <si>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</si>
  <si>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</si>
  <si>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</si>
  <si>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</si>
  <si>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</si>
  <si>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</si>
  <si>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</si>
  <si>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</si>
  <si>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</si>
  <si>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</si>
  <si>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</si>
  <si>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</si>
  <si>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</si>
  <si>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</si>
  <si>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</si>
  <si>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</si>
  <si>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</si>
  <si>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</si>
  <si>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</si>
  <si>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</si>
  <si>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</si>
  <si>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</si>
  <si>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</si>
  <si>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</si>
  <si>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</si>
  <si>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</si>
  <si>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</si>
  <si>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</si>
  <si>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</si>
  <si>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</si>
  <si>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</si>
  <si>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</si>
  <si>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</si>
  <si>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</si>
  <si>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</si>
  <si>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</si>
  <si>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</si>
  <si>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</si>
  <si>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</si>
  <si>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</si>
  <si>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</si>
  <si>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</si>
  <si>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</si>
  <si>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</si>
  <si>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</si>
  <si>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</si>
  <si>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</si>
  <si>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</si>
  <si>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</si>
  <si>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</si>
  <si>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</si>
  <si>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</si>
  <si>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</si>
  <si>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</si>
  <si>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</si>
  <si>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</si>
  <si>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</si>
  <si>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</si>
  <si>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</si>
  <si>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</si>
  <si>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</si>
  <si>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</si>
  <si>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</si>
  <si>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</si>
  <si>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</si>
  <si>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</si>
  <si>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</si>
  <si>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</si>
  <si>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</si>
  <si>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</si>
  <si>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</si>
  <si>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</si>
  <si>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</si>
  <si>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</si>
  <si>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</si>
  <si>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</si>
  <si>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</si>
  <si>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</si>
  <si>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</si>
  <si>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</si>
  <si>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</si>
  <si>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</si>
  <si>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</si>
  <si>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</si>
  <si>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</si>
  <si>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</si>
  <si>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</si>
  <si>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</si>
  <si>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</si>
  <si>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</si>
  <si>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</si>
  <si>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</si>
  <si>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</si>
  <si>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</si>
  <si>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</si>
  <si>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</si>
  <si>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</si>
  <si>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</si>
  <si>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</si>
  <si>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</si>
  <si>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</si>
  <si>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</si>
  <si>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</si>
  <si>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</si>
  <si>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</si>
  <si>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</si>
  <si>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</si>
  <si>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</si>
  <si>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</si>
  <si>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</si>
  <si>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</si>
  <si>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</si>
  <si>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</si>
  <si>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</si>
  <si>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</si>
  <si>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</si>
  <si>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</si>
  <si>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</si>
  <si>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</si>
  <si>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</si>
  <si>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</si>
  <si>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</si>
  <si>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</si>
  <si>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</si>
  <si>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</si>
  <si>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</si>
  <si>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</si>
  <si>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</si>
  <si>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</si>
  <si>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</si>
  <si>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</si>
  <si>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</si>
  <si>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</si>
  <si>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</si>
  <si>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</si>
  <si>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</si>
  <si>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</si>
  <si>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</si>
  <si>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</si>
  <si>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</si>
  <si>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</si>
  <si>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</si>
  <si>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</si>
  <si>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</si>
  <si>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</si>
  <si>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</si>
  <si>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</si>
  <si>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</si>
  <si>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</si>
  <si>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</si>
  <si>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</si>
  <si>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</si>
  <si>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</si>
  <si>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</si>
  <si>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</si>
  <si>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</si>
  <si>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</si>
  <si>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</si>
  <si>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</si>
  <si>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</si>
  <si>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</si>
  <si>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</si>
  <si>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</si>
  <si>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</si>
  <si>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</si>
  <si>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</si>
  <si>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</si>
  <si>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</si>
  <si>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</si>
  <si>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</si>
  <si>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</si>
  <si>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</si>
  <si>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</si>
  <si>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</si>
  <si>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</si>
  <si>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</si>
  <si>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</si>
  <si>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</si>
  <si>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</si>
  <si>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</si>
  <si>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</si>
  <si>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</si>
  <si>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</si>
  <si>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</si>
  <si>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</si>
  <si>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</si>
  <si>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</si>
  <si>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</si>
  <si>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</si>
  <si>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</si>
  <si>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</si>
  <si>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</si>
  <si>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</si>
  <si>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</si>
  <si>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</si>
  <si>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</si>
  <si>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</si>
  <si>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</si>
  <si>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</si>
  <si>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</si>
  <si>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</si>
  <si>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</si>
  <si>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</si>
  <si>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</si>
  <si>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</si>
  <si>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</si>
  <si>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</si>
  <si>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</si>
  <si>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</si>
  <si>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</si>
  <si>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</si>
  <si>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</si>
  <si>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</si>
  <si>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</si>
  <si>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</si>
  <si>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</si>
  <si>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</si>
  <si>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</si>
  <si>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</si>
  <si>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</si>
  <si>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</si>
  <si>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</si>
  <si>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</si>
  <si>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</si>
  <si>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</si>
  <si>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</si>
  <si>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</si>
  <si>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</si>
  <si>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</si>
  <si>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</si>
  <si>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</si>
  <si>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</si>
  <si>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</si>
  <si>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</si>
  <si>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</si>
  <si>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</si>
  <si>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</si>
  <si>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</si>
  <si>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</si>
  <si>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</si>
  <si>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</si>
  <si>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</si>
  <si>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</si>
  <si>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</si>
  <si>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</si>
  <si>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</si>
  <si>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</si>
  <si>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</si>
  <si>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</si>
  <si>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</si>
  <si>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</si>
  <si>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</si>
  <si>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</si>
  <si>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</si>
  <si>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</si>
  <si>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</si>
  <si>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</si>
  <si>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</si>
  <si>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</si>
  <si>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</si>
  <si>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</si>
  <si>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</si>
  <si>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</si>
  <si>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</si>
  <si>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</si>
  <si>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</si>
  <si>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</si>
  <si>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</si>
  <si>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</si>
  <si>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</si>
  <si>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</si>
  <si>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</si>
  <si>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</si>
  <si>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</si>
  <si>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</si>
  <si>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</si>
  <si>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</si>
  <si>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</si>
  <si>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</si>
  <si>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</si>
  <si>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</si>
  <si>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</si>
  <si>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</si>
  <si>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</si>
  <si>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</si>
  <si>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</si>
  <si>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</si>
  <si>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</si>
  <si>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</si>
  <si>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</si>
  <si>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</si>
  <si>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</si>
  <si>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</si>
  <si>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</si>
  <si>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</si>
  <si>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</si>
  <si>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</si>
  <si>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</si>
  <si>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</si>
  <si>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</si>
  <si>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</si>
  <si>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</si>
  <si>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</si>
  <si>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</si>
  <si>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</si>
  <si>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</si>
  <si>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</si>
  <si>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</si>
  <si>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</si>
  <si>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</si>
  <si>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</si>
  <si>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</si>
  <si>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</si>
  <si>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</si>
  <si>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</si>
  <si>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</si>
  <si>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</si>
  <si>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</si>
  <si>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</si>
  <si>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</si>
  <si>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</si>
  <si>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</si>
  <si>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</si>
  <si>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</si>
  <si>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</si>
  <si>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</si>
  <si>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</si>
  <si>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</si>
  <si>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</si>
  <si>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</si>
  <si>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</si>
  <si>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</si>
  <si>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</si>
  <si>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</si>
  <si>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</si>
  <si>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</si>
  <si>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</si>
  <si>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</si>
  <si>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</si>
  <si>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</si>
  <si>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</si>
  <si>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</si>
  <si>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</si>
  <si>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</si>
  <si>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</si>
  <si>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</si>
  <si>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</si>
  <si>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</si>
  <si>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</si>
  <si>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</si>
  <si>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</si>
  <si>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</si>
  <si>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</si>
  <si>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</si>
  <si>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</si>
  <si>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</si>
  <si>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</si>
  <si>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</si>
  <si>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</si>
  <si>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</si>
  <si>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</si>
  <si>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</si>
  <si>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</si>
  <si>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</si>
  <si>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</si>
  <si>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</si>
  <si>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</si>
  <si>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</si>
  <si>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</si>
  <si>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</si>
  <si>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</si>
  <si>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</si>
  <si>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</si>
  <si>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</si>
  <si>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</si>
  <si>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</si>
  <si>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</si>
  <si>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</si>
  <si>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</si>
  <si>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</si>
  <si>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</si>
  <si>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</si>
  <si>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</si>
  <si>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</si>
  <si>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</si>
  <si>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</si>
  <si>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</si>
  <si>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</si>
  <si>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</si>
  <si>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</si>
  <si>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</si>
  <si>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</si>
  <si>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</si>
  <si>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</si>
  <si>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</si>
  <si>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</si>
  <si>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</si>
  <si>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</si>
  <si>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</si>
  <si>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</si>
  <si>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</si>
  <si>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</si>
  <si>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</si>
  <si>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</si>
  <si>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</si>
  <si>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</si>
  <si>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</si>
  <si>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</si>
  <si>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</si>
  <si>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</si>
  <si>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</si>
  <si>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</si>
  <si>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</si>
  <si>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</si>
  <si>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</si>
  <si>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</si>
  <si>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</si>
  <si>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</si>
  <si>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</si>
  <si>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</si>
  <si>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</si>
  <si>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</si>
  <si>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</si>
  <si>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</si>
  <si>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</si>
  <si>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</si>
  <si>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</si>
  <si>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</si>
  <si>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</si>
  <si>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</si>
  <si>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</si>
  <si>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</si>
  <si>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</si>
  <si>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</si>
  <si>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</si>
  <si>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</si>
  <si>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</si>
  <si>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</si>
  <si>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</si>
  <si>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</si>
  <si>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</si>
  <si>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</si>
  <si>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</si>
  <si>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</si>
  <si>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</si>
  <si>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</si>
  <si>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</si>
  <si>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</si>
  <si>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</si>
  <si>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</si>
  <si>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</si>
  <si>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</si>
  <si>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</si>
  <si>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</si>
  <si>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</si>
  <si>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</si>
  <si>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</si>
  <si>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</si>
  <si>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</si>
  <si>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</si>
  <si>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</si>
  <si>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</si>
  <si>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</si>
  <si>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</si>
  <si>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</si>
  <si>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</si>
  <si>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</si>
  <si>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</si>
  <si>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</si>
  <si>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</si>
  <si>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</si>
  <si>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</si>
  <si>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</si>
  <si>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</si>
  <si>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</si>
  <si>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</si>
  <si>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</si>
  <si>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</si>
  <si>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</si>
  <si>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</si>
  <si>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</si>
  <si>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</si>
  <si>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</si>
  <si>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</si>
  <si>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</si>
  <si>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</si>
  <si>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</si>
  <si>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</si>
  <si>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</si>
  <si>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</si>
  <si>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</si>
  <si>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</si>
  <si>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</si>
  <si>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</si>
  <si>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</si>
  <si>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</si>
  <si>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</si>
  <si>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</si>
  <si>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</si>
  <si>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</si>
  <si>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</si>
  <si>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</si>
  <si>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</si>
  <si>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</si>
  <si>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</si>
  <si>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</si>
  <si>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</si>
  <si>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</si>
  <si>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</si>
  <si>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</si>
  <si>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</si>
  <si>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</si>
  <si>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</si>
  <si>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</si>
  <si>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</si>
  <si>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</si>
  <si>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</si>
  <si>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</si>
  <si>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</si>
  <si>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</si>
  <si>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</si>
  <si>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</si>
  <si>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</si>
  <si>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</si>
  <si>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</si>
  <si>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</si>
  <si>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</si>
  <si>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</si>
  <si>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</si>
  <si>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</si>
  <si>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</si>
  <si>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</si>
  <si>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</si>
  <si>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</si>
  <si>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</si>
  <si>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</si>
  <si>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</si>
  <si>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</si>
  <si>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</si>
  <si>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</si>
  <si>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</si>
  <si>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</si>
  <si>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</si>
  <si>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</si>
  <si>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</si>
  <si>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</si>
  <si>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</si>
  <si>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</si>
  <si>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</si>
  <si>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</si>
  <si>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</si>
  <si>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</si>
  <si>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</si>
  <si>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</si>
  <si>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</si>
  <si>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</si>
  <si>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</si>
  <si>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</si>
  <si>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</si>
  <si>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</si>
  <si>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</si>
  <si>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</si>
  <si>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</si>
  <si>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</si>
  <si>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</si>
  <si>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</si>
  <si>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</si>
  <si>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</si>
  <si>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</si>
  <si>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</si>
  <si>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</si>
  <si>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</si>
  <si>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</si>
  <si>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</si>
  <si>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</si>
  <si>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</si>
  <si>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</si>
  <si>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</si>
  <si>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</si>
  <si>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</si>
  <si>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</si>
  <si>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</si>
  <si>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</si>
  <si>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</si>
  <si>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</si>
  <si>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</si>
  <si>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</si>
  <si>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</si>
  <si>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</si>
  <si>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</si>
  <si>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</si>
  <si>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</si>
  <si>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</si>
  <si>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</si>
  <si>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</si>
  <si>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</si>
  <si>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</si>
  <si>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</si>
  <si>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</si>
  <si>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</si>
  <si>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</si>
  <si>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</si>
  <si>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</si>
  <si>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</si>
  <si>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</si>
  <si>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</si>
  <si>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</si>
  <si>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</si>
  <si>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</si>
  <si>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</si>
  <si>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</si>
  <si>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</si>
  <si>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</si>
  <si>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</si>
  <si>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</si>
  <si>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</si>
  <si>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</si>
  <si>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</si>
  <si>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</si>
  <si>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</si>
  <si>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</si>
  <si>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</si>
  <si>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</si>
  <si>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</si>
  <si>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</si>
  <si>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</si>
  <si>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</si>
  <si>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</si>
  <si>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</si>
  <si>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</si>
  <si>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</si>
  <si>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</si>
  <si>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</si>
  <si>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</si>
  <si>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</si>
  <si>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</si>
  <si>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</si>
  <si>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</si>
  <si>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</si>
  <si>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</si>
  <si>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</si>
  <si>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</si>
  <si>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</si>
  <si>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</si>
  <si>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</si>
  <si>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</si>
  <si>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</si>
  <si>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</si>
  <si>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</si>
  <si>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</si>
  <si>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</si>
  <si>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</si>
  <si>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</si>
  <si>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</si>
  <si>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</si>
  <si>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</si>
  <si>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</si>
  <si>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</si>
  <si>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</si>
  <si>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</si>
  <si>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</si>
  <si>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</si>
  <si>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</si>
  <si>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</si>
  <si>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</si>
  <si>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</si>
  <si>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</si>
  <si>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</si>
  <si>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</si>
  <si>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</si>
  <si>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</si>
  <si>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</si>
  <si>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</si>
  <si>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</si>
  <si>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</si>
  <si>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</si>
  <si>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</si>
  <si>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</si>
  <si>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</si>
  <si>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</si>
  <si>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</si>
  <si>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</si>
  <si>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</si>
  <si>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</si>
  <si>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</si>
  <si>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</si>
  <si>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</si>
  <si>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</si>
  <si>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</si>
  <si>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</si>
  <si>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</si>
  <si>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</si>
  <si>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</si>
  <si>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</si>
  <si>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</si>
  <si>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</si>
  <si>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</si>
  <si>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</si>
  <si>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</si>
  <si>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</si>
  <si>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</si>
  <si>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</si>
  <si>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</si>
  <si>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</si>
  <si>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</si>
  <si>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</si>
  <si>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</si>
  <si>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</si>
  <si>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</si>
  <si>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</si>
  <si>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</si>
  <si>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</si>
  <si>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</si>
  <si>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</si>
  <si>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</si>
  <si>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</si>
  <si>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</si>
  <si>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</si>
  <si>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</si>
  <si>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</si>
  <si>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</si>
  <si>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</si>
  <si>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</si>
  <si>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</si>
  <si>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</si>
  <si>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</si>
  <si>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</si>
  <si>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</si>
  <si>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</si>
  <si>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</si>
  <si>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</si>
  <si>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</si>
  <si>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</si>
  <si>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</si>
  <si>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</si>
  <si>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</si>
  <si>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</si>
  <si>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</si>
  <si>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</si>
  <si>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</si>
  <si>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</si>
  <si>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</si>
  <si>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</si>
  <si>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</si>
  <si>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</si>
  <si>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</si>
  <si>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</si>
  <si>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</si>
  <si>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</si>
  <si>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</si>
  <si>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</si>
  <si>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</si>
  <si>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</si>
  <si>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</si>
  <si>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</si>
  <si>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</si>
  <si>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</si>
  <si>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</si>
  <si>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</si>
  <si>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</si>
  <si>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</si>
  <si>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</si>
  <si>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</si>
  <si>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</si>
  <si>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</si>
  <si>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</si>
  <si>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</si>
  <si>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</si>
  <si>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</si>
  <si>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</si>
  <si>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</si>
  <si>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</si>
  <si>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</si>
  <si>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</si>
  <si>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</si>
  <si>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</si>
  <si>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</si>
  <si>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</si>
  <si>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</si>
  <si>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</si>
  <si>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</si>
  <si>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</si>
  <si>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</si>
  <si>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</si>
  <si>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</si>
  <si>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</si>
  <si>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</si>
  <si>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</si>
  <si>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</si>
  <si>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</si>
  <si>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</si>
  <si>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</si>
  <si>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</si>
  <si>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</si>
  <si>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</si>
  <si>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</si>
  <si>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</si>
  <si>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</si>
  <si>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</si>
  <si>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</si>
  <si>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</si>
  <si>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</si>
  <si>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</si>
  <si>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</si>
  <si>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</si>
  <si>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</si>
  <si>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</si>
  <si>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</si>
  <si>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</si>
  <si>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</si>
  <si>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</si>
  <si>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</si>
  <si>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</si>
  <si>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</si>
  <si>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</si>
  <si>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</si>
  <si>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</si>
  <si>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</si>
  <si>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</si>
  <si>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</si>
  <si>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</si>
  <si>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</si>
  <si>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</si>
  <si>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</si>
  <si>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</si>
  <si>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</si>
  <si>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</si>
  <si>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</si>
  <si>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</si>
  <si>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</si>
  <si>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</si>
  <si>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</si>
  <si>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</si>
  <si>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</si>
  <si>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</si>
  <si>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</si>
  <si>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</si>
  <si>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</si>
  <si>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</si>
  <si>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</si>
  <si>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</si>
  <si>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</si>
  <si>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</si>
  <si>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</si>
  <si>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</si>
  <si>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</si>
  <si>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</si>
  <si>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</si>
  <si>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</si>
  <si>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</si>
  <si>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</si>
  <si>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</si>
  <si>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</si>
  <si>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</si>
  <si>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</si>
  <si>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</si>
  <si>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</si>
  <si>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</si>
  <si>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</si>
  <si>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</si>
  <si>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</si>
  <si>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</si>
  <si>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</si>
  <si>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</si>
  <si>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</si>
  <si>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</si>
  <si>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</si>
  <si>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</si>
  <si>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</si>
  <si>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</si>
  <si>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</si>
  <si>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</si>
  <si>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</si>
  <si>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</si>
  <si>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</si>
  <si>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</si>
  <si>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</si>
  <si>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</si>
  <si>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</si>
  <si>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</si>
  <si>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</si>
  <si>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</si>
  <si>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</si>
  <si>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</si>
  <si>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</si>
  <si>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</si>
  <si>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</si>
  <si>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</si>
  <si>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</si>
  <si>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</si>
  <si>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</si>
  <si>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</si>
  <si>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</si>
  <si>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</si>
  <si>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</si>
  <si>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</si>
  <si>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</si>
  <si>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</si>
  <si>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</si>
  <si>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</si>
  <si>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</si>
  <si>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</si>
  <si>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</si>
  <si>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</si>
  <si>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</si>
  <si>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</si>
  <si>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</si>
  <si>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</si>
  <si>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</si>
  <si>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</si>
  <si>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</si>
  <si>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</si>
  <si>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</si>
  <si>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</si>
  <si>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</si>
  <si>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</si>
  <si>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</si>
  <si>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</si>
  <si>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</si>
  <si>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</si>
  <si>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</si>
  <si>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</si>
  <si>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</si>
  <si>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</si>
  <si>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</si>
  <si>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</si>
  <si>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</si>
  <si>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</si>
  <si>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</si>
  <si>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</si>
  <si>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</si>
  <si>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</si>
  <si>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</si>
  <si>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</si>
  <si>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</si>
  <si>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</si>
  <si>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</si>
  <si>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</si>
  <si>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</si>
  <si>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</si>
  <si>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</si>
  <si>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</si>
  <si>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</si>
  <si>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</si>
  <si>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</si>
  <si>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</si>
  <si>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</si>
  <si>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</si>
  <si>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</si>
  <si>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</si>
  <si>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</si>
  <si>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</si>
  <si>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</si>
  <si>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</si>
  <si>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</si>
  <si>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</si>
  <si>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</si>
  <si>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</si>
  <si>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</si>
  <si>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</si>
  <si>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</si>
  <si>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</si>
  <si>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</si>
  <si>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</si>
  <si>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</si>
  <si>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</si>
  <si>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</si>
  <si>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</si>
  <si>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</si>
  <si>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</si>
  <si>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</si>
  <si>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</si>
  <si>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</si>
  <si>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</si>
  <si>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</si>
  <si>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</si>
  <si>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</si>
  <si>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</si>
  <si>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</si>
  <si>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</si>
  <si>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</si>
  <si>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</si>
  <si>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</si>
  <si>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</si>
  <si>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</si>
  <si>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</si>
  <si>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</si>
  <si>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</si>
  <si>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</si>
  <si>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</si>
  <si>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</si>
  <si>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</si>
  <si>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</si>
  <si>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</si>
  <si>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</si>
  <si>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</si>
  <si>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</si>
  <si>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</si>
  <si>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</si>
  <si>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</si>
  <si>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</si>
  <si>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</si>
  <si>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</si>
  <si>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</si>
  <si>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</si>
  <si>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</si>
  <si>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</si>
  <si>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</si>
  <si>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</si>
  <si>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</si>
  <si>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</si>
  <si>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</si>
  <si>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</si>
  <si>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</si>
  <si>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</si>
  <si>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</si>
  <si>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</si>
  <si>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</si>
  <si>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</si>
  <si>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</si>
  <si>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</si>
  <si>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</si>
  <si>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</si>
  <si>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</si>
  <si>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</si>
  <si>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</si>
  <si>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</si>
  <si>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</si>
  <si>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</si>
  <si>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</si>
  <si>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</si>
  <si>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</si>
  <si>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</si>
  <si>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</si>
  <si>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</si>
  <si>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</si>
  <si>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</si>
  <si>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</si>
  <si>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</si>
  <si>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</si>
  <si>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</si>
  <si>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</si>
  <si>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</si>
  <si>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</si>
  <si>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</si>
  <si>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</si>
  <si>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</si>
  <si>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</si>
  <si>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</si>
  <si>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</si>
  <si>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</si>
  <si>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</si>
  <si>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</si>
  <si>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</si>
  <si>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</si>
  <si>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</si>
  <si>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</si>
  <si>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</si>
  <si>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</si>
  <si>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</si>
  <si>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</si>
  <si>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</si>
  <si>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</si>
  <si>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</si>
  <si>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</si>
  <si>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</si>
  <si>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</si>
  <si>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</si>
  <si>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</si>
  <si>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</si>
  <si>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</si>
  <si>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</si>
  <si>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</si>
  <si>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</si>
  <si>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</si>
  <si>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</si>
  <si>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</si>
  <si>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</si>
  <si>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</si>
  <si>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</si>
  <si>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</si>
  <si>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</si>
  <si>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</si>
  <si>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</si>
  <si>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</si>
  <si>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</si>
  <si>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</si>
  <si>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</si>
  <si>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</si>
  <si>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</si>
  <si>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</si>
  <si>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</si>
  <si>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</si>
  <si>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</si>
  <si>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</si>
  <si>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</si>
  <si>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</si>
  <si>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</si>
  <si>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</si>
  <si>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</si>
  <si>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</si>
  <si>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</si>
  <si>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</si>
  <si>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</si>
  <si>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</si>
  <si>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</si>
  <si>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</si>
  <si>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</si>
  <si>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</si>
  <si>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</si>
  <si>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</si>
  <si>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</si>
  <si>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</si>
  <si>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</si>
  <si>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</si>
  <si>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</si>
  <si>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</si>
  <si>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</si>
  <si>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</si>
  <si>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</si>
  <si>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</si>
  <si>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</si>
  <si>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</si>
  <si>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</si>
  <si>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</si>
  <si>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</si>
  <si>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</si>
  <si>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</si>
  <si>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</si>
  <si>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</si>
  <si>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</si>
  <si>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</si>
  <si>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</si>
  <si>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</si>
  <si>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</si>
  <si>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</si>
  <si>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</si>
  <si>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</si>
  <si>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</si>
  <si>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</si>
  <si>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</si>
  <si>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</si>
  <si>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</si>
  <si>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</si>
  <si>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</si>
  <si>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</si>
  <si>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</si>
  <si>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</si>
  <si>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</si>
  <si>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</si>
  <si>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</si>
  <si>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</si>
  <si>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</si>
  <si>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</si>
  <si>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</si>
  <si>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</si>
  <si>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</si>
  <si>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</si>
  <si>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</si>
  <si>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</si>
  <si>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</si>
  <si>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</si>
  <si>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</si>
  <si>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</si>
  <si>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</si>
  <si>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</si>
  <si>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</si>
  <si>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</si>
  <si>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</si>
  <si>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</si>
  <si>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</si>
  <si>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</si>
  <si>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</si>
  <si>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</si>
  <si>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</si>
  <si>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</si>
  <si>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</si>
  <si>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</si>
  <si>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</si>
  <si>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</si>
  <si>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</si>
  <si>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</si>
  <si>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</si>
  <si>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</si>
  <si>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</si>
  <si>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</si>
  <si>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</si>
  <si>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</si>
  <si>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</si>
  <si>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</si>
  <si>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</si>
  <si>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</si>
  <si>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</si>
  <si>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</si>
  <si>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</si>
  <si>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</si>
  <si>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</si>
  <si>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</si>
  <si>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</si>
  <si>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</si>
  <si>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</si>
  <si>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</si>
  <si>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</si>
  <si>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</si>
  <si>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</si>
  <si>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</si>
  <si>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</si>
  <si>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</si>
  <si>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</si>
  <si>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</si>
  <si>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</si>
  <si>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</si>
  <si>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</si>
  <si>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</si>
  <si>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</si>
  <si>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</si>
  <si>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</si>
  <si>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</si>
  <si>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</si>
  <si>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</si>
  <si>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</si>
  <si>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</si>
  <si>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</si>
  <si>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</si>
  <si>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</si>
  <si>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</si>
  <si>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</si>
  <si>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</si>
  <si>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</si>
  <si>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</si>
  <si>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</si>
  <si>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</si>
  <si>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</si>
  <si>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</si>
  <si>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</si>
  <si>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</si>
  <si>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</si>
  <si>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</si>
  <si>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</si>
  <si>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</si>
  <si>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</si>
  <si>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</si>
  <si>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</si>
  <si>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</si>
  <si>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</si>
  <si>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</si>
  <si>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</si>
  <si>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</si>
  <si>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</si>
  <si>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</si>
  <si>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</si>
  <si>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</si>
  <si>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</si>
  <si>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</si>
  <si>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</si>
  <si>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</si>
  <si>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</si>
  <si>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</si>
  <si>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</si>
  <si>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</si>
  <si>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</si>
  <si>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</si>
  <si>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</si>
  <si>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</si>
  <si>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</si>
  <si>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</si>
  <si>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</si>
  <si>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</si>
  <si>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</si>
  <si>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</si>
  <si>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</si>
  <si>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</si>
  <si>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</si>
  <si>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</si>
  <si>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</si>
  <si>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</si>
  <si>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</si>
  <si>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</si>
  <si>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</si>
  <si>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</si>
  <si>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</si>
  <si>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</si>
  <si>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</si>
  <si>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</si>
  <si>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</si>
  <si>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</si>
  <si>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</si>
  <si>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</si>
  <si>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</si>
  <si>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</si>
  <si>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</si>
  <si>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</si>
  <si>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</si>
  <si>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</si>
  <si>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</si>
  <si>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</si>
  <si>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</si>
  <si>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</si>
  <si>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</si>
  <si>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</si>
  <si>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</si>
  <si>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</si>
  <si>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</si>
  <si>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</si>
  <si>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</si>
  <si>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</si>
  <si>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</si>
  <si>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</si>
  <si>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</si>
  <si>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</si>
  <si>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</si>
  <si>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</si>
  <si>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</si>
  <si>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</si>
  <si>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</si>
  <si>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</si>
  <si>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</si>
  <si>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</si>
  <si>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</si>
  <si>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</si>
  <si>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</si>
  <si>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</si>
  <si>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</si>
  <si>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</si>
  <si>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</si>
  <si>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</si>
  <si>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</si>
  <si>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</si>
  <si>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</si>
  <si>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</si>
  <si>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</si>
  <si>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</si>
  <si>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</si>
  <si>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</si>
  <si>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</si>
  <si>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</si>
  <si>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</si>
  <si>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</si>
  <si>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</si>
  <si>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</si>
  <si>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</si>
  <si>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</si>
  <si>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</si>
  <si>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</si>
  <si>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</si>
  <si>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</si>
  <si>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</si>
  <si>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</si>
  <si>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</si>
  <si>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</si>
  <si>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</si>
  <si>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</si>
  <si>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</si>
  <si>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</si>
  <si>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</si>
  <si>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</si>
  <si>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</si>
  <si>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</si>
  <si>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</si>
  <si>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</si>
  <si>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</si>
  <si>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</si>
  <si>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</si>
  <si>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</si>
  <si>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</si>
  <si>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</si>
  <si>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</si>
  <si>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</si>
  <si>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</si>
  <si>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</si>
  <si>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</si>
  <si>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</si>
  <si>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</si>
  <si>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</si>
  <si>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</si>
  <si>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</si>
  <si>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</si>
  <si>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</si>
  <si>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</si>
  <si>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</si>
  <si>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</si>
  <si>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</si>
  <si>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</si>
  <si>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</si>
  <si>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</si>
  <si>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</si>
  <si>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</si>
  <si>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</si>
  <si>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</si>
  <si>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</si>
  <si>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</si>
  <si>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</si>
  <si>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</si>
  <si>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</si>
  <si>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</si>
  <si>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</si>
  <si>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</si>
  <si>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</si>
  <si>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</si>
  <si>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</si>
  <si>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</si>
  <si>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</si>
  <si>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</si>
  <si>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</si>
  <si>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</si>
  <si>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</si>
  <si>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</si>
  <si>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</si>
  <si>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</si>
  <si>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</si>
  <si>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</si>
  <si>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</si>
  <si>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</si>
  <si>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</si>
  <si>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</si>
  <si>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</si>
  <si>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</si>
  <si>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</si>
  <si>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</si>
  <si>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</si>
  <si>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</si>
  <si>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</si>
  <si>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</si>
  <si>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</si>
  <si>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</si>
  <si>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</si>
  <si>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</si>
  <si>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</si>
  <si>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</si>
  <si>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</si>
  <si>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</si>
  <si>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</si>
  <si>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</si>
  <si>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</si>
  <si>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</si>
  <si>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</si>
  <si>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</si>
  <si>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</si>
  <si>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</si>
  <si>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</si>
  <si>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</si>
  <si>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</si>
  <si>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</si>
  <si>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</si>
  <si>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</si>
  <si>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</si>
  <si>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</si>
  <si>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</si>
  <si>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</si>
  <si>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</si>
  <si>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</si>
  <si>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</si>
  <si>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</si>
  <si>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</si>
  <si>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</si>
  <si>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</si>
  <si>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</si>
  <si>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</si>
  <si>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</si>
  <si>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</si>
  <si>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</si>
  <si>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</si>
  <si>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</si>
  <si>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</si>
  <si>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</si>
  <si>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</si>
  <si>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</si>
  <si>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</si>
  <si>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</si>
  <si>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</si>
  <si>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</si>
  <si>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</si>
  <si>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</si>
  <si>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</si>
  <si>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</si>
  <si>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</si>
  <si>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</si>
  <si>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</si>
  <si>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</si>
  <si>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</si>
  <si>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</si>
  <si>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</si>
  <si>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</si>
  <si>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</si>
  <si>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</si>
  <si>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</si>
  <si>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</si>
  <si>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</si>
  <si>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</si>
  <si>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</si>
  <si>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</si>
  <si>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</si>
  <si>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</si>
  <si>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</si>
  <si>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</si>
  <si>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</si>
  <si>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</si>
  <si>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</si>
  <si>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</si>
  <si>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</si>
  <si>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</si>
  <si>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</si>
  <si>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</si>
  <si>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</si>
  <si>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</si>
  <si>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</si>
  <si>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</si>
  <si>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</si>
  <si>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</si>
  <si>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</si>
  <si>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</si>
  <si>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</si>
  <si>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</si>
  <si>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</si>
  <si>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</si>
  <si>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</si>
  <si>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</si>
  <si>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</si>
  <si>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</si>
  <si>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</si>
  <si>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</si>
  <si>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</si>
  <si>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</si>
  <si>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</si>
  <si>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</si>
  <si>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</si>
  <si>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</si>
  <si>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</si>
  <si>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</si>
  <si>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</si>
  <si>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</si>
  <si>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</si>
  <si>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</si>
  <si>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</si>
  <si>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</si>
  <si>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</si>
  <si>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</si>
  <si>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</si>
  <si>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</si>
  <si>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</si>
  <si>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phoneticPr fontId="134" type="noConversion"/>
  </si>
  <si>
    <t>地址</t>
    <phoneticPr fontId="134" type="noConversion"/>
  </si>
  <si>
    <t>面积</t>
    <phoneticPr fontId="134" type="noConversion"/>
  </si>
  <si>
    <t>朝阳区建外永安东里甲3号院2号楼1层0102</t>
    <phoneticPr fontId="134" type="noConversion"/>
  </si>
  <si>
    <t>朝阳区建外永安东里甲3号院2号楼1层0103</t>
    <phoneticPr fontId="134" type="noConversion"/>
  </si>
  <si>
    <t>朝阳区建外永安东里甲3号院2号楼1层0104</t>
    <phoneticPr fontId="134" type="noConversion"/>
  </si>
  <si>
    <t>朝阳区建外永安东里甲3号院2号楼1层0105</t>
    <phoneticPr fontId="134" type="noConversion"/>
  </si>
  <si>
    <t>朝阳区建外永安东里甲3号院2号楼1层0106</t>
    <phoneticPr fontId="134" type="noConversion"/>
  </si>
  <si>
    <t>朝阳区建外永安东里甲3号院2号楼1层0107</t>
    <phoneticPr fontId="134" type="noConversion"/>
  </si>
  <si>
    <t>朝阳区建外永安东里甲3号院2号楼2层0201</t>
    <phoneticPr fontId="134" type="noConversion"/>
  </si>
  <si>
    <t>朝阳区建外永安东里甲3号院2号楼2层0202</t>
    <phoneticPr fontId="134" type="noConversion"/>
  </si>
  <si>
    <t>朝阳区建外永安东里甲3号院2号楼3层0301</t>
    <phoneticPr fontId="134" type="noConversion"/>
  </si>
  <si>
    <t>朝阳区建外永安东里甲3号院2号楼3层0302</t>
    <phoneticPr fontId="134" type="noConversion"/>
  </si>
  <si>
    <t>朝阳区建外永安东里甲3号院2号楼3层0303</t>
    <phoneticPr fontId="134" type="noConversion"/>
  </si>
  <si>
    <t>朝阳区建外永安东里甲3号院2号楼3层0304</t>
    <phoneticPr fontId="134" type="noConversion"/>
  </si>
  <si>
    <t>朝阳区建外永安东里甲3号院2号楼3层0305</t>
    <phoneticPr fontId="134" type="noConversion"/>
  </si>
  <si>
    <t>朝阳区建外永安东里甲3号院2号楼3层0306</t>
    <phoneticPr fontId="134" type="noConversion"/>
  </si>
  <si>
    <t>用途</t>
    <phoneticPr fontId="134" type="noConversion"/>
  </si>
  <si>
    <t>办公</t>
    <phoneticPr fontId="134" type="noConversion"/>
  </si>
  <si>
    <t>朝阳区建外永安东里甲3号院2号楼3层0307</t>
    <phoneticPr fontId="134" type="noConversion"/>
  </si>
  <si>
    <t>朝阳区建外永安东里甲3号院2号楼3层0308</t>
    <phoneticPr fontId="134" type="noConversion"/>
  </si>
  <si>
    <t>朝阳区建外永安东里甲3号院2号楼3层0309</t>
    <phoneticPr fontId="134" type="noConversion"/>
  </si>
  <si>
    <t>朝阳区建外永安东里甲3号院2号楼3层0310</t>
    <phoneticPr fontId="134" type="noConversion"/>
  </si>
  <si>
    <t>朝阳区建外永安东里甲3号院2号楼3层0311</t>
    <phoneticPr fontId="134" type="noConversion"/>
  </si>
  <si>
    <t>朝阳区建外永安东里甲3号院2号楼3层0312</t>
    <phoneticPr fontId="134" type="noConversion"/>
  </si>
  <si>
    <t>朝阳区建外永安东里甲3号院2号楼3层0313</t>
    <phoneticPr fontId="134" type="noConversion"/>
  </si>
  <si>
    <t>朝阳区建外永安东里甲3号院2号楼3层0314</t>
    <phoneticPr fontId="134" type="noConversion"/>
  </si>
  <si>
    <t>朝阳区建外永安东里甲3号院2号楼3层0315</t>
    <phoneticPr fontId="134" type="noConversion"/>
  </si>
  <si>
    <t>朝阳区建外永安东里甲3号院2号楼4层0401</t>
    <phoneticPr fontId="134" type="noConversion"/>
  </si>
  <si>
    <t>朝阳区建外永安东里甲3号院2号楼4层0402</t>
    <phoneticPr fontId="134" type="noConversion"/>
  </si>
  <si>
    <r>
      <t>朝阳区建外永安东里甲3号院</t>
    </r>
    <r>
      <rPr>
        <sz val="11"/>
        <color theme="1"/>
        <rFont val="宋体"/>
        <family val="3"/>
        <charset val="134"/>
        <scheme val="minor"/>
      </rPr>
      <t>2号楼1层0101</t>
    </r>
    <phoneticPr fontId="134" type="noConversion"/>
  </si>
  <si>
    <t>朝阳区建外永安东里甲3号院2号楼5层0501</t>
    <phoneticPr fontId="134" type="noConversion"/>
  </si>
  <si>
    <t>地上</t>
  </si>
  <si>
    <t>是</t>
  </si>
  <si>
    <t>办公</t>
    <phoneticPr fontId="7" type="noConversion"/>
  </si>
  <si>
    <t>成新度</t>
  </si>
  <si>
    <t>收益法</t>
  </si>
  <si>
    <t>商务金融用地</t>
  </si>
  <si>
    <t>自定义容积率</t>
  </si>
  <si>
    <t>与级别开发程度一致</t>
  </si>
  <si>
    <t>较好</t>
  </si>
  <si>
    <t>一般</t>
  </si>
  <si>
    <t>好</t>
  </si>
  <si>
    <t>未包含在土地购买价格中</t>
  </si>
  <si>
    <t>全部缴纳</t>
  </si>
  <si>
    <t>已包含在土地取得成本中</t>
  </si>
  <si>
    <t>押一</t>
  </si>
  <si>
    <t>钢混</t>
  </si>
  <si>
    <t>非生产用房</t>
  </si>
  <si>
    <t>否</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</si>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</sst>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333375</xdr:colOff>
      <xdr:row>1</xdr:row>
      <xdr:rowOff>0</xdr:rowOff>
    </xdr:from>
    <xdr:to>
      <xdr:col>15</xdr:col>
      <xdr:colOff>255943</xdr:colOff>
      <xdr:row>21</xdr:row>
      <xdr:rowOff>163513</xdr:rowOff>
    </xdr:to>
    <xdr:pic>
      <xdr:nvPicPr>
        <xdr:cNvPr id="2" name="图片 1"/>
        <xdr:cNvPicPr>
          <a:picLocks noChangeAspect="1"/>
        </xdr:cNvPicPr>
      </xdr:nvPicPr>
      <xdr:blipFill>
        <a:blip xmlns:r="http://schemas.openxmlformats.org/officeDocument/2006/relationships" r:embed="rId1"/>
        <a:stretch>
          <a:fillRect/>
        </a:stretch>
      </xdr:blipFill>
      <xdr:spPr>
        <a:xfrm>
          <a:off x="5124450" y="171450"/>
          <a:ext cx="7466368" cy="3592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估价对象为房地产，为所有。根据《国有土地使用证》[]，估价对象（分摊）出让国有建设用地使用权面积为0平方米，建筑面积为8436.88平方米。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估价对象为房地产,属开发建设的，该项目尚在开发建设中。根据《国有土地使用证》[]，估价对象（分摊）出让国有建设用地使用权面积为0平方米，规划建筑面积为8436.88平方米。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29006</v>
      </c>
    </row>
    <row r="21" spans="1:2" s="1203" customFormat="1">
      <c r="A21" s="1201" t="s">
        <v>537</v>
      </c>
      <c r="B21" s="1202">
        <f ca="1">'预评函-2'!D7</f>
        <v>34380</v>
      </c>
    </row>
    <row r="22" spans="1:2" s="1203" customFormat="1">
      <c r="A22" s="1201" t="s">
        <v>538</v>
      </c>
      <c r="B22" s="1202" t="str">
        <f ca="1">'预评函-2'!D6</f>
        <v>贰亿玖仟零陆万元整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29006</v>
      </c>
    </row>
    <row r="31" spans="1:2" s="1203" customFormat="1">
      <c r="A31" s="1201" t="s">
        <v>576</v>
      </c>
      <c r="B31" s="1202">
        <f ca="1">'预评函-2'!D15</f>
        <v>34380</v>
      </c>
    </row>
    <row r="32" spans="1:2" s="1203" customFormat="1">
      <c r="A32" s="1201" t="s">
        <v>543</v>
      </c>
      <c r="B32" s="1202" t="str">
        <f ca="1">'预评函-2'!D14</f>
        <v>贰亿玖仟零陆万元整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8436.880000000001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45348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2.81</v>
      </c>
      <c r="D5" s="3025">
        <f>IF(ISERROR(ROUND(POWER(1+E5,A5-C5)*(POWER(1+E5,C5)-1)/(POWER(1+E5,A5)-1),3)),0,ROUND(POWER(1+E5,A5-C5)*(POWER(1+E5,C5)-1)/(POWER(1+E5,A5)-1),4))</f>
        <v>0.1318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12.82</v>
      </c>
      <c r="D6" s="3025">
        <f>IF(ISERROR(ROUND(POWER(1+E6,A6-C6)*(POWER(1+E6,C6)-1)/(POWER(1+E6,A6)-1),3)),0,ROUND(POWER(1+E6,A6-C6)*(POWER(1+E6,C6)-1)/(POWER(1+E6,A6)-1),4))</f>
        <v>0.45989999999999998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32.83</v>
      </c>
      <c r="D7" s="3025">
        <f>IF(ISERROR(ROUND(POWER(1+E7,A7-C7)*(POWER(1+E7,C7)-1)/(POWER(1+E7,A7)-1),3)),0,ROUND(POWER(1+E7,A7-C7)*(POWER(1+E7,C7)-1)/(POWER(1+E7,A7)-1),4))</f>
        <v>0.77380000000000004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45348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54839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8436.880000000001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145</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8436.880000000001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8436.880000000001</v>
      </c>
      <c r="H5" s="13">
        <f t="shared" ref="H5:AT5" si="0">SUM(H13:H656)</f>
        <v>8436.880000000001</v>
      </c>
      <c r="I5" s="13">
        <f t="shared" si="0"/>
        <v>8436.880000000001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8436.880000000001</v>
      </c>
      <c r="BA5" s="15">
        <f t="shared" si="1"/>
        <v>8436.880000000001</v>
      </c>
      <c r="BB5" s="15">
        <f t="shared" si="1"/>
        <v>8436.880000000001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3417</v>
      </c>
      <c r="E13" s="13">
        <f>IF($C$3="是",ROUND($A$3*G13/$B$3,2),ROUND($A$3*(G13-AT13)/$B$3,2))</f>
        <v>0</v>
      </c>
      <c r="F13" s="29"/>
      <c r="G13" s="30">
        <f>H13+AC13+AT13</f>
        <v>8436.880000000001</v>
      </c>
      <c r="H13" s="17">
        <f>SUMIF(I$12:AB$12,"总值",I13:AB13)</f>
        <v>8436.880000000001</v>
      </c>
      <c r="I13" s="1626">
        <f>面积清单!C29</f>
        <v>8436.880000000001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8436.880000000001</v>
      </c>
      <c r="BA13" s="13">
        <f>SUM(BB13:BK13)</f>
        <v>8436.880000000001</v>
      </c>
      <c r="BB13" s="13">
        <f>IF($D13="是",I13-J13,0)</f>
        <v>8436.880000000001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9"/>
  <sheetViews>
    <sheetView workbookViewId="0">
      <selection activeCell="D20" sqref="D20"/>
    </sheetView>
  </sheetViews>
  <sheetFormatPr defaultRowHeight="13.5"/>
  <cols>
    <col min="2" max="2" width="35.875" customWidth="1"/>
  </cols>
  <sheetData>
    <row r="1" spans="1:4">
      <c r="A1" s="3449" t="s">
        <v>3384</v>
      </c>
      <c r="B1" s="3449" t="s">
        <v>3385</v>
      </c>
      <c r="C1" s="3449" t="s">
        <v>3386</v>
      </c>
      <c r="D1" s="3449" t="s">
        <v>3401</v>
      </c>
    </row>
    <row r="2" spans="1:4">
      <c r="A2">
        <v>1</v>
      </c>
      <c r="B2" s="3449" t="s">
        <v>3414</v>
      </c>
      <c r="C2">
        <v>465.63</v>
      </c>
      <c r="D2" s="3449" t="s">
        <v>3402</v>
      </c>
    </row>
    <row r="3" spans="1:4">
      <c r="A3">
        <v>2</v>
      </c>
      <c r="B3" s="3449" t="s">
        <v>3387</v>
      </c>
      <c r="C3">
        <v>77.42</v>
      </c>
      <c r="D3" s="3449" t="s">
        <v>3402</v>
      </c>
    </row>
    <row r="4" spans="1:4">
      <c r="A4">
        <v>3</v>
      </c>
      <c r="B4" s="3449" t="s">
        <v>3388</v>
      </c>
      <c r="C4">
        <v>84.94</v>
      </c>
      <c r="D4" s="3449" t="s">
        <v>3402</v>
      </c>
    </row>
    <row r="5" spans="1:4">
      <c r="A5">
        <v>4</v>
      </c>
      <c r="B5" s="3449" t="s">
        <v>3389</v>
      </c>
      <c r="C5">
        <v>124.37</v>
      </c>
      <c r="D5" s="3449" t="s">
        <v>3402</v>
      </c>
    </row>
    <row r="6" spans="1:4">
      <c r="A6">
        <v>5</v>
      </c>
      <c r="B6" s="3449" t="s">
        <v>3390</v>
      </c>
      <c r="C6">
        <v>148.75</v>
      </c>
      <c r="D6" s="3449" t="s">
        <v>3402</v>
      </c>
    </row>
    <row r="7" spans="1:4">
      <c r="A7">
        <v>6</v>
      </c>
      <c r="B7" s="3449" t="s">
        <v>3391</v>
      </c>
      <c r="C7">
        <v>83.88</v>
      </c>
      <c r="D7" s="3449" t="s">
        <v>3402</v>
      </c>
    </row>
    <row r="8" spans="1:4">
      <c r="A8">
        <v>7</v>
      </c>
      <c r="B8" s="3449" t="s">
        <v>3392</v>
      </c>
      <c r="C8">
        <v>183.1</v>
      </c>
      <c r="D8" s="3449" t="s">
        <v>3402</v>
      </c>
    </row>
    <row r="9" spans="1:4">
      <c r="A9">
        <v>8</v>
      </c>
      <c r="B9" s="3449" t="s">
        <v>3393</v>
      </c>
      <c r="C9">
        <v>422.41</v>
      </c>
      <c r="D9" s="3449" t="s">
        <v>3402</v>
      </c>
    </row>
    <row r="10" spans="1:4">
      <c r="A10">
        <v>9</v>
      </c>
      <c r="B10" s="3449" t="s">
        <v>3394</v>
      </c>
      <c r="C10">
        <v>1124.69</v>
      </c>
      <c r="D10" s="3449" t="s">
        <v>3402</v>
      </c>
    </row>
    <row r="11" spans="1:4">
      <c r="A11">
        <v>10</v>
      </c>
      <c r="B11" s="3449" t="s">
        <v>3395</v>
      </c>
      <c r="C11">
        <v>722.33</v>
      </c>
      <c r="D11" s="3449" t="s">
        <v>3402</v>
      </c>
    </row>
    <row r="12" spans="1:4">
      <c r="A12">
        <v>11</v>
      </c>
      <c r="B12" s="3449" t="s">
        <v>3396</v>
      </c>
      <c r="C12">
        <v>65.92</v>
      </c>
      <c r="D12" s="3449" t="s">
        <v>3402</v>
      </c>
    </row>
    <row r="13" spans="1:4">
      <c r="A13">
        <v>12</v>
      </c>
      <c r="B13" s="3449" t="s">
        <v>3397</v>
      </c>
      <c r="C13">
        <v>65.92</v>
      </c>
      <c r="D13" s="3449" t="s">
        <v>3402</v>
      </c>
    </row>
    <row r="14" spans="1:4">
      <c r="A14">
        <v>13</v>
      </c>
      <c r="B14" s="3449" t="s">
        <v>3398</v>
      </c>
      <c r="C14">
        <v>65.92</v>
      </c>
      <c r="D14" s="3449" t="s">
        <v>3402</v>
      </c>
    </row>
    <row r="15" spans="1:4">
      <c r="A15">
        <v>14</v>
      </c>
      <c r="B15" s="3449" t="s">
        <v>3399</v>
      </c>
      <c r="C15">
        <v>65.92</v>
      </c>
      <c r="D15" s="3449" t="s">
        <v>3402</v>
      </c>
    </row>
    <row r="16" spans="1:4">
      <c r="A16">
        <v>15</v>
      </c>
      <c r="B16" s="3449" t="s">
        <v>3400</v>
      </c>
      <c r="C16">
        <v>65.92</v>
      </c>
      <c r="D16" s="3449" t="s">
        <v>3402</v>
      </c>
    </row>
    <row r="17" spans="1:4">
      <c r="A17">
        <v>16</v>
      </c>
      <c r="B17" s="3449" t="s">
        <v>3403</v>
      </c>
      <c r="C17">
        <v>65.92</v>
      </c>
      <c r="D17" s="3449" t="s">
        <v>3402</v>
      </c>
    </row>
    <row r="18" spans="1:4">
      <c r="A18">
        <v>17</v>
      </c>
      <c r="B18" s="3449" t="s">
        <v>3404</v>
      </c>
      <c r="C18">
        <v>65.11</v>
      </c>
      <c r="D18" s="3449" t="s">
        <v>3402</v>
      </c>
    </row>
    <row r="19" spans="1:4">
      <c r="A19">
        <v>18</v>
      </c>
      <c r="B19" s="3449" t="s">
        <v>3405</v>
      </c>
      <c r="C19">
        <v>65.92</v>
      </c>
      <c r="D19" s="3449" t="s">
        <v>3402</v>
      </c>
    </row>
    <row r="20" spans="1:4">
      <c r="A20">
        <v>19</v>
      </c>
      <c r="B20" s="3449" t="s">
        <v>3406</v>
      </c>
      <c r="C20">
        <v>156.84</v>
      </c>
      <c r="D20" s="3449" t="s">
        <v>3402</v>
      </c>
    </row>
    <row r="21" spans="1:4">
      <c r="A21">
        <v>20</v>
      </c>
      <c r="B21" s="3449" t="s">
        <v>3407</v>
      </c>
      <c r="C21">
        <v>137.76</v>
      </c>
      <c r="D21" s="3449" t="s">
        <v>3402</v>
      </c>
    </row>
    <row r="22" spans="1:4">
      <c r="A22">
        <v>21</v>
      </c>
      <c r="B22" s="3449" t="s">
        <v>3408</v>
      </c>
      <c r="C22">
        <v>150.24</v>
      </c>
      <c r="D22" s="3449" t="s">
        <v>3402</v>
      </c>
    </row>
    <row r="23" spans="1:4">
      <c r="A23">
        <v>22</v>
      </c>
      <c r="B23" s="3449" t="s">
        <v>3409</v>
      </c>
      <c r="C23">
        <v>92.35</v>
      </c>
      <c r="D23" s="3449" t="s">
        <v>3402</v>
      </c>
    </row>
    <row r="24" spans="1:4">
      <c r="A24">
        <v>23</v>
      </c>
      <c r="B24" s="3449" t="s">
        <v>3410</v>
      </c>
      <c r="C24">
        <v>167.88</v>
      </c>
      <c r="D24" s="3449" t="s">
        <v>3402</v>
      </c>
    </row>
    <row r="25" spans="1:4">
      <c r="A25">
        <v>24</v>
      </c>
      <c r="B25" s="3449" t="s">
        <v>3411</v>
      </c>
      <c r="C25">
        <v>97.18</v>
      </c>
      <c r="D25" s="3449" t="s">
        <v>3402</v>
      </c>
    </row>
    <row r="26" spans="1:4">
      <c r="A26">
        <v>25</v>
      </c>
      <c r="B26" s="3449" t="s">
        <v>3412</v>
      </c>
      <c r="C26">
        <v>646.39</v>
      </c>
      <c r="D26" s="3449" t="s">
        <v>3402</v>
      </c>
    </row>
    <row r="27" spans="1:4">
      <c r="A27">
        <v>26</v>
      </c>
      <c r="B27" s="3449" t="s">
        <v>3413</v>
      </c>
      <c r="C27">
        <v>1406.25</v>
      </c>
      <c r="D27" s="3449" t="s">
        <v>3402</v>
      </c>
    </row>
    <row r="28" spans="1:4">
      <c r="A28">
        <v>27</v>
      </c>
      <c r="B28" s="3449" t="s">
        <v>3415</v>
      </c>
      <c r="C28">
        <v>1617.92</v>
      </c>
      <c r="D28" s="3449" t="s">
        <v>3402</v>
      </c>
    </row>
    <row r="29" spans="1:4">
      <c r="C29">
        <f>SUM(C2:C28)</f>
        <v>8436.880000000001</v>
      </c>
      <c r="D29">
        <f>28600/C29</f>
        <v>3.3898787229402334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8436.880000000001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8436.880000000001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8436.880000000001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8436.880000000001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3418</v>
      </c>
      <c r="D19" s="45">
        <f>ROUND($D$3*E19/$E$3,2)</f>
        <v>0</v>
      </c>
      <c r="E19" s="53">
        <f t="shared" ref="E19:E26" si="1">SUM(F19:G19)</f>
        <v>8436.880000000001</v>
      </c>
      <c r="F19" s="2795">
        <f>'数据-基础表'!I13</f>
        <v>8436.880000000001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8436.880000000001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8436.880000000001</v>
      </c>
      <c r="F27" s="1140">
        <f>IF(SUM(F19:F26)=E8,SUM(F19:F26),"地上面积有误")</f>
        <v>8436.880000000001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8436.880000000001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8436.880000000001</v>
      </c>
      <c r="F31" s="677">
        <f>F27+F30</f>
        <v>8436.880000000001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54839</v>
      </c>
      <c r="F6" s="64">
        <f>SUMIF(项目基本情况!C$12:I$12,C6,项目基本情况!C$15:I$15)</f>
        <v>26</v>
      </c>
      <c r="G6" s="65">
        <f>IF(ISERROR(ROUND(POWER(1+H6,D6-F6)*(POWER(1+H6,F6)-1)/(POWER(1+H6,D6)-1),3)),0,ROUND(POWER(1+H6,D6-F6)*(POWER(1+H6,F6)-1)/(POWER(1+H6,D6)-1),3))</f>
        <v>0.78700000000000003</v>
      </c>
      <c r="H6" s="732">
        <v>0.05</v>
      </c>
      <c r="I6" s="732">
        <v>5.5E-2</v>
      </c>
      <c r="J6" s="66">
        <v>7.0000000000000007E-2</v>
      </c>
      <c r="K6" s="1030">
        <f>SUMIF('数据-汇总表'!C$19:C$33,A6,'数据-汇总表'!E$19:E$33)</f>
        <v>8436.880000000001</v>
      </c>
      <c r="L6" s="733">
        <v>4000</v>
      </c>
      <c r="M6" s="67">
        <f t="shared" ref="M6:M14" si="0">ROUND(K6*L6/10000,0)</f>
        <v>3375</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0.7</v>
      </c>
      <c r="Z6" s="72"/>
      <c r="AA6" s="66"/>
      <c r="AB6" s="66"/>
      <c r="AC6" s="1040"/>
      <c r="AD6" s="73"/>
      <c r="AE6" s="1041">
        <f ca="1">IF(AN6="",0,SUMIF(INDIRECT("'"&amp;AN6&amp;"'"&amp;"!E:E"),$AE$5,INDIRECT("'"&amp;AN6&amp;"'"&amp;"!F:F")))</f>
        <v>26</v>
      </c>
      <c r="AF6" s="1348"/>
      <c r="AG6" s="138">
        <f>IF(AF6="",0,AE6-AF6)</f>
        <v>0</v>
      </c>
      <c r="AH6" s="74"/>
      <c r="AI6" s="76">
        <v>365</v>
      </c>
      <c r="AJ6" s="77"/>
      <c r="AK6" s="78">
        <v>0.01</v>
      </c>
      <c r="AL6" s="79">
        <v>1E-3</v>
      </c>
      <c r="AM6" s="80">
        <v>0.01</v>
      </c>
      <c r="AN6" s="1715" t="s">
        <v>3420</v>
      </c>
      <c r="AO6" s="52">
        <f ca="1">SUMIF(INDIRECT("'"&amp;AN6&amp;"'"&amp;"!A:A"),"总价",INDIRECT("'"&amp;AN6&amp;"'"&amp;"!B:B"))</f>
        <v>23465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0.78700000000000003</v>
      </c>
      <c r="H16" s="90">
        <f>ROUND(SUMPRODUCT(H6:H13,K6:K13)/SUMPRODUCT((H6:H13&gt;0)*(K6:K13)),3)</f>
        <v>0.05</v>
      </c>
      <c r="I16" s="91"/>
      <c r="J16" s="91"/>
      <c r="K16" s="92">
        <f>SUM(K6:K15)</f>
        <v>8436.880000000001</v>
      </c>
      <c r="L16" s="93">
        <f>ROUND(M16*10000/SUM(K6:K14),0)</f>
        <v>4000</v>
      </c>
      <c r="M16" s="93">
        <f>SUM(M6:M14)</f>
        <v>3375</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ROUND(1-(2024-2000)/60,2)</f>
        <v>0.6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8436.880000000001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29006</v>
      </c>
      <c r="C5" s="2512">
        <f ca="1">IF(B5=D14,结果表!H102,ROUND(B5*10000/$B$1,0))</f>
        <v>34380</v>
      </c>
      <c r="D5" s="2512" t="e">
        <f ca="1">ROUND(B5*10000/$B$2,0)</f>
        <v>#DIV/0!</v>
      </c>
      <c r="E5" s="2686"/>
      <c r="F5" s="2687"/>
      <c r="G5" s="2687"/>
      <c r="H5" s="2688"/>
      <c r="I5" s="2688"/>
      <c r="J5" s="2688"/>
      <c r="K5" s="2688"/>
    </row>
    <row r="6" spans="1:11" ht="16.5">
      <c r="A6" s="2512" t="s">
        <v>656</v>
      </c>
      <c r="B6" s="2512">
        <f>SUM(G14:G23)</f>
        <v>0</v>
      </c>
      <c r="C6" s="2512">
        <f ca="1">IF(B6=G14,结果表!H108,ROUND(B6*10000/$B$1,0))</f>
        <v>34380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8436.880000000001</v>
      </c>
      <c r="C14" s="2518"/>
      <c r="D14" s="2518">
        <f ca="1">结果表!H118</f>
        <v>29006</v>
      </c>
      <c r="E14" s="2518">
        <f ca="1">ROUND(D14*10000/B14,0)</f>
        <v>34380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3434</v>
      </c>
      <c r="D4" s="1756" t="s">
        <v>3420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8436.880000000001</v>
      </c>
      <c r="M18" s="302">
        <f>IF(C1="",'数据-汇总表'!E3,SUMIF(项目类型,C1,'数据-汇总表'!E17:E26))</f>
        <v>8436.880000000001</v>
      </c>
    </row>
    <row r="19" spans="1:36" ht="15">
      <c r="A19" s="1761" t="s">
        <v>1290</v>
      </c>
      <c r="B19" s="1762" t="s">
        <v>1291</v>
      </c>
      <c r="C19" s="134">
        <f ca="1">SUMIF(INDIRECT("'"&amp;C4&amp;"'"&amp;"!A:A"),结果表!B19,INDIRECT("'"&amp;C4&amp;"'"&amp;"!B:B"))</f>
        <v>37318</v>
      </c>
      <c r="D19" s="135">
        <f ca="1">SUMIF(INDIRECT("'"&amp;D4&amp;"'"&amp;"!A:A"),结果表!B19,INDIRECT("'"&amp;D4&amp;"'"&amp;"!B:B"))</f>
        <v>23465</v>
      </c>
      <c r="E19" s="1761" t="s">
        <v>1292</v>
      </c>
      <c r="F19" s="1762" t="s">
        <v>1291</v>
      </c>
      <c r="G19" s="136">
        <f ca="1">ROUND(C19*$C$18+D19*$D$18,0)</f>
        <v>29006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44232</v>
      </c>
      <c r="D20" s="138">
        <f ca="1">SUMIF(INDIRECT("'"&amp;D4&amp;"'"&amp;"!A:A"),结果表!B20,INDIRECT("'"&amp;D4&amp;"'"&amp;"!B:B"))</f>
        <v>27812</v>
      </c>
      <c r="E20" s="1764"/>
      <c r="F20" s="1026" t="s">
        <v>1295</v>
      </c>
      <c r="G20" s="139">
        <f ca="1">ROUND(C20*$C$18+D20*$D$18,0)</f>
        <v>34380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0.59036863413594709</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29006</v>
      </c>
      <c r="D32" s="1775" t="s">
        <v>3435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29006</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45348</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29006</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1547</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1547</v>
      </c>
      <c r="E53" s="2334" t="s">
        <v>1354</v>
      </c>
      <c r="F53" s="2554">
        <f>'数据-取费表'!B41</f>
        <v>5.6000000000000001E-2</v>
      </c>
      <c r="G53" s="2555"/>
      <c r="H53" s="2544"/>
      <c r="I53" s="1807"/>
      <c r="J53" s="2523">
        <v>2</v>
      </c>
      <c r="K53" s="3604" t="s">
        <v>1357</v>
      </c>
      <c r="L53" s="3604"/>
      <c r="M53" s="2525">
        <f t="shared" ref="M53:O54" ca="1" si="0">D55</f>
        <v>15</v>
      </c>
      <c r="N53" s="2523" t="str">
        <f t="shared" si="0"/>
        <v>销售额×税（费）率</v>
      </c>
      <c r="O53" s="2526" t="str">
        <f t="shared" si="0"/>
        <v>免征</v>
      </c>
    </row>
    <row r="54" spans="1:35" ht="12" customHeight="1">
      <c r="A54" s="2335" t="s">
        <v>1358</v>
      </c>
      <c r="B54" s="3565" t="s">
        <v>2292</v>
      </c>
      <c r="C54" s="3566"/>
      <c r="D54" s="1087">
        <f ca="1">C68</f>
        <v>1547</v>
      </c>
      <c r="E54" s="327" t="s">
        <v>1359</v>
      </c>
      <c r="F54" s="2554">
        <f>'数据-取费表'!B41</f>
        <v>5.6000000000000001E-2</v>
      </c>
      <c r="G54" s="2555"/>
      <c r="H54" s="2556"/>
      <c r="I54" s="1807"/>
      <c r="J54" s="2523">
        <v>3</v>
      </c>
      <c r="K54" s="3604" t="s">
        <v>1360</v>
      </c>
      <c r="L54" s="3604"/>
      <c r="M54" s="2525">
        <f t="shared" ca="1" si="0"/>
        <v>16417</v>
      </c>
      <c r="N54" s="2523" t="str">
        <f t="shared" si="0"/>
        <v>增值额×税（费）率</v>
      </c>
      <c r="O54" s="2527" t="str">
        <f t="shared" si="0"/>
        <v>免征</v>
      </c>
    </row>
    <row r="55" spans="1:35" ht="24" customHeight="1">
      <c r="A55" s="3554" t="s">
        <v>1361</v>
      </c>
      <c r="B55" s="3555"/>
      <c r="C55" s="3555"/>
      <c r="D55" s="2324">
        <f ca="1">IF(H55="个人住宅",0,ROUND(D45*I55,0))</f>
        <v>15</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276</v>
      </c>
      <c r="N55" s="2040" t="str">
        <f>E59</f>
        <v>差额计税</v>
      </c>
      <c r="O55" s="2529">
        <f>F59</f>
        <v>0.01</v>
      </c>
    </row>
    <row r="56" spans="1:35" ht="24.75">
      <c r="A56" s="3554" t="s">
        <v>1363</v>
      </c>
      <c r="B56" s="3555"/>
      <c r="C56" s="3555"/>
      <c r="D56" s="2324">
        <f ca="1">IF(H56="个人住宅",D57,D58)</f>
        <v>16417</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16708</v>
      </c>
      <c r="O57" s="2533"/>
      <c r="P57" s="2690" t="e">
        <f ca="1">N57/M49</f>
        <v>#VALUE!</v>
      </c>
    </row>
    <row r="58" spans="1:35" ht="24.75">
      <c r="A58" s="2335" t="s">
        <v>1352</v>
      </c>
      <c r="B58" s="3565" t="s">
        <v>1369</v>
      </c>
      <c r="C58" s="3539"/>
      <c r="D58" s="2324">
        <f ca="1">IF(H58="转让取得",C81,C97)</f>
        <v>16417</v>
      </c>
      <c r="E58" s="2334" t="s">
        <v>1364</v>
      </c>
      <c r="F58" s="302" t="s">
        <v>28</v>
      </c>
      <c r="G58" s="2555"/>
      <c r="H58" s="2558"/>
      <c r="I58" s="1808"/>
      <c r="J58" s="3604"/>
      <c r="K58" s="3604"/>
      <c r="L58" s="2530" t="s">
        <v>1370</v>
      </c>
      <c r="M58" s="2534"/>
      <c r="N58" s="2535" t="str">
        <f ca="1">NUMBERSTRING(INT(N57*10000),2)&amp;"元整"</f>
        <v>壹亿陆仟柒佰零捌万元整</v>
      </c>
      <c r="O58" s="2536"/>
    </row>
    <row r="59" spans="1:35" ht="24.75" thickBot="1">
      <c r="A59" s="3607" t="s">
        <v>1371</v>
      </c>
      <c r="B59" s="3608"/>
      <c r="C59" s="3608"/>
      <c r="D59" s="2560">
        <f ca="1">IF(H59="非个人房产","——",IF(H59="个人住宅（满五唯一有凭证）",0,IF(H59="个人其他（无凭证）",ROUND(D45*F59,0),ROUND(C67*F59,0))))</f>
        <v>276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27625</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29006</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27625</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1547</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27625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166</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27459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165.4156626506024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16417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27625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166</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27459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165.4156626506024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16417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29006</v>
      </c>
      <c r="I101" s="129"/>
    </row>
    <row r="102" spans="1:35" ht="18.75" customHeight="1">
      <c r="A102" s="3585" t="s">
        <v>1433</v>
      </c>
      <c r="B102" s="2584" t="s">
        <v>1432</v>
      </c>
      <c r="C102" s="2585">
        <f ca="1">IF(D32="楼面单价",ROUND(C19,0),C19)</f>
        <v>37318</v>
      </c>
      <c r="D102" s="2586">
        <f ca="1">IF(D32="楼面单价",ROUND(D19,0),D19)</f>
        <v>23465</v>
      </c>
      <c r="E102" s="3626"/>
      <c r="F102" s="3583"/>
      <c r="G102" s="1827" t="s">
        <v>1434</v>
      </c>
      <c r="H102" s="2555">
        <f ca="1">I118</f>
        <v>34380</v>
      </c>
      <c r="I102" s="129"/>
    </row>
    <row r="103" spans="1:35" ht="42.75" customHeight="1">
      <c r="A103" s="3585"/>
      <c r="B103" s="2584" t="s">
        <v>1434</v>
      </c>
      <c r="C103" s="2587">
        <f ca="1">C20</f>
        <v>44232</v>
      </c>
      <c r="D103" s="2588">
        <f ca="1">D20</f>
        <v>27812</v>
      </c>
      <c r="E103" s="3620" t="s">
        <v>1435</v>
      </c>
      <c r="F103" s="3621"/>
      <c r="G103" s="1828" t="s">
        <v>1436</v>
      </c>
      <c r="H103" s="2595">
        <f>IF(D36="正常操作",H104+H105+H106,H105+H106)</f>
        <v>0</v>
      </c>
      <c r="I103" s="129"/>
    </row>
    <row r="104" spans="1:35" ht="18.75" customHeight="1">
      <c r="A104" s="3585" t="s">
        <v>1437</v>
      </c>
      <c r="B104" s="2589" t="s">
        <v>1432</v>
      </c>
      <c r="C104" s="2590">
        <f ca="1">H118</f>
        <v>29006</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34380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29006</v>
      </c>
      <c r="I107" s="129"/>
    </row>
    <row r="108" spans="1:35" ht="18.75" customHeight="1">
      <c r="A108" s="129"/>
      <c r="B108" s="129"/>
      <c r="C108" s="129"/>
      <c r="D108" s="129"/>
      <c r="E108" s="3582"/>
      <c r="F108" s="3583"/>
      <c r="G108" s="1827" t="s">
        <v>1434</v>
      </c>
      <c r="H108" s="2555">
        <f ca="1">IF(H107=H101,H102,ROUND(H107*10000/'数据-汇总表'!E3,0))</f>
        <v>34380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8436.880000000001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29006</v>
      </c>
      <c r="I118" s="2329">
        <f ca="1">ROUND(IF(D32="楼面单价",C32,H118*10000/B118),0)</f>
        <v>34380</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贰亿玖仟零陆万元整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29006</v>
      </c>
      <c r="E122" s="3618"/>
      <c r="F122" s="3618"/>
      <c r="G122" s="3618"/>
      <c r="H122" s="3618"/>
      <c r="I122" s="3619"/>
      <c r="AA122" s="725"/>
    </row>
    <row r="123" spans="1:27" ht="18.75" customHeight="1">
      <c r="A123" s="3553" t="s">
        <v>1452</v>
      </c>
      <c r="B123" s="3553"/>
      <c r="C123" s="3553"/>
      <c r="D123" s="3593" t="str">
        <f ca="1">NUMBERSTRING(INT(D122*10000),2)&amp;"元整"</f>
        <v>贰亿玖仟零陆万元整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31" sqref="E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37318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44232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25132</v>
      </c>
      <c r="D5" s="211" t="s">
        <v>1469</v>
      </c>
      <c r="E5" s="212" t="s">
        <v>1470</v>
      </c>
      <c r="F5" s="212" t="s">
        <v>1471</v>
      </c>
      <c r="G5" s="213"/>
    </row>
    <row r="6" spans="1:9" s="214" customFormat="1" ht="13.5" customHeight="1">
      <c r="A6" s="778" t="s">
        <v>1472</v>
      </c>
      <c r="B6" s="215" t="s">
        <v>1473</v>
      </c>
      <c r="C6" s="216">
        <f>基准地价修正!B2</f>
        <v>24388</v>
      </c>
      <c r="D6" s="217"/>
      <c r="E6" s="218"/>
      <c r="F6" s="218"/>
      <c r="G6" s="219"/>
    </row>
    <row r="7" spans="1:9" s="214" customFormat="1" ht="13.5" customHeight="1">
      <c r="A7" s="778" t="s">
        <v>1474</v>
      </c>
      <c r="B7" s="215" t="s">
        <v>1475</v>
      </c>
      <c r="C7" s="220">
        <f>ROUND(C6*F7,0)</f>
        <v>744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3427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row>
    <row r="10" spans="1:9" s="214" customFormat="1" ht="13.5" customHeight="1">
      <c r="A10" s="779" t="s">
        <v>356</v>
      </c>
      <c r="B10" s="224" t="s">
        <v>1480</v>
      </c>
      <c r="C10" s="225">
        <f ca="1">ROUND(D10*E10/10000,0)</f>
        <v>169</v>
      </c>
      <c r="D10" s="845">
        <f ca="1">IF(B1="",'数据-汇总表'!E6,IF(INDIRECT("'数据-取费表'!c"&amp;$G$1)="住宅",INDIRECT("'数据-取费表'!s"&amp;$G$1),INDIRECT("'数据-取费表'!k"&amp;$G$1)+INDIRECT("'数据-取费表'!s"&amp;$G$1)))</f>
        <v>8436.880000000001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8436.880000000001</v>
      </c>
      <c r="E19" s="211">
        <f>'数据-取费表'!B31</f>
        <v>200</v>
      </c>
      <c r="F19" s="231"/>
      <c r="G19" s="1856" t="s">
        <v>3429</v>
      </c>
    </row>
    <row r="20" spans="1:7" s="214" customFormat="1" ht="13.5" customHeight="1">
      <c r="A20" s="255" t="s">
        <v>1493</v>
      </c>
      <c r="B20" s="210" t="s">
        <v>1494</v>
      </c>
      <c r="C20" s="232">
        <f>ROUND((C5+C19)*F20,0)</f>
        <v>503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1781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3845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3845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33869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3375</v>
      </c>
      <c r="D34" s="217"/>
      <c r="E34" s="220"/>
      <c r="F34" s="257">
        <f ca="1">IF('数据-取费表'!B24=0,1,IF(B1="",'数据-取费表'!N16,INDIRECT("'数据-取费表'!n"&amp;$G$1)))</f>
        <v>1</v>
      </c>
      <c r="G34" s="219" t="s">
        <v>1526</v>
      </c>
    </row>
    <row r="35" spans="1:7" ht="13.5" customHeight="1">
      <c r="A35" s="780" t="s">
        <v>351</v>
      </c>
      <c r="B35" s="215" t="s">
        <v>1527</v>
      </c>
      <c r="C35" s="220">
        <f ca="1">ROUND(C34*F35,0)</f>
        <v>169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169</v>
      </c>
      <c r="D37" s="217">
        <f ca="1">D19</f>
        <v>8436.880000000001</v>
      </c>
      <c r="E37" s="249">
        <f>'数据-取费表'!B35</f>
        <v>200</v>
      </c>
      <c r="F37" s="259"/>
      <c r="G37" s="261" t="s">
        <v>1532</v>
      </c>
    </row>
    <row r="38" spans="1:7" ht="13.5" customHeight="1">
      <c r="A38" s="780" t="s">
        <v>354</v>
      </c>
      <c r="B38" s="215" t="s">
        <v>1533</v>
      </c>
      <c r="C38" s="220">
        <f ca="1">ROUND(C34*F38,0)</f>
        <v>51</v>
      </c>
      <c r="D38" s="220"/>
      <c r="E38" s="220"/>
      <c r="F38" s="259">
        <f>'数据-取费表'!B36</f>
        <v>1.4999999999999999E-2</v>
      </c>
      <c r="G38" s="219" t="s">
        <v>1528</v>
      </c>
    </row>
    <row r="39" spans="1:7" s="214" customFormat="1" ht="13.5" customHeight="1">
      <c r="A39" s="255" t="s">
        <v>1534</v>
      </c>
      <c r="B39" s="210" t="s">
        <v>1535</v>
      </c>
      <c r="C39" s="232">
        <f ca="1">ROUND(C33*F20,0)</f>
        <v>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33" t="s">
        <v>1544</v>
      </c>
    </row>
    <row r="43" spans="1:7" ht="13.5" customHeight="1">
      <c r="A43" s="780" t="s">
        <v>347</v>
      </c>
      <c r="B43" s="215" t="s">
        <v>1545</v>
      </c>
      <c r="C43" s="238">
        <f ca="1">ROUND(IF('数据-取费表'!B22&lt;=1,C39*F22*'数据-取费表'!B21/2,C39*(POWER((1+F22),'数据-取费表'!B21/2)-1)),0)</f>
        <v>3</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576</v>
      </c>
      <c r="D45" s="235">
        <f ca="1">C47</f>
        <v>3.0000000000000001E-3</v>
      </c>
      <c r="E45" s="236" t="s">
        <v>1539</v>
      </c>
      <c r="F45" s="246">
        <f ca="1">F27</f>
        <v>0.15</v>
      </c>
      <c r="G45" s="247" t="s">
        <v>1548</v>
      </c>
    </row>
    <row r="46" spans="1:7" s="214" customFormat="1" ht="13.5" customHeight="1">
      <c r="A46" s="780" t="s">
        <v>346</v>
      </c>
      <c r="B46" s="248" t="s">
        <v>1549</v>
      </c>
      <c r="C46" s="249">
        <f ca="1">ROUND((C33+C39)*F27,0)</f>
        <v>576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4927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3449</v>
      </c>
      <c r="D51" s="232"/>
      <c r="E51" s="232"/>
      <c r="F51" s="264"/>
      <c r="G51" s="234" t="s">
        <v>1560</v>
      </c>
    </row>
    <row r="52" spans="1:7" s="208" customFormat="1" ht="16.5" thickBot="1">
      <c r="A52" s="265" t="s">
        <v>1561</v>
      </c>
      <c r="B52" s="266"/>
      <c r="C52" s="267">
        <f ca="1">C31+C51</f>
        <v>37318</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3902.6478999999999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1687376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1687376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1687376</v>
      </c>
      <c r="D10" s="845">
        <f ca="1">IF(B1="",'数据-汇总表'!E6,IF(INDIRECT("'数据-取费表'!c"&amp;$G$1)="住宅",INDIRECT("'数据-取费表'!s"&amp;$G$1),INDIRECT("'数据-取费表'!k"&amp;$G$1)+INDIRECT("'数据-取费表'!s"&amp;$G$1)))</f>
        <v>8436.880000000001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1687376</v>
      </c>
      <c r="D19" s="849">
        <f ca="1">D9+D10</f>
        <v>8436.880000000001</v>
      </c>
      <c r="E19" s="211">
        <f>'数据-取费表'!B31</f>
        <v>200</v>
      </c>
      <c r="F19" s="231"/>
      <c r="G19" s="1856"/>
    </row>
    <row r="20" spans="1:7" s="214" customFormat="1" ht="13.5" customHeight="1">
      <c r="A20" s="255" t="s">
        <v>1574</v>
      </c>
      <c r="B20" s="210" t="s">
        <v>1575</v>
      </c>
      <c r="C20" s="232">
        <f ca="1">ROUND((C5+C19)*F20,0)</f>
        <v>67495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239203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118437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118437</v>
      </c>
      <c r="D24" s="238"/>
      <c r="E24" s="238"/>
      <c r="F24" s="239"/>
      <c r="G24" s="240" t="s">
        <v>1586</v>
      </c>
    </row>
    <row r="25" spans="1:7" s="214" customFormat="1" ht="24">
      <c r="A25" s="780" t="s">
        <v>1476</v>
      </c>
      <c r="B25" s="215" t="s">
        <v>1587</v>
      </c>
      <c r="C25" s="1128">
        <f ca="1">ROUND(IF('数据-取费表'!B22&lt;=1,C20*F22*'数据-取费表'!B22/2,C20*(POWER((1+F22),'数据-取费表'!B22/2)-1)),0)</f>
        <v>2329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516337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516337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4547982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37628485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33747520</v>
      </c>
      <c r="D34" s="217"/>
      <c r="E34" s="220"/>
      <c r="F34" s="257"/>
      <c r="G34" s="219"/>
    </row>
    <row r="35" spans="1:7" ht="13.5" customHeight="1">
      <c r="A35" s="780" t="s">
        <v>351</v>
      </c>
      <c r="B35" s="215" t="s">
        <v>1527</v>
      </c>
      <c r="C35" s="220">
        <f ca="1">ROUND(C34*F35,0)</f>
        <v>1687376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1687376</v>
      </c>
      <c r="D37" s="217">
        <f ca="1">D19</f>
        <v>8436.880000000001</v>
      </c>
      <c r="E37" s="249">
        <f>'数据-取费表'!B35</f>
        <v>200</v>
      </c>
      <c r="F37" s="259"/>
      <c r="G37" s="261"/>
    </row>
    <row r="38" spans="1:7" ht="13.5" customHeight="1">
      <c r="A38" s="780" t="s">
        <v>354</v>
      </c>
      <c r="B38" s="215" t="s">
        <v>1533</v>
      </c>
      <c r="C38" s="220">
        <f ca="1">ROUND(C34*F38,0)</f>
        <v>506213</v>
      </c>
      <c r="D38" s="220"/>
      <c r="E38" s="220"/>
      <c r="F38" s="259">
        <f>'数据-取费表'!B36</f>
        <v>1.4999999999999999E-2</v>
      </c>
      <c r="G38" s="219" t="s">
        <v>1528</v>
      </c>
    </row>
    <row r="39" spans="1:7" s="214" customFormat="1" ht="13.5" customHeight="1">
      <c r="A39" s="255" t="s">
        <v>1534</v>
      </c>
      <c r="B39" s="210" t="s">
        <v>1535</v>
      </c>
      <c r="C39" s="232">
        <f ca="1">ROUND(C33*F20,0)</f>
        <v>752570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1324147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1298183</v>
      </c>
      <c r="D42" s="238"/>
      <c r="E42" s="238"/>
      <c r="F42" s="239"/>
      <c r="G42" s="3633" t="s">
        <v>1591</v>
      </c>
    </row>
    <row r="43" spans="1:7" ht="13.5" customHeight="1">
      <c r="A43" s="780" t="s">
        <v>347</v>
      </c>
      <c r="B43" s="215" t="s">
        <v>1545</v>
      </c>
      <c r="C43" s="238">
        <f ca="1">ROUND(IF('数据-取费表'!B22&lt;=1,C39*F22*'数据-取费表'!B20/2,C39*(POWER((1+F22),'数据-取费表'!B20/2)-1)),0)</f>
        <v>25964</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5757158</v>
      </c>
      <c r="D45" s="235">
        <f ca="1">C47</f>
        <v>3.0000000000000001E-3</v>
      </c>
      <c r="E45" s="236" t="s">
        <v>1539</v>
      </c>
      <c r="F45" s="246">
        <f ca="1">F27</f>
        <v>0.15</v>
      </c>
      <c r="G45" s="247" t="s">
        <v>1548</v>
      </c>
    </row>
    <row r="46" spans="1:7" s="214" customFormat="1" ht="13.5" customHeight="1">
      <c r="A46" s="780" t="s">
        <v>346</v>
      </c>
      <c r="B46" s="248" t="s">
        <v>1549</v>
      </c>
      <c r="C46" s="249">
        <f ca="1">ROUND((C33+C39)*F27,0)</f>
        <v>5757158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49254995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34478497</v>
      </c>
      <c r="D51" s="232"/>
      <c r="E51" s="232"/>
      <c r="F51" s="264"/>
      <c r="G51" s="234" t="s">
        <v>1560</v>
      </c>
    </row>
    <row r="52" spans="1:7" s="208" customFormat="1" ht="16.5" thickBot="1">
      <c r="A52" s="265" t="s">
        <v>1561</v>
      </c>
      <c r="B52" s="266"/>
      <c r="C52" s="267">
        <f ca="1">C31+C51</f>
        <v>39026479</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-192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8436.880000000001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8436.880000000001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169</v>
      </c>
      <c r="D20" s="846">
        <f ca="1">IF(C1="",'数据-汇总表'!E6,IF(INDIRECT("'数据-取费表'!c"&amp;$K$1)="住宅",INDIRECT("'数据-取费表'!s"&amp;$K$1),INDIRECT("'数据-取费表'!k"&amp;$K$1)+INDIRECT("'数据-取费表'!s"&amp;$K$1)))</f>
        <v>8436.880000000001</v>
      </c>
      <c r="E20" s="21">
        <f>'数据-取费表'!B28</f>
        <v>200</v>
      </c>
      <c r="F20" s="804"/>
      <c r="G20" s="12"/>
      <c r="H20" s="809"/>
      <c r="I20" s="809"/>
      <c r="J20" s="809"/>
      <c r="K20" s="810"/>
    </row>
    <row r="21" spans="1:33" s="803" customFormat="1" ht="13.5" customHeight="1">
      <c r="A21" s="790" t="s">
        <v>357</v>
      </c>
      <c r="B21" s="813" t="s">
        <v>1628</v>
      </c>
      <c r="C21" s="814">
        <f ca="1">C16+C17+C18</f>
        <v>169</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-192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23465</v>
      </c>
      <c r="C2" s="1387" t="s">
        <v>805</v>
      </c>
      <c r="D2" s="1387"/>
      <c r="E2" s="1388"/>
      <c r="F2" s="1389"/>
      <c r="G2" s="2706"/>
      <c r="H2" s="2695"/>
      <c r="I2" s="2695"/>
      <c r="J2" s="2695"/>
      <c r="K2" s="2696"/>
      <c r="L2" s="2695"/>
      <c r="M2" s="2695"/>
    </row>
    <row r="3" spans="1:37" ht="18" customHeight="1" thickBot="1">
      <c r="A3" s="1390" t="s">
        <v>806</v>
      </c>
      <c r="B3" s="1391">
        <f ca="1">IF(ISERROR(B2*10000/F43),0,ROUND(B2*10000/F43,0))</f>
        <v>27812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1665</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1663</v>
      </c>
      <c r="D6" s="155" t="s">
        <v>2109</v>
      </c>
      <c r="E6" s="302" t="s">
        <v>696</v>
      </c>
      <c r="F6" s="303">
        <f ca="1">INDIRECT("'数据-取费表'!u"&amp;$G$1)</f>
        <v>6</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8436.880000000001</v>
      </c>
      <c r="G7" s="1384"/>
      <c r="H7" s="304"/>
      <c r="I7" s="3639"/>
      <c r="J7" s="306"/>
      <c r="K7" s="307"/>
      <c r="L7" s="302" t="s">
        <v>697</v>
      </c>
      <c r="M7" s="303">
        <f ca="1">F7</f>
        <v>8436.880000000001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3430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3449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3375</v>
      </c>
      <c r="D14" s="1345" t="s">
        <v>708</v>
      </c>
      <c r="E14" s="1342"/>
      <c r="F14" s="319"/>
      <c r="G14" s="1384"/>
      <c r="H14" s="982" t="s">
        <v>398</v>
      </c>
      <c r="I14" s="302" t="s">
        <v>709</v>
      </c>
      <c r="J14" s="21">
        <f ca="1">C29</f>
        <v>4927</v>
      </c>
      <c r="K14" s="12"/>
      <c r="L14" s="807"/>
      <c r="M14" s="808"/>
    </row>
    <row r="15" spans="1:37" s="1397" customFormat="1" ht="18" customHeight="1" thickBot="1">
      <c r="A15" s="982" t="s">
        <v>399</v>
      </c>
      <c r="B15" s="302" t="s">
        <v>710</v>
      </c>
      <c r="C15" s="21">
        <f ca="1">ROUND(C14*F15,0)</f>
        <v>169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49</v>
      </c>
      <c r="K16" s="1087" t="s">
        <v>715</v>
      </c>
      <c r="L16" s="1088"/>
      <c r="M16" s="1072"/>
    </row>
    <row r="17" spans="1:37" s="1397" customFormat="1" ht="18" customHeight="1">
      <c r="A17" s="982" t="s">
        <v>681</v>
      </c>
      <c r="B17" s="302" t="s">
        <v>716</v>
      </c>
      <c r="C17" s="21">
        <f ca="1">ROUND(F17*(F43+INDIRECT("'数据-取费表'!S"&amp;$G$1))/10000,0)</f>
        <v>169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75</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49.27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-49</v>
      </c>
      <c r="K25" s="1095" t="s">
        <v>753</v>
      </c>
      <c r="L25" s="1096"/>
      <c r="M25" s="1097"/>
    </row>
    <row r="26" spans="1:37">
      <c r="A26" s="982" t="s">
        <v>397</v>
      </c>
      <c r="B26" s="302" t="s">
        <v>754</v>
      </c>
      <c r="C26" s="21">
        <f ca="1">ROUND((C19+C20)*F26,0)</f>
        <v>576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4927</v>
      </c>
      <c r="D29" s="1092"/>
      <c r="E29" s="1090"/>
      <c r="F29" s="1093"/>
      <c r="G29" s="1396"/>
      <c r="H29" s="334" t="s">
        <v>396</v>
      </c>
      <c r="I29" s="335" t="s">
        <v>768</v>
      </c>
      <c r="J29" s="336">
        <f ca="1">ROUND(J26/(1+F40)^F41,0)</f>
        <v>0</v>
      </c>
      <c r="K29" s="337" t="s">
        <v>769</v>
      </c>
      <c r="L29" s="338"/>
      <c r="M29" s="339">
        <f ca="1">INDIRECT("'数据-取费表'!k"&amp;$G$1)</f>
        <v>8436.880000000001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278.75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88.69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190.06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49.27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3.45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16.649999999999999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1317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23164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27456</v>
      </c>
      <c r="D43" s="337" t="s">
        <v>777</v>
      </c>
      <c r="E43" s="338" t="s">
        <v>778</v>
      </c>
      <c r="F43" s="339">
        <f ca="1">INDIRECT("'数据-取费表'!k"&amp;$G$1)</f>
        <v>8436.880000000001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-23888</v>
      </c>
      <c r="D46" s="1406" t="str">
        <f>C2</f>
        <v>万元</v>
      </c>
      <c r="E46" s="1400"/>
      <c r="F46" s="1400"/>
      <c r="I46" s="1407" t="s">
        <v>810</v>
      </c>
      <c r="J46" s="1408"/>
      <c r="K46" s="1409"/>
      <c r="L46" s="1410">
        <f ca="1">IF(M47="住宅",0,IF(L48&gt;J51,L60,J60))</f>
        <v>301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3431</v>
      </c>
      <c r="K47" s="1416" t="s">
        <v>816</v>
      </c>
      <c r="L47" s="1417">
        <f ca="1">INDIRECT("'数据-取费表'!d"&amp;$G$1)</f>
        <v>50</v>
      </c>
      <c r="M47" s="1380" t="str">
        <f>IF(ISNUMBER(FIND("住宅",C1)),"住宅","非住宅")</f>
        <v>非住宅</v>
      </c>
      <c r="O47" s="1418" t="s">
        <v>403</v>
      </c>
      <c r="P47" s="1419" t="s">
        <v>817</v>
      </c>
      <c r="Q47" s="1420">
        <f ca="1">C40+J29</f>
        <v>23164</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26</v>
      </c>
      <c r="O48" s="1418" t="s">
        <v>404</v>
      </c>
      <c r="P48" s="1419" t="s">
        <v>821</v>
      </c>
      <c r="Q48" s="1420">
        <f ca="1">J60</f>
        <v>301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4927</v>
      </c>
      <c r="R49" s="1420" t="s">
        <v>818</v>
      </c>
    </row>
    <row r="50" spans="1:18" s="1384" customFormat="1" ht="13.5" thickBot="1">
      <c r="A50" s="976"/>
      <c r="B50" s="979"/>
      <c r="C50" s="1118"/>
      <c r="D50" s="953"/>
      <c r="E50" s="1056" t="s">
        <v>697</v>
      </c>
      <c r="F50" s="1057">
        <f ca="1">F7</f>
        <v>8436.880000000001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17797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v>
      </c>
      <c r="K53" s="3636" t="s">
        <v>837</v>
      </c>
      <c r="L53" s="3637"/>
      <c r="O53" s="1418" t="s">
        <v>409</v>
      </c>
      <c r="P53" s="1419" t="s">
        <v>838</v>
      </c>
      <c r="Q53" s="1420">
        <f ca="1">Q47+Q48</f>
        <v>23465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0.16700000000000001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3449</v>
      </c>
      <c r="D56" s="1447"/>
      <c r="E56" s="1448"/>
      <c r="F56" s="1440"/>
      <c r="I56" s="1449" t="s">
        <v>842</v>
      </c>
      <c r="J56" s="1450" t="s">
        <v>3433</v>
      </c>
      <c r="K56" s="1421" t="s">
        <v>843</v>
      </c>
      <c r="L56" s="1424" t="str">
        <f ca="1">IF(L48&lt;J51,"——",L48-J53)</f>
        <v>——</v>
      </c>
      <c r="O56" s="1418" t="s">
        <v>403</v>
      </c>
      <c r="P56" s="1419" t="s">
        <v>817</v>
      </c>
      <c r="Q56" s="1420">
        <f ca="1">C40+J29</f>
        <v>23164</v>
      </c>
      <c r="R56" s="1420" t="s">
        <v>818</v>
      </c>
    </row>
    <row r="57" spans="1:18" s="1384" customFormat="1" ht="24.75" thickBot="1">
      <c r="A57" s="1451"/>
      <c r="B57" s="950" t="s">
        <v>767</v>
      </c>
      <c r="C57" s="238">
        <f ca="1">C29</f>
        <v>4927</v>
      </c>
      <c r="D57" s="1452"/>
      <c r="E57" s="1453"/>
      <c r="F57" s="1454"/>
      <c r="I57" s="1455" t="s">
        <v>844</v>
      </c>
      <c r="J57" s="1456">
        <f ca="1">IF(OR(M47="住宅",J51&lt;L48,J56="是"),"——",J51-L48)</f>
        <v>10</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1971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23164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49.27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3.45</v>
      </c>
      <c r="D65" s="964" t="s">
        <v>743</v>
      </c>
      <c r="E65" s="950" t="s">
        <v>744</v>
      </c>
      <c r="F65" s="330">
        <f t="shared" ca="1" si="0"/>
        <v>1E-3</v>
      </c>
      <c r="I65" s="1462" t="s">
        <v>867</v>
      </c>
      <c r="J65" s="1463">
        <v>40</v>
      </c>
      <c r="K65" s="1463">
        <v>30</v>
      </c>
      <c r="L65" s="1463">
        <v>50</v>
      </c>
      <c r="M65" s="1465">
        <v>0.02</v>
      </c>
      <c r="O65" s="1418" t="s">
        <v>403</v>
      </c>
      <c r="P65" s="1419" t="s">
        <v>868</v>
      </c>
      <c r="Q65" s="1420">
        <f ca="1">C40+J29</f>
        <v>23164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-53</v>
      </c>
      <c r="D67" s="963" t="s">
        <v>753</v>
      </c>
      <c r="E67" s="968"/>
      <c r="F67" s="969"/>
      <c r="O67" s="1428" t="s">
        <v>405</v>
      </c>
      <c r="P67" s="1419" t="s">
        <v>850</v>
      </c>
      <c r="Q67" s="1466">
        <f ca="1">L51</f>
        <v>17797</v>
      </c>
      <c r="R67" s="1420" t="s">
        <v>870</v>
      </c>
    </row>
    <row r="68" spans="1:18" s="1384" customFormat="1" ht="16.5" thickBot="1">
      <c r="A68" s="947" t="s">
        <v>395</v>
      </c>
      <c r="B68" s="948" t="s">
        <v>774</v>
      </c>
      <c r="C68" s="301">
        <f ca="1">ROUND(C67*(1-((1+F70)/(1+F68))^F69)/(F68-F70),0)</f>
        <v>-724</v>
      </c>
      <c r="D68" s="965" t="s">
        <v>758</v>
      </c>
      <c r="E68" s="950" t="s">
        <v>759</v>
      </c>
      <c r="F68" s="312">
        <f ca="1">F40</f>
        <v>5.5E-2</v>
      </c>
      <c r="O68" s="1428" t="s">
        <v>406</v>
      </c>
      <c r="P68" s="1467" t="s">
        <v>871</v>
      </c>
      <c r="Q68" s="1420">
        <f ca="1">ROUND(Q69-Q70*Q71,0)</f>
        <v>1076</v>
      </c>
      <c r="R68" s="1420" t="s">
        <v>414</v>
      </c>
    </row>
    <row r="69" spans="1:18" s="1384" customFormat="1" ht="13.5" thickBot="1">
      <c r="A69" s="951"/>
      <c r="B69" s="952"/>
      <c r="C69" s="306"/>
      <c r="D69" s="970" t="s">
        <v>762</v>
      </c>
      <c r="E69" s="950" t="s">
        <v>763</v>
      </c>
      <c r="F69" s="333">
        <f ca="1">F41</f>
        <v>26</v>
      </c>
      <c r="O69" s="1428" t="s">
        <v>411</v>
      </c>
      <c r="P69" s="1467" t="s">
        <v>872</v>
      </c>
      <c r="Q69" s="1420">
        <f ca="1">C39</f>
        <v>1317</v>
      </c>
      <c r="R69" s="1420" t="s">
        <v>818</v>
      </c>
    </row>
    <row r="70" spans="1:18" s="1384" customFormat="1" ht="13.5" thickBot="1">
      <c r="A70" s="954"/>
      <c r="B70" s="955"/>
      <c r="C70" s="310"/>
      <c r="D70" s="966"/>
      <c r="E70" s="950" t="s">
        <v>766</v>
      </c>
      <c r="F70" s="1054"/>
      <c r="O70" s="1428" t="s">
        <v>412</v>
      </c>
      <c r="P70" s="1467" t="s">
        <v>873</v>
      </c>
      <c r="Q70" s="1420">
        <f ca="1">C13</f>
        <v>3449</v>
      </c>
      <c r="R70" s="1420" t="s">
        <v>818</v>
      </c>
    </row>
    <row r="71" spans="1:18" s="1384" customFormat="1" ht="13.5" thickBot="1">
      <c r="A71" s="971" t="s">
        <v>396</v>
      </c>
      <c r="B71" s="972" t="s">
        <v>776</v>
      </c>
      <c r="C71" s="336">
        <f ca="1">ROUND(C68*10000/F71,0)</f>
        <v>-858</v>
      </c>
      <c r="D71" s="973" t="s">
        <v>777</v>
      </c>
      <c r="E71" s="974" t="s">
        <v>778</v>
      </c>
      <c r="F71" s="339">
        <f ca="1">F43</f>
        <v>8436.880000000001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241</v>
      </c>
      <c r="D75" s="1384"/>
      <c r="E75" s="1384"/>
      <c r="F75" s="1384"/>
      <c r="K75" s="1402"/>
      <c r="L75" s="1384"/>
      <c r="O75" s="1418" t="s">
        <v>409</v>
      </c>
      <c r="P75" s="1419" t="s">
        <v>838</v>
      </c>
      <c r="Q75" s="1420">
        <f ca="1">Q65+Q66</f>
        <v>23164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23465</v>
      </c>
      <c r="C2" s="1872" t="s">
        <v>1651</v>
      </c>
      <c r="D2" s="1873" t="s">
        <v>1652</v>
      </c>
      <c r="E2" s="2607">
        <f>SUM(E6:E13)</f>
        <v>8436.880000000001</v>
      </c>
      <c r="F2" s="2707"/>
      <c r="G2" s="1489"/>
      <c r="H2" s="1489"/>
      <c r="I2" s="1489"/>
      <c r="J2" s="1489"/>
      <c r="K2" s="1489"/>
      <c r="L2" s="1489"/>
      <c r="M2" s="1489"/>
      <c r="N2" s="1489"/>
      <c r="O2" s="1489"/>
      <c r="P2" s="1489"/>
      <c r="Q2" s="1489"/>
      <c r="R2" s="1489"/>
      <c r="S2" s="1489"/>
    </row>
    <row r="3" spans="1:22" ht="15.75">
      <c r="A3" s="1870" t="s">
        <v>686</v>
      </c>
      <c r="B3" s="2601">
        <f ca="1">ROUND(B2*10000/E2,0)</f>
        <v>27812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41" t="s">
        <v>1654</v>
      </c>
      <c r="C5" s="364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23465</v>
      </c>
      <c r="C6" s="1872" t="s">
        <v>1651</v>
      </c>
      <c r="D6" s="2709"/>
      <c r="E6" s="2606">
        <f>IF(OR(A6=0,F6="否"),0,'数据-取费表'!K6+'数据-取费表'!S6)</f>
        <v>8436.880000000001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8436.880000000001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1" t="s">
        <v>1667</v>
      </c>
      <c r="D4" s="3662"/>
      <c r="E4" s="3663" t="s">
        <v>1668</v>
      </c>
      <c r="F4" s="3664"/>
      <c r="G4" s="3661" t="s">
        <v>1669</v>
      </c>
      <c r="H4" s="3662"/>
      <c r="I4" s="3661" t="s">
        <v>1670</v>
      </c>
      <c r="J4" s="3662"/>
      <c r="K4" s="1889" t="s">
        <v>1671</v>
      </c>
      <c r="L4" s="2715"/>
      <c r="M4" s="2716"/>
      <c r="N4" s="2716"/>
      <c r="O4" s="2716"/>
      <c r="P4" s="3665" t="s">
        <v>1672</v>
      </c>
      <c r="Q4" s="3666"/>
      <c r="R4" s="3671" t="s">
        <v>1668</v>
      </c>
      <c r="S4" s="3672"/>
      <c r="T4" s="3671" t="s">
        <v>1669</v>
      </c>
      <c r="U4" s="3672"/>
      <c r="V4" s="3677" t="s">
        <v>1670</v>
      </c>
      <c r="W4" s="3677"/>
      <c r="X4" s="1355"/>
      <c r="Y4" s="3671" t="s">
        <v>1672</v>
      </c>
      <c r="Z4" s="3672"/>
      <c r="AA4" s="3658" t="s">
        <v>1668</v>
      </c>
      <c r="AB4" s="3658" t="s">
        <v>1669</v>
      </c>
      <c r="AC4" s="3658" t="s">
        <v>1670</v>
      </c>
    </row>
    <row r="5" spans="1:29" ht="15">
      <c r="A5" s="358"/>
      <c r="B5" s="359"/>
      <c r="C5" s="3680" t="s">
        <v>1673</v>
      </c>
      <c r="D5" s="3681"/>
      <c r="E5" s="3687" t="s">
        <v>1674</v>
      </c>
      <c r="F5" s="3688"/>
      <c r="G5" s="3680" t="s">
        <v>1675</v>
      </c>
      <c r="H5" s="3681"/>
      <c r="I5" s="3680" t="s">
        <v>1676</v>
      </c>
      <c r="J5" s="3681"/>
      <c r="K5" s="1890"/>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5" t="s">
        <v>1677</v>
      </c>
      <c r="F6" s="3686"/>
      <c r="G6" s="3678" t="s">
        <v>1677</v>
      </c>
      <c r="H6" s="3679"/>
      <c r="I6" s="3678" t="s">
        <v>1677</v>
      </c>
      <c r="J6" s="3679"/>
      <c r="K6" s="1890"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45348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684"/>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7"/>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7"/>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7"/>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7"/>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5"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6"/>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6"/>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6"/>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6"/>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6"/>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6"/>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6"/>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6"/>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6"/>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6"/>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6"/>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6"/>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6"/>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6"/>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6"/>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0" t="s">
        <v>1696</v>
      </c>
      <c r="Q32" s="1352" t="str">
        <f t="shared" si="11"/>
        <v>建筑类型</v>
      </c>
      <c r="R32" s="705" t="s">
        <v>18</v>
      </c>
      <c r="S32" s="706">
        <f t="shared" si="12"/>
        <v>100</v>
      </c>
      <c r="T32" s="705" t="s">
        <v>18</v>
      </c>
      <c r="U32" s="706">
        <f t="shared" si="13"/>
        <v>100</v>
      </c>
      <c r="V32" s="705" t="s">
        <v>18</v>
      </c>
      <c r="W32" s="706">
        <f t="shared" si="14"/>
        <v>100</v>
      </c>
      <c r="X32" s="1355"/>
      <c r="Y32" s="365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1"/>
      <c r="Q33" s="707" t="str">
        <f t="shared" si="11"/>
        <v>项目建筑规模</v>
      </c>
      <c r="R33" s="708" t="s">
        <v>18</v>
      </c>
      <c r="S33" s="709" t="e">
        <f t="shared" si="12"/>
        <v>#N/A</v>
      </c>
      <c r="T33" s="708" t="s">
        <v>18</v>
      </c>
      <c r="U33" s="709" t="e">
        <f t="shared" si="13"/>
        <v>#N/A</v>
      </c>
      <c r="V33" s="708" t="s">
        <v>18</v>
      </c>
      <c r="W33" s="709" t="e">
        <f t="shared" si="14"/>
        <v>#N/A</v>
      </c>
      <c r="X33" s="710"/>
      <c r="Y33" s="365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1"/>
      <c r="Q34" s="1352" t="str">
        <f t="shared" si="11"/>
        <v>建筑结构</v>
      </c>
      <c r="R34" s="705" t="s">
        <v>18</v>
      </c>
      <c r="S34" s="706">
        <f t="shared" si="12"/>
        <v>100</v>
      </c>
      <c r="T34" s="705" t="s">
        <v>18</v>
      </c>
      <c r="U34" s="706">
        <f t="shared" si="13"/>
        <v>100</v>
      </c>
      <c r="V34" s="705" t="s">
        <v>18</v>
      </c>
      <c r="W34" s="706">
        <f t="shared" si="14"/>
        <v>100</v>
      </c>
      <c r="X34" s="1355"/>
      <c r="Y34" s="36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1"/>
      <c r="Q35" s="1352" t="str">
        <f t="shared" si="11"/>
        <v>建筑品质</v>
      </c>
      <c r="R35" s="705" t="s">
        <v>18</v>
      </c>
      <c r="S35" s="706">
        <f t="shared" si="12"/>
        <v>100</v>
      </c>
      <c r="T35" s="705" t="s">
        <v>18</v>
      </c>
      <c r="U35" s="706">
        <f t="shared" si="13"/>
        <v>100</v>
      </c>
      <c r="V35" s="705" t="s">
        <v>18</v>
      </c>
      <c r="W35" s="706">
        <f t="shared" si="14"/>
        <v>100</v>
      </c>
      <c r="X35" s="1355"/>
      <c r="Y35" s="36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1"/>
      <c r="Q36" s="1352" t="str">
        <f t="shared" si="11"/>
        <v>公共部分装修</v>
      </c>
      <c r="R36" s="705" t="s">
        <v>18</v>
      </c>
      <c r="S36" s="706">
        <f t="shared" si="12"/>
        <v>100</v>
      </c>
      <c r="T36" s="705" t="s">
        <v>18</v>
      </c>
      <c r="U36" s="706">
        <f t="shared" si="13"/>
        <v>100</v>
      </c>
      <c r="V36" s="705" t="s">
        <v>18</v>
      </c>
      <c r="W36" s="706">
        <f t="shared" si="14"/>
        <v>100</v>
      </c>
      <c r="X36" s="1355"/>
      <c r="Y36" s="365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1"/>
      <c r="Q37" s="1343" t="str">
        <f t="shared" si="11"/>
        <v>成新度</v>
      </c>
      <c r="R37" s="701" t="s">
        <v>18</v>
      </c>
      <c r="S37" s="702" t="e">
        <f t="shared" si="12"/>
        <v>#N/A</v>
      </c>
      <c r="T37" s="701" t="s">
        <v>18</v>
      </c>
      <c r="U37" s="702" t="e">
        <f t="shared" si="13"/>
        <v>#N/A</v>
      </c>
      <c r="V37" s="701" t="s">
        <v>18</v>
      </c>
      <c r="W37" s="702" t="e">
        <f t="shared" si="14"/>
        <v>#N/A</v>
      </c>
      <c r="X37" s="703"/>
      <c r="Y37" s="365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1" t="s">
        <v>1696</v>
      </c>
      <c r="Q38" s="1352" t="str">
        <f t="shared" si="11"/>
        <v>物业管理</v>
      </c>
      <c r="R38" s="705" t="s">
        <v>18</v>
      </c>
      <c r="S38" s="706">
        <f t="shared" si="12"/>
        <v>100</v>
      </c>
      <c r="T38" s="705" t="s">
        <v>18</v>
      </c>
      <c r="U38" s="706">
        <f t="shared" si="13"/>
        <v>100</v>
      </c>
      <c r="V38" s="705" t="s">
        <v>18</v>
      </c>
      <c r="W38" s="706">
        <f t="shared" si="14"/>
        <v>100</v>
      </c>
      <c r="X38" s="1355"/>
      <c r="Y38" s="36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1"/>
      <c r="Q39" s="1352" t="str">
        <f t="shared" si="11"/>
        <v>市政基础设施</v>
      </c>
      <c r="R39" s="705" t="s">
        <v>18</v>
      </c>
      <c r="S39" s="706">
        <f t="shared" si="12"/>
        <v>100</v>
      </c>
      <c r="T39" s="705" t="s">
        <v>18</v>
      </c>
      <c r="U39" s="706">
        <f t="shared" si="13"/>
        <v>100</v>
      </c>
      <c r="V39" s="705" t="s">
        <v>18</v>
      </c>
      <c r="W39" s="706">
        <f t="shared" si="14"/>
        <v>100</v>
      </c>
      <c r="X39" s="1355"/>
      <c r="Y39" s="36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1"/>
      <c r="Q40" s="1352" t="str">
        <f t="shared" si="11"/>
        <v>房型</v>
      </c>
      <c r="R40" s="705" t="s">
        <v>18</v>
      </c>
      <c r="S40" s="706">
        <f t="shared" si="12"/>
        <v>100</v>
      </c>
      <c r="T40" s="705" t="s">
        <v>18</v>
      </c>
      <c r="U40" s="706">
        <f t="shared" si="13"/>
        <v>100</v>
      </c>
      <c r="V40" s="705" t="s">
        <v>18</v>
      </c>
      <c r="W40" s="706">
        <f t="shared" si="14"/>
        <v>100</v>
      </c>
      <c r="X40" s="1355"/>
      <c r="Y40" s="365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1"/>
      <c r="Q41" s="707" t="str">
        <f t="shared" si="11"/>
        <v>单套/主力户型建筑面积</v>
      </c>
      <c r="R41" s="708" t="s">
        <v>18</v>
      </c>
      <c r="S41" s="709">
        <f t="shared" si="12"/>
        <v>100</v>
      </c>
      <c r="T41" s="708" t="s">
        <v>18</v>
      </c>
      <c r="U41" s="709">
        <f t="shared" si="13"/>
        <v>100</v>
      </c>
      <c r="V41" s="708" t="s">
        <v>18</v>
      </c>
      <c r="W41" s="709">
        <f t="shared" si="14"/>
        <v>100</v>
      </c>
      <c r="X41" s="710"/>
      <c r="Y41" s="365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1"/>
      <c r="Q42" s="1352" t="str">
        <f t="shared" si="11"/>
        <v>内部装修</v>
      </c>
      <c r="R42" s="705" t="s">
        <v>18</v>
      </c>
      <c r="S42" s="706">
        <f t="shared" si="12"/>
        <v>100</v>
      </c>
      <c r="T42" s="705" t="s">
        <v>18</v>
      </c>
      <c r="U42" s="706">
        <f t="shared" si="13"/>
        <v>100</v>
      </c>
      <c r="V42" s="705" t="s">
        <v>18</v>
      </c>
      <c r="W42" s="706">
        <f t="shared" si="14"/>
        <v>100</v>
      </c>
      <c r="X42" s="1355"/>
      <c r="Y42" s="365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1"/>
      <c r="Q43" s="1352" t="str">
        <f t="shared" si="11"/>
        <v>内部装修维护情况</v>
      </c>
      <c r="R43" s="705" t="s">
        <v>18</v>
      </c>
      <c r="S43" s="706">
        <f t="shared" si="12"/>
        <v>100</v>
      </c>
      <c r="T43" s="705" t="s">
        <v>18</v>
      </c>
      <c r="U43" s="706">
        <f t="shared" si="13"/>
        <v>100</v>
      </c>
      <c r="V43" s="705" t="s">
        <v>18</v>
      </c>
      <c r="W43" s="706">
        <f t="shared" si="14"/>
        <v>100</v>
      </c>
      <c r="X43" s="1355"/>
      <c r="Y43" s="36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1"/>
      <c r="Q44" s="1343">
        <f t="shared" si="11"/>
        <v>111</v>
      </c>
      <c r="R44" s="701" t="s">
        <v>18</v>
      </c>
      <c r="S44" s="702">
        <f t="shared" si="12"/>
        <v>100</v>
      </c>
      <c r="T44" s="701" t="s">
        <v>18</v>
      </c>
      <c r="U44" s="702">
        <f t="shared" si="13"/>
        <v>100</v>
      </c>
      <c r="V44" s="701" t="s">
        <v>18</v>
      </c>
      <c r="W44" s="702">
        <f t="shared" si="14"/>
        <v>100</v>
      </c>
      <c r="X44" s="703"/>
      <c r="Y44" s="36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1"/>
      <c r="Q45" s="1352">
        <f t="shared" si="11"/>
        <v>111</v>
      </c>
      <c r="R45" s="705" t="s">
        <v>18</v>
      </c>
      <c r="S45" s="706">
        <f t="shared" si="12"/>
        <v>100</v>
      </c>
      <c r="T45" s="705" t="s">
        <v>18</v>
      </c>
      <c r="U45" s="706">
        <f t="shared" si="13"/>
        <v>100</v>
      </c>
      <c r="V45" s="705" t="s">
        <v>18</v>
      </c>
      <c r="W45" s="706">
        <f t="shared" si="14"/>
        <v>100</v>
      </c>
      <c r="X45" s="1355"/>
      <c r="Y45" s="36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2"/>
      <c r="Q46" s="1352">
        <f t="shared" si="11"/>
        <v>111</v>
      </c>
      <c r="R46" s="705" t="s">
        <v>17</v>
      </c>
      <c r="S46" s="706">
        <f t="shared" si="12"/>
        <v>100</v>
      </c>
      <c r="T46" s="705" t="s">
        <v>17</v>
      </c>
      <c r="U46" s="706">
        <f t="shared" si="13"/>
        <v>100</v>
      </c>
      <c r="V46" s="705" t="s">
        <v>17</v>
      </c>
      <c r="W46" s="706">
        <f t="shared" si="14"/>
        <v>100</v>
      </c>
      <c r="X46" s="1355"/>
      <c r="Y46" s="365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43" t="str">
        <f>A49</f>
        <v>估价对象XX用房的比较价值（楼面单价，元/平方米）</v>
      </c>
      <c r="Q49" s="3644"/>
      <c r="R49" s="3645" t="e">
        <f>IF(F1="售价",ROUND(IF(D48="简单平均",AVERAGE(R48:V48),R48*F48+T48*H48+V48*J48),0),ROUND(IF(D48="简单平均",AVERAGE(R48:V48),R48*F48+T48*H48+V48*J48),1))</f>
        <v>#DIV/0!</v>
      </c>
      <c r="S49" s="3645"/>
      <c r="T49" s="3645"/>
      <c r="U49" s="3645"/>
      <c r="V49" s="3645"/>
      <c r="W49" s="36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8436.880000000001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77" t="s">
        <v>1772</v>
      </c>
      <c r="AC4" s="3658" t="s">
        <v>1773</v>
      </c>
    </row>
    <row r="5" spans="1:29" ht="15">
      <c r="A5" s="358"/>
      <c r="B5" s="359"/>
      <c r="C5" s="3680" t="s">
        <v>1673</v>
      </c>
      <c r="D5" s="3681"/>
      <c r="E5" s="3687" t="s">
        <v>1674</v>
      </c>
      <c r="F5" s="3688"/>
      <c r="G5" s="3680" t="s">
        <v>1675</v>
      </c>
      <c r="H5" s="3681"/>
      <c r="I5" s="3680" t="s">
        <v>1676</v>
      </c>
      <c r="J5" s="3681"/>
      <c r="K5" s="559"/>
      <c r="L5" s="2715"/>
      <c r="M5" s="2716"/>
      <c r="N5" s="2716"/>
      <c r="O5" s="2716"/>
      <c r="P5" s="3667"/>
      <c r="Q5" s="3668"/>
      <c r="R5" s="3673"/>
      <c r="S5" s="3674"/>
      <c r="T5" s="3673"/>
      <c r="U5" s="3674"/>
      <c r="V5" s="3677"/>
      <c r="W5" s="3677"/>
      <c r="X5" s="1355"/>
      <c r="Y5" s="3673"/>
      <c r="Z5" s="3674"/>
      <c r="AA5" s="3659"/>
      <c r="AB5" s="3677"/>
      <c r="AC5" s="3659"/>
    </row>
    <row r="6" spans="1:29" ht="15.75" thickBot="1">
      <c r="A6" s="360"/>
      <c r="B6" s="361"/>
      <c r="C6" s="3678" t="s">
        <v>1677</v>
      </c>
      <c r="D6" s="3679"/>
      <c r="E6" s="3685" t="s">
        <v>1677</v>
      </c>
      <c r="F6" s="3686"/>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77"/>
      <c r="AC6" s="3660"/>
    </row>
    <row r="7" spans="1:29" s="108" customFormat="1" ht="15.75" thickBot="1">
      <c r="A7" s="362" t="s">
        <v>1679</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7"/>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5"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6"/>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6"/>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6"/>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6"/>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6"/>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6"/>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6"/>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6"/>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6"/>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6"/>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6"/>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6"/>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6"/>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6"/>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6"/>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0" t="s">
        <v>1696</v>
      </c>
      <c r="Q32" s="1352" t="str">
        <f t="shared" si="11"/>
        <v>商业类型</v>
      </c>
      <c r="R32" s="705" t="s">
        <v>14</v>
      </c>
      <c r="S32" s="706">
        <f t="shared" si="12"/>
        <v>100</v>
      </c>
      <c r="T32" s="705" t="s">
        <v>14</v>
      </c>
      <c r="U32" s="706">
        <f t="shared" si="13"/>
        <v>100</v>
      </c>
      <c r="V32" s="705" t="s">
        <v>14</v>
      </c>
      <c r="W32" s="706">
        <f t="shared" si="14"/>
        <v>100</v>
      </c>
      <c r="X32" s="1355"/>
      <c r="Y32" s="36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1"/>
      <c r="Q33" s="707" t="str">
        <f t="shared" si="11"/>
        <v>项目建筑规模</v>
      </c>
      <c r="R33" s="708" t="s">
        <v>14</v>
      </c>
      <c r="S33" s="709" t="e">
        <f t="shared" si="12"/>
        <v>#N/A</v>
      </c>
      <c r="T33" s="708" t="s">
        <v>14</v>
      </c>
      <c r="U33" s="709" t="e">
        <f t="shared" si="13"/>
        <v>#N/A</v>
      </c>
      <c r="V33" s="708" t="s">
        <v>14</v>
      </c>
      <c r="W33" s="709" t="e">
        <f t="shared" si="14"/>
        <v>#N/A</v>
      </c>
      <c r="X33" s="710"/>
      <c r="Y33" s="36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1"/>
      <c r="Q34" s="1352" t="str">
        <f t="shared" si="11"/>
        <v>建筑结构</v>
      </c>
      <c r="R34" s="705" t="s">
        <v>14</v>
      </c>
      <c r="S34" s="706">
        <f t="shared" si="12"/>
        <v>100</v>
      </c>
      <c r="T34" s="705" t="s">
        <v>14</v>
      </c>
      <c r="U34" s="706">
        <f t="shared" si="13"/>
        <v>100</v>
      </c>
      <c r="V34" s="705" t="s">
        <v>14</v>
      </c>
      <c r="W34" s="706">
        <f t="shared" si="14"/>
        <v>100</v>
      </c>
      <c r="X34" s="1355"/>
      <c r="Y34" s="36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1"/>
      <c r="Q35" s="1352" t="str">
        <f t="shared" si="11"/>
        <v>公共部分装修</v>
      </c>
      <c r="R35" s="705" t="s">
        <v>14</v>
      </c>
      <c r="S35" s="706">
        <f t="shared" si="12"/>
        <v>100</v>
      </c>
      <c r="T35" s="705" t="s">
        <v>14</v>
      </c>
      <c r="U35" s="706">
        <f t="shared" si="13"/>
        <v>100</v>
      </c>
      <c r="V35" s="705" t="s">
        <v>14</v>
      </c>
      <c r="W35" s="706">
        <f t="shared" si="14"/>
        <v>100</v>
      </c>
      <c r="X35" s="1355"/>
      <c r="Y35" s="36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1"/>
      <c r="Q36" s="1352" t="str">
        <f t="shared" si="11"/>
        <v>成新度</v>
      </c>
      <c r="R36" s="705" t="s">
        <v>14</v>
      </c>
      <c r="S36" s="706" t="e">
        <f t="shared" si="12"/>
        <v>#N/A</v>
      </c>
      <c r="T36" s="705" t="s">
        <v>14</v>
      </c>
      <c r="U36" s="706" t="e">
        <f t="shared" si="13"/>
        <v>#N/A</v>
      </c>
      <c r="V36" s="705" t="s">
        <v>14</v>
      </c>
      <c r="W36" s="706" t="e">
        <f t="shared" si="14"/>
        <v>#N/A</v>
      </c>
      <c r="X36" s="1355"/>
      <c r="Y36" s="36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1"/>
      <c r="Q37" s="1343" t="str">
        <f t="shared" si="11"/>
        <v>市政基础设施</v>
      </c>
      <c r="R37" s="701" t="s">
        <v>14</v>
      </c>
      <c r="S37" s="702">
        <f t="shared" si="12"/>
        <v>100</v>
      </c>
      <c r="T37" s="701" t="s">
        <v>14</v>
      </c>
      <c r="U37" s="702">
        <f t="shared" si="13"/>
        <v>100</v>
      </c>
      <c r="V37" s="701" t="s">
        <v>14</v>
      </c>
      <c r="W37" s="702">
        <f t="shared" si="14"/>
        <v>100</v>
      </c>
      <c r="X37" s="703"/>
      <c r="Y37" s="36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1" t="s">
        <v>1696</v>
      </c>
      <c r="Q38" s="1352" t="str">
        <f t="shared" si="11"/>
        <v>业态</v>
      </c>
      <c r="R38" s="705" t="s">
        <v>14</v>
      </c>
      <c r="S38" s="706">
        <f t="shared" si="12"/>
        <v>100</v>
      </c>
      <c r="T38" s="705" t="s">
        <v>14</v>
      </c>
      <c r="U38" s="706">
        <f t="shared" si="13"/>
        <v>100</v>
      </c>
      <c r="V38" s="705" t="s">
        <v>14</v>
      </c>
      <c r="W38" s="706">
        <f t="shared" si="14"/>
        <v>100</v>
      </c>
      <c r="X38" s="1355"/>
      <c r="Y38" s="36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1"/>
      <c r="Q39" s="1352" t="str">
        <f t="shared" si="11"/>
        <v>层高</v>
      </c>
      <c r="R39" s="705" t="s">
        <v>14</v>
      </c>
      <c r="S39" s="706">
        <f t="shared" si="12"/>
        <v>100</v>
      </c>
      <c r="T39" s="705" t="s">
        <v>14</v>
      </c>
      <c r="U39" s="706">
        <f t="shared" si="13"/>
        <v>100</v>
      </c>
      <c r="V39" s="705" t="s">
        <v>14</v>
      </c>
      <c r="W39" s="706">
        <f t="shared" si="14"/>
        <v>100</v>
      </c>
      <c r="X39" s="1355"/>
      <c r="Y39" s="36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1"/>
      <c r="Q40" s="1352" t="str">
        <f t="shared" si="11"/>
        <v>单套建筑面积</v>
      </c>
      <c r="R40" s="705" t="s">
        <v>14</v>
      </c>
      <c r="S40" s="706">
        <f t="shared" si="12"/>
        <v>100</v>
      </c>
      <c r="T40" s="705" t="s">
        <v>14</v>
      </c>
      <c r="U40" s="706">
        <f t="shared" si="13"/>
        <v>100</v>
      </c>
      <c r="V40" s="705" t="s">
        <v>14</v>
      </c>
      <c r="W40" s="706">
        <f t="shared" si="14"/>
        <v>100</v>
      </c>
      <c r="X40" s="1355"/>
      <c r="Y40" s="36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1"/>
      <c r="Q41" s="707" t="str">
        <f t="shared" si="11"/>
        <v>进深比</v>
      </c>
      <c r="R41" s="708" t="s">
        <v>14</v>
      </c>
      <c r="S41" s="709">
        <f t="shared" si="12"/>
        <v>100</v>
      </c>
      <c r="T41" s="708" t="s">
        <v>14</v>
      </c>
      <c r="U41" s="709">
        <f t="shared" si="13"/>
        <v>100</v>
      </c>
      <c r="V41" s="708" t="s">
        <v>14</v>
      </c>
      <c r="W41" s="709">
        <f t="shared" si="14"/>
        <v>100</v>
      </c>
      <c r="X41" s="710"/>
      <c r="Y41" s="36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1"/>
      <c r="Q42" s="1352" t="str">
        <f t="shared" si="11"/>
        <v>内部装修</v>
      </c>
      <c r="R42" s="705" t="s">
        <v>14</v>
      </c>
      <c r="S42" s="706">
        <f t="shared" si="12"/>
        <v>100</v>
      </c>
      <c r="T42" s="705" t="s">
        <v>14</v>
      </c>
      <c r="U42" s="706">
        <f t="shared" si="13"/>
        <v>100</v>
      </c>
      <c r="V42" s="705" t="s">
        <v>14</v>
      </c>
      <c r="W42" s="706">
        <f t="shared" si="14"/>
        <v>100</v>
      </c>
      <c r="X42" s="1355"/>
      <c r="Y42" s="365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1"/>
      <c r="Q43" s="1352" t="str">
        <f t="shared" si="11"/>
        <v>内部装修维护情况</v>
      </c>
      <c r="R43" s="705" t="s">
        <v>14</v>
      </c>
      <c r="S43" s="706">
        <f t="shared" si="12"/>
        <v>100</v>
      </c>
      <c r="T43" s="705" t="s">
        <v>14</v>
      </c>
      <c r="U43" s="706">
        <f t="shared" si="13"/>
        <v>100</v>
      </c>
      <c r="V43" s="705" t="s">
        <v>14</v>
      </c>
      <c r="W43" s="706">
        <f t="shared" si="14"/>
        <v>100</v>
      </c>
      <c r="X43" s="1355"/>
      <c r="Y43" s="36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1"/>
      <c r="Q44" s="1343">
        <f t="shared" si="11"/>
        <v>111</v>
      </c>
      <c r="R44" s="701" t="s">
        <v>14</v>
      </c>
      <c r="S44" s="702">
        <f t="shared" si="12"/>
        <v>100</v>
      </c>
      <c r="T44" s="701" t="s">
        <v>14</v>
      </c>
      <c r="U44" s="702">
        <f t="shared" si="13"/>
        <v>100</v>
      </c>
      <c r="V44" s="701" t="s">
        <v>14</v>
      </c>
      <c r="W44" s="702">
        <f t="shared" si="14"/>
        <v>100</v>
      </c>
      <c r="X44" s="703"/>
      <c r="Y44" s="36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1"/>
      <c r="Q45" s="1352">
        <f t="shared" si="11"/>
        <v>111</v>
      </c>
      <c r="R45" s="705" t="s">
        <v>14</v>
      </c>
      <c r="S45" s="706">
        <f t="shared" si="12"/>
        <v>100</v>
      </c>
      <c r="T45" s="705" t="s">
        <v>14</v>
      </c>
      <c r="U45" s="706">
        <f t="shared" si="13"/>
        <v>100</v>
      </c>
      <c r="V45" s="705" t="s">
        <v>14</v>
      </c>
      <c r="W45" s="706">
        <f t="shared" si="14"/>
        <v>100</v>
      </c>
      <c r="X45" s="1355"/>
      <c r="Y45" s="36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2"/>
      <c r="Q46" s="1352">
        <f t="shared" si="11"/>
        <v>111</v>
      </c>
      <c r="R46" s="705" t="s">
        <v>14</v>
      </c>
      <c r="S46" s="706">
        <f t="shared" si="12"/>
        <v>100</v>
      </c>
      <c r="T46" s="705" t="s">
        <v>14</v>
      </c>
      <c r="U46" s="706">
        <f t="shared" si="13"/>
        <v>100</v>
      </c>
      <c r="V46" s="705" t="s">
        <v>14</v>
      </c>
      <c r="W46" s="706">
        <f t="shared" si="14"/>
        <v>100</v>
      </c>
      <c r="X46" s="1355"/>
      <c r="Y46" s="365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6" t="str">
        <f>A47</f>
        <v>成交单价（元/平方米）</v>
      </c>
      <c r="Q47" s="3646"/>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43" t="str">
        <f>A49</f>
        <v>估价对象XX用房的比较价值（楼面单价，元/平方米）</v>
      </c>
      <c r="Q49" s="3644"/>
      <c r="R49" s="3645" t="e">
        <f>IF(F1="售价",ROUND(IF(D48="简单平均",AVERAGE(R48:V48),R48*F48+T48*H48+V48*J48),0),ROUND(IF(D48="简单平均",AVERAGE(R48:V48),R48*F48+T48*H48+V48*J48),1))</f>
        <v>#DIV/0!</v>
      </c>
      <c r="S49" s="3645"/>
      <c r="T49" s="3645"/>
      <c r="U49" s="3645"/>
      <c r="V49" s="3645"/>
      <c r="W49" s="36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8436.880000000001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95" t="s">
        <v>1775</v>
      </c>
      <c r="Q4" s="3696"/>
      <c r="R4" s="3699" t="s">
        <v>1771</v>
      </c>
      <c r="S4" s="3700"/>
      <c r="T4" s="3699" t="s">
        <v>1772</v>
      </c>
      <c r="U4" s="3700"/>
      <c r="V4" s="3701" t="s">
        <v>1773</v>
      </c>
      <c r="W4" s="3701"/>
      <c r="X4" s="1958"/>
      <c r="Y4" s="3699" t="s">
        <v>1775</v>
      </c>
      <c r="Z4" s="3700"/>
      <c r="AA4" s="3703" t="s">
        <v>1771</v>
      </c>
      <c r="AB4" s="3703" t="s">
        <v>1772</v>
      </c>
      <c r="AC4" s="3692" t="s">
        <v>1773</v>
      </c>
    </row>
    <row r="5" spans="1:29" ht="15">
      <c r="A5" s="358"/>
      <c r="B5" s="359"/>
      <c r="C5" s="3680" t="s">
        <v>1673</v>
      </c>
      <c r="D5" s="3681"/>
      <c r="E5" s="3687" t="s">
        <v>1674</v>
      </c>
      <c r="F5" s="3688"/>
      <c r="G5" s="3680" t="s">
        <v>1675</v>
      </c>
      <c r="H5" s="3681"/>
      <c r="I5" s="3680" t="s">
        <v>1676</v>
      </c>
      <c r="J5" s="3681"/>
      <c r="K5" s="559"/>
      <c r="L5" s="2715"/>
      <c r="M5" s="2716"/>
      <c r="N5" s="2716"/>
      <c r="O5" s="2716"/>
      <c r="P5" s="3697"/>
      <c r="Q5" s="3668"/>
      <c r="R5" s="3673"/>
      <c r="S5" s="3674"/>
      <c r="T5" s="3673"/>
      <c r="U5" s="3674"/>
      <c r="V5" s="3677"/>
      <c r="W5" s="3677"/>
      <c r="X5" s="1355"/>
      <c r="Y5" s="3673"/>
      <c r="Z5" s="3674"/>
      <c r="AA5" s="3659"/>
      <c r="AB5" s="3659"/>
      <c r="AC5" s="3693"/>
    </row>
    <row r="6" spans="1:29" ht="15.75" thickBot="1">
      <c r="A6" s="360"/>
      <c r="B6" s="361"/>
      <c r="C6" s="3678" t="s">
        <v>1677</v>
      </c>
      <c r="D6" s="3679"/>
      <c r="E6" s="3685" t="s">
        <v>1677</v>
      </c>
      <c r="F6" s="3686"/>
      <c r="G6" s="3678" t="s">
        <v>1677</v>
      </c>
      <c r="H6" s="3679"/>
      <c r="I6" s="3678" t="s">
        <v>1677</v>
      </c>
      <c r="J6" s="3679"/>
      <c r="K6" s="559" t="s">
        <v>1678</v>
      </c>
      <c r="L6" s="2715"/>
      <c r="M6" s="2716"/>
      <c r="N6" s="2716"/>
      <c r="O6" s="2716"/>
      <c r="P6" s="3698"/>
      <c r="Q6" s="3670"/>
      <c r="R6" s="3673"/>
      <c r="S6" s="3674"/>
      <c r="T6" s="3675"/>
      <c r="U6" s="3676"/>
      <c r="V6" s="3677"/>
      <c r="W6" s="3677"/>
      <c r="X6" s="1355"/>
      <c r="Y6" s="3675"/>
      <c r="Z6" s="3676"/>
      <c r="AA6" s="3660"/>
      <c r="AB6" s="3660"/>
      <c r="AC6" s="3694"/>
    </row>
    <row r="7" spans="1:29" s="108" customFormat="1" ht="15.75" thickBot="1">
      <c r="A7" s="362" t="s">
        <v>1679</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0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02"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7"/>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5"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6"/>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6"/>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6"/>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6"/>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6"/>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6"/>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6"/>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6"/>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6"/>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6"/>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6"/>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6"/>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6"/>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6"/>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6"/>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6"/>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6"/>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0" t="s">
        <v>1696</v>
      </c>
      <c r="Q33" s="1352" t="str">
        <f t="shared" si="11"/>
        <v>建筑类型</v>
      </c>
      <c r="R33" s="705" t="s">
        <v>14</v>
      </c>
      <c r="S33" s="706">
        <f t="shared" si="12"/>
        <v>100</v>
      </c>
      <c r="T33" s="705" t="s">
        <v>14</v>
      </c>
      <c r="U33" s="706">
        <f t="shared" si="13"/>
        <v>100</v>
      </c>
      <c r="V33" s="705" t="s">
        <v>14</v>
      </c>
      <c r="W33" s="706">
        <f t="shared" si="14"/>
        <v>100</v>
      </c>
      <c r="X33" s="1355"/>
      <c r="Y33" s="365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51"/>
      <c r="Q34" s="707" t="str">
        <f t="shared" si="11"/>
        <v>项目建筑规模</v>
      </c>
      <c r="R34" s="708" t="s">
        <v>14</v>
      </c>
      <c r="S34" s="709" t="e">
        <f t="shared" si="12"/>
        <v>#N/A</v>
      </c>
      <c r="T34" s="708" t="s">
        <v>14</v>
      </c>
      <c r="U34" s="709" t="e">
        <f t="shared" si="13"/>
        <v>#N/A</v>
      </c>
      <c r="V34" s="708" t="s">
        <v>14</v>
      </c>
      <c r="W34" s="709" t="e">
        <f t="shared" si="14"/>
        <v>#N/A</v>
      </c>
      <c r="X34" s="710"/>
      <c r="Y34" s="365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1"/>
      <c r="Q35" s="1352" t="str">
        <f t="shared" si="11"/>
        <v>建筑结构</v>
      </c>
      <c r="R35" s="705" t="s">
        <v>14</v>
      </c>
      <c r="S35" s="706">
        <f t="shared" si="12"/>
        <v>100</v>
      </c>
      <c r="T35" s="705" t="s">
        <v>14</v>
      </c>
      <c r="U35" s="706">
        <f t="shared" si="13"/>
        <v>100</v>
      </c>
      <c r="V35" s="705" t="s">
        <v>14</v>
      </c>
      <c r="W35" s="706">
        <f t="shared" si="14"/>
        <v>100</v>
      </c>
      <c r="X35" s="1355"/>
      <c r="Y35" s="365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1"/>
      <c r="Q36" s="1352" t="str">
        <f t="shared" si="11"/>
        <v>公共部分装修</v>
      </c>
      <c r="R36" s="705" t="s">
        <v>14</v>
      </c>
      <c r="S36" s="706">
        <f t="shared" si="12"/>
        <v>100</v>
      </c>
      <c r="T36" s="705" t="s">
        <v>14</v>
      </c>
      <c r="U36" s="706">
        <f t="shared" si="13"/>
        <v>100</v>
      </c>
      <c r="V36" s="705" t="s">
        <v>14</v>
      </c>
      <c r="W36" s="706">
        <f t="shared" si="14"/>
        <v>100</v>
      </c>
      <c r="X36" s="1355"/>
      <c r="Y36" s="365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51"/>
      <c r="Q37" s="1352" t="str">
        <f t="shared" si="11"/>
        <v>成新度</v>
      </c>
      <c r="R37" s="705" t="s">
        <v>14</v>
      </c>
      <c r="S37" s="706" t="e">
        <f t="shared" si="12"/>
        <v>#N/A</v>
      </c>
      <c r="T37" s="705" t="s">
        <v>14</v>
      </c>
      <c r="U37" s="706" t="e">
        <f t="shared" si="13"/>
        <v>#N/A</v>
      </c>
      <c r="V37" s="705" t="s">
        <v>14</v>
      </c>
      <c r="W37" s="706" t="e">
        <f t="shared" si="14"/>
        <v>#N/A</v>
      </c>
      <c r="X37" s="1355"/>
      <c r="Y37" s="365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1"/>
      <c r="Q38" s="1343" t="str">
        <f t="shared" si="11"/>
        <v>写字楼等级</v>
      </c>
      <c r="R38" s="701" t="s">
        <v>14</v>
      </c>
      <c r="S38" s="702">
        <f t="shared" si="12"/>
        <v>100</v>
      </c>
      <c r="T38" s="701" t="s">
        <v>14</v>
      </c>
      <c r="U38" s="702">
        <f t="shared" si="13"/>
        <v>100</v>
      </c>
      <c r="V38" s="701" t="s">
        <v>14</v>
      </c>
      <c r="W38" s="702">
        <f t="shared" si="14"/>
        <v>100</v>
      </c>
      <c r="X38" s="703"/>
      <c r="Y38" s="365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1" t="s">
        <v>1696</v>
      </c>
      <c r="Q39" s="1352" t="str">
        <f t="shared" si="11"/>
        <v>物业管理</v>
      </c>
      <c r="R39" s="705" t="s">
        <v>14</v>
      </c>
      <c r="S39" s="706">
        <f t="shared" si="12"/>
        <v>100</v>
      </c>
      <c r="T39" s="705" t="s">
        <v>14</v>
      </c>
      <c r="U39" s="706">
        <f t="shared" si="13"/>
        <v>100</v>
      </c>
      <c r="V39" s="705" t="s">
        <v>14</v>
      </c>
      <c r="W39" s="706">
        <f t="shared" si="14"/>
        <v>100</v>
      </c>
      <c r="X39" s="1355"/>
      <c r="Y39" s="365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1"/>
      <c r="Q40" s="1352" t="str">
        <f t="shared" si="11"/>
        <v>市政基础设施</v>
      </c>
      <c r="R40" s="705" t="s">
        <v>14</v>
      </c>
      <c r="S40" s="706">
        <f t="shared" si="12"/>
        <v>100</v>
      </c>
      <c r="T40" s="705" t="s">
        <v>14</v>
      </c>
      <c r="U40" s="706">
        <f t="shared" si="13"/>
        <v>100</v>
      </c>
      <c r="V40" s="705" t="s">
        <v>14</v>
      </c>
      <c r="W40" s="706">
        <f t="shared" si="14"/>
        <v>100</v>
      </c>
      <c r="X40" s="1355"/>
      <c r="Y40" s="365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1"/>
      <c r="Q41" s="1352" t="str">
        <f t="shared" si="11"/>
        <v>层高</v>
      </c>
      <c r="R41" s="705" t="s">
        <v>14</v>
      </c>
      <c r="S41" s="706">
        <f t="shared" si="12"/>
        <v>100</v>
      </c>
      <c r="T41" s="705" t="s">
        <v>14</v>
      </c>
      <c r="U41" s="706">
        <f t="shared" si="13"/>
        <v>100</v>
      </c>
      <c r="V41" s="705" t="s">
        <v>14</v>
      </c>
      <c r="W41" s="706">
        <f t="shared" si="14"/>
        <v>100</v>
      </c>
      <c r="X41" s="1355"/>
      <c r="Y41" s="365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1"/>
      <c r="Q42" s="707" t="str">
        <f t="shared" si="11"/>
        <v>单套建筑面积</v>
      </c>
      <c r="R42" s="708" t="s">
        <v>14</v>
      </c>
      <c r="S42" s="709">
        <f t="shared" si="12"/>
        <v>100</v>
      </c>
      <c r="T42" s="708" t="s">
        <v>14</v>
      </c>
      <c r="U42" s="709">
        <f t="shared" si="13"/>
        <v>100</v>
      </c>
      <c r="V42" s="708" t="s">
        <v>14</v>
      </c>
      <c r="W42" s="709">
        <f t="shared" si="14"/>
        <v>100</v>
      </c>
      <c r="X42" s="710"/>
      <c r="Y42" s="365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1"/>
      <c r="Q43" s="1352" t="str">
        <f t="shared" si="11"/>
        <v>内部装修</v>
      </c>
      <c r="R43" s="705" t="s">
        <v>14</v>
      </c>
      <c r="S43" s="706">
        <f t="shared" si="12"/>
        <v>100</v>
      </c>
      <c r="T43" s="705" t="s">
        <v>14</v>
      </c>
      <c r="U43" s="706">
        <f t="shared" si="13"/>
        <v>100</v>
      </c>
      <c r="V43" s="705" t="s">
        <v>14</v>
      </c>
      <c r="W43" s="706">
        <f t="shared" si="14"/>
        <v>100</v>
      </c>
      <c r="X43" s="1355"/>
      <c r="Y43" s="365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1"/>
      <c r="Q44" s="1352" t="str">
        <f t="shared" si="11"/>
        <v>内部装修维护情况</v>
      </c>
      <c r="R44" s="705" t="s">
        <v>14</v>
      </c>
      <c r="S44" s="706">
        <f t="shared" si="12"/>
        <v>100</v>
      </c>
      <c r="T44" s="705" t="s">
        <v>14</v>
      </c>
      <c r="U44" s="706">
        <f t="shared" si="13"/>
        <v>100</v>
      </c>
      <c r="V44" s="705" t="s">
        <v>14</v>
      </c>
      <c r="W44" s="706">
        <f t="shared" si="14"/>
        <v>100</v>
      </c>
      <c r="X44" s="1355"/>
      <c r="Y44" s="36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1"/>
      <c r="Q45" s="1343">
        <f t="shared" si="11"/>
        <v>111</v>
      </c>
      <c r="R45" s="701" t="s">
        <v>14</v>
      </c>
      <c r="S45" s="702">
        <f t="shared" si="12"/>
        <v>100</v>
      </c>
      <c r="T45" s="701" t="s">
        <v>14</v>
      </c>
      <c r="U45" s="702">
        <f t="shared" si="13"/>
        <v>100</v>
      </c>
      <c r="V45" s="701" t="s">
        <v>14</v>
      </c>
      <c r="W45" s="702">
        <f t="shared" si="14"/>
        <v>100</v>
      </c>
      <c r="X45" s="703"/>
      <c r="Y45" s="36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1"/>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2"/>
      <c r="Q47" s="1352">
        <f t="shared" si="11"/>
        <v>111</v>
      </c>
      <c r="R47" s="705" t="s">
        <v>14</v>
      </c>
      <c r="S47" s="706">
        <f t="shared" si="12"/>
        <v>100</v>
      </c>
      <c r="T47" s="705" t="s">
        <v>14</v>
      </c>
      <c r="U47" s="706">
        <f t="shared" si="13"/>
        <v>100</v>
      </c>
      <c r="V47" s="705" t="s">
        <v>14</v>
      </c>
      <c r="W47" s="706">
        <f t="shared" si="14"/>
        <v>100</v>
      </c>
      <c r="X47" s="1355"/>
      <c r="Y47" s="365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57" t="str">
        <f>A48</f>
        <v>成交单价（元/平方米）</v>
      </c>
      <c r="Q48" s="3646"/>
      <c r="R48" s="3647">
        <f>E48</f>
        <v>0</v>
      </c>
      <c r="S48" s="3647"/>
      <c r="T48" s="3647">
        <f>G48</f>
        <v>0</v>
      </c>
      <c r="U48" s="3647"/>
      <c r="V48" s="3647">
        <f>I48</f>
        <v>0</v>
      </c>
      <c r="W48" s="364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57"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8436.880000000001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0" t="s">
        <v>1673</v>
      </c>
      <c r="D5" s="3681"/>
      <c r="E5" s="3687" t="s">
        <v>1674</v>
      </c>
      <c r="F5" s="3688"/>
      <c r="G5" s="3680" t="s">
        <v>1675</v>
      </c>
      <c r="H5" s="3681"/>
      <c r="I5" s="3680" t="s">
        <v>1676</v>
      </c>
      <c r="J5" s="3681"/>
      <c r="K5" s="559"/>
      <c r="L5" s="913"/>
      <c r="M5" s="914"/>
      <c r="N5" s="914"/>
      <c r="O5" s="914"/>
      <c r="P5" s="3667"/>
      <c r="Q5" s="3668"/>
      <c r="R5" s="3673"/>
      <c r="S5" s="3674"/>
      <c r="T5" s="3673"/>
      <c r="U5" s="3674"/>
      <c r="V5" s="3677"/>
      <c r="W5" s="3677"/>
      <c r="X5" s="1355"/>
      <c r="Y5" s="3673"/>
      <c r="Z5" s="3674"/>
      <c r="AA5" s="3659"/>
      <c r="AB5" s="3659"/>
      <c r="AC5" s="3659"/>
    </row>
    <row r="6" spans="1:29" ht="15.75" thickBot="1">
      <c r="A6" s="360"/>
      <c r="B6" s="361"/>
      <c r="C6" s="3678" t="s">
        <v>1677</v>
      </c>
      <c r="D6" s="3679"/>
      <c r="E6" s="3685" t="s">
        <v>1677</v>
      </c>
      <c r="F6" s="3686"/>
      <c r="G6" s="3678" t="s">
        <v>1677</v>
      </c>
      <c r="H6" s="3679"/>
      <c r="I6" s="3678" t="s">
        <v>1677</v>
      </c>
      <c r="J6" s="3679"/>
      <c r="K6" s="559" t="s">
        <v>1678</v>
      </c>
      <c r="L6" s="913"/>
      <c r="M6" s="914"/>
      <c r="N6" s="914"/>
      <c r="O6" s="914"/>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4" t="s">
        <v>1696</v>
      </c>
      <c r="Q29" s="1352" t="str">
        <f t="shared" si="11"/>
        <v>建筑类型</v>
      </c>
      <c r="R29" s="705" t="s">
        <v>14</v>
      </c>
      <c r="S29" s="706">
        <f t="shared" si="12"/>
        <v>100</v>
      </c>
      <c r="T29" s="705" t="s">
        <v>14</v>
      </c>
      <c r="U29" s="706">
        <f t="shared" si="13"/>
        <v>100</v>
      </c>
      <c r="V29" s="705" t="s">
        <v>14</v>
      </c>
      <c r="W29" s="706">
        <f t="shared" si="14"/>
        <v>100</v>
      </c>
      <c r="X29" s="1355"/>
      <c r="Y29" s="365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3"/>
      <c r="Q30" s="707" t="str">
        <f t="shared" si="11"/>
        <v>项目建筑规模</v>
      </c>
      <c r="R30" s="708" t="s">
        <v>14</v>
      </c>
      <c r="S30" s="709" t="e">
        <f t="shared" si="12"/>
        <v>#N/A</v>
      </c>
      <c r="T30" s="708" t="s">
        <v>14</v>
      </c>
      <c r="U30" s="709" t="e">
        <f t="shared" si="13"/>
        <v>#N/A</v>
      </c>
      <c r="V30" s="708" t="s">
        <v>14</v>
      </c>
      <c r="W30" s="709" t="e">
        <f t="shared" si="14"/>
        <v>#N/A</v>
      </c>
      <c r="X30" s="710"/>
      <c r="Y30" s="365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3"/>
      <c r="Q31" s="1352" t="str">
        <f t="shared" si="11"/>
        <v>建筑结构</v>
      </c>
      <c r="R31" s="705" t="s">
        <v>14</v>
      </c>
      <c r="S31" s="706">
        <f t="shared" si="12"/>
        <v>100</v>
      </c>
      <c r="T31" s="705" t="s">
        <v>14</v>
      </c>
      <c r="U31" s="706">
        <f t="shared" si="13"/>
        <v>100</v>
      </c>
      <c r="V31" s="705" t="s">
        <v>14</v>
      </c>
      <c r="W31" s="706">
        <f t="shared" si="14"/>
        <v>100</v>
      </c>
      <c r="X31" s="1355"/>
      <c r="Y31" s="36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3"/>
      <c r="Q32" s="1352" t="str">
        <f t="shared" si="11"/>
        <v>公共部分装修</v>
      </c>
      <c r="R32" s="705" t="s">
        <v>14</v>
      </c>
      <c r="S32" s="706">
        <f t="shared" si="12"/>
        <v>100</v>
      </c>
      <c r="T32" s="705" t="s">
        <v>14</v>
      </c>
      <c r="U32" s="706">
        <f t="shared" si="13"/>
        <v>100</v>
      </c>
      <c r="V32" s="705" t="s">
        <v>14</v>
      </c>
      <c r="W32" s="706">
        <f t="shared" si="14"/>
        <v>100</v>
      </c>
      <c r="X32" s="1355"/>
      <c r="Y32" s="365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3"/>
      <c r="Q33" s="1352" t="str">
        <f t="shared" si="11"/>
        <v>成新度</v>
      </c>
      <c r="R33" s="705" t="s">
        <v>14</v>
      </c>
      <c r="S33" s="706" t="e">
        <f t="shared" si="12"/>
        <v>#N/A</v>
      </c>
      <c r="T33" s="705" t="s">
        <v>14</v>
      </c>
      <c r="U33" s="706" t="e">
        <f t="shared" si="13"/>
        <v>#N/A</v>
      </c>
      <c r="V33" s="705" t="s">
        <v>14</v>
      </c>
      <c r="W33" s="706" t="e">
        <f t="shared" si="14"/>
        <v>#N/A</v>
      </c>
      <c r="X33" s="1355"/>
      <c r="Y33" s="365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3"/>
      <c r="Q34" s="1343" t="str">
        <f t="shared" si="11"/>
        <v>物业管理</v>
      </c>
      <c r="R34" s="701" t="s">
        <v>14</v>
      </c>
      <c r="S34" s="702">
        <f t="shared" si="12"/>
        <v>100</v>
      </c>
      <c r="T34" s="701" t="s">
        <v>14</v>
      </c>
      <c r="U34" s="702">
        <f t="shared" si="13"/>
        <v>100</v>
      </c>
      <c r="V34" s="701" t="s">
        <v>14</v>
      </c>
      <c r="W34" s="702">
        <f t="shared" si="14"/>
        <v>100</v>
      </c>
      <c r="X34" s="703"/>
      <c r="Y34" s="36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3" t="s">
        <v>1696</v>
      </c>
      <c r="Q35" s="1352" t="str">
        <f t="shared" si="11"/>
        <v>市政基础设施</v>
      </c>
      <c r="R35" s="705" t="s">
        <v>14</v>
      </c>
      <c r="S35" s="706">
        <f t="shared" si="12"/>
        <v>100</v>
      </c>
      <c r="T35" s="705" t="s">
        <v>14</v>
      </c>
      <c r="U35" s="706">
        <f t="shared" si="13"/>
        <v>100</v>
      </c>
      <c r="V35" s="705" t="s">
        <v>14</v>
      </c>
      <c r="W35" s="706">
        <f t="shared" si="14"/>
        <v>100</v>
      </c>
      <c r="X35" s="1355"/>
      <c r="Y35" s="365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3"/>
      <c r="Q36" s="1352" t="str">
        <f t="shared" si="11"/>
        <v>内部装修</v>
      </c>
      <c r="R36" s="705" t="s">
        <v>14</v>
      </c>
      <c r="S36" s="706">
        <f t="shared" si="12"/>
        <v>100</v>
      </c>
      <c r="T36" s="705" t="s">
        <v>14</v>
      </c>
      <c r="U36" s="706">
        <f t="shared" si="13"/>
        <v>100</v>
      </c>
      <c r="V36" s="705" t="s">
        <v>14</v>
      </c>
      <c r="W36" s="706">
        <f t="shared" si="14"/>
        <v>100</v>
      </c>
      <c r="X36" s="1355"/>
      <c r="Y36" s="365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3"/>
      <c r="Q37" s="1352" t="str">
        <f t="shared" si="11"/>
        <v>内部装修状况</v>
      </c>
      <c r="R37" s="705" t="s">
        <v>14</v>
      </c>
      <c r="S37" s="706">
        <f t="shared" si="12"/>
        <v>100</v>
      </c>
      <c r="T37" s="705" t="s">
        <v>14</v>
      </c>
      <c r="U37" s="706">
        <f t="shared" si="13"/>
        <v>100</v>
      </c>
      <c r="V37" s="705" t="s">
        <v>14</v>
      </c>
      <c r="W37" s="706">
        <f t="shared" si="14"/>
        <v>100</v>
      </c>
      <c r="X37" s="1355"/>
      <c r="Y37" s="36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3"/>
      <c r="Q38" s="707">
        <f t="shared" si="11"/>
        <v>111</v>
      </c>
      <c r="R38" s="708" t="s">
        <v>14</v>
      </c>
      <c r="S38" s="709">
        <f t="shared" si="12"/>
        <v>100</v>
      </c>
      <c r="T38" s="708" t="s">
        <v>14</v>
      </c>
      <c r="U38" s="709">
        <f t="shared" si="13"/>
        <v>100</v>
      </c>
      <c r="V38" s="708" t="s">
        <v>14</v>
      </c>
      <c r="W38" s="709">
        <f t="shared" si="14"/>
        <v>100</v>
      </c>
      <c r="X38" s="710"/>
      <c r="Y38" s="36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3"/>
      <c r="Q39" s="1352">
        <f t="shared" si="11"/>
        <v>111</v>
      </c>
      <c r="R39" s="705" t="s">
        <v>14</v>
      </c>
      <c r="S39" s="706">
        <f t="shared" si="12"/>
        <v>100</v>
      </c>
      <c r="T39" s="705" t="s">
        <v>14</v>
      </c>
      <c r="U39" s="706">
        <f t="shared" si="13"/>
        <v>100</v>
      </c>
      <c r="V39" s="705" t="s">
        <v>14</v>
      </c>
      <c r="W39" s="706">
        <f t="shared" si="14"/>
        <v>100</v>
      </c>
      <c r="X39" s="1355"/>
      <c r="Y39" s="365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4"/>
      <c r="Q40" s="1352">
        <f t="shared" si="11"/>
        <v>111</v>
      </c>
      <c r="R40" s="705" t="s">
        <v>14</v>
      </c>
      <c r="S40" s="706">
        <f t="shared" si="12"/>
        <v>100</v>
      </c>
      <c r="T40" s="705" t="s">
        <v>14</v>
      </c>
      <c r="U40" s="706">
        <f t="shared" si="13"/>
        <v>100</v>
      </c>
      <c r="V40" s="705" t="s">
        <v>14</v>
      </c>
      <c r="W40" s="706">
        <f t="shared" si="14"/>
        <v>100</v>
      </c>
      <c r="X40" s="1355"/>
      <c r="Y40" s="365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6" t="str">
        <f>A41</f>
        <v>成交单价（元/平方米）</v>
      </c>
      <c r="Q41" s="3646"/>
      <c r="R41" s="3647">
        <f>E41</f>
        <v>0</v>
      </c>
      <c r="S41" s="3647"/>
      <c r="T41" s="3647">
        <f>G41</f>
        <v>0</v>
      </c>
      <c r="U41" s="3647"/>
      <c r="V41" s="3647">
        <f>I41</f>
        <v>0</v>
      </c>
      <c r="W41" s="36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3" t="str">
        <f>A43</f>
        <v>估价对象XX用房的比较价值（楼面单价，元/平方米）</v>
      </c>
      <c r="Q43" s="3644"/>
      <c r="R43" s="3645" t="e">
        <f>IF(F1="售价",ROUND(IF(D42="简单平均",AVERAGE(R42:V42),R42*F42+T42*H42+V42*J42),0),ROUND(IF(D42="简单平均",AVERAGE(R42:V42),R42*F42+T42*H42+V42*J42),1))</f>
        <v>#DIV/0!</v>
      </c>
      <c r="S43" s="3645"/>
      <c r="T43" s="3645"/>
      <c r="U43" s="3645"/>
      <c r="V43" s="3645"/>
      <c r="W43" s="36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估价对象为房地产，为所有。根据《国有土地使用证》[]，估价对象（分摊）出让国有建设用地使用权面积为0平方米，建筑面积为8436.88平方米。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估价对象为房地产,属开发建设的，该项目尚在开发建设中。根据《国有土地使用证》[]，估价对象（分摊）出让国有建设用地使用权面积为0平方米，规划建筑面积为8436.88平方米。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0" t="s">
        <v>1673</v>
      </c>
      <c r="D5" s="3681"/>
      <c r="E5" s="3687" t="s">
        <v>1674</v>
      </c>
      <c r="F5" s="3688"/>
      <c r="G5" s="3680" t="s">
        <v>1675</v>
      </c>
      <c r="H5" s="3681"/>
      <c r="I5" s="3680"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5" t="s">
        <v>1677</v>
      </c>
      <c r="F6" s="3686"/>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6"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6"/>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0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3"/>
      <c r="Q27" s="707" t="str">
        <f t="shared" si="11"/>
        <v>项目停车位配比</v>
      </c>
      <c r="R27" s="708" t="s">
        <v>14</v>
      </c>
      <c r="S27" s="709">
        <f t="shared" si="12"/>
        <v>100</v>
      </c>
      <c r="T27" s="708" t="s">
        <v>14</v>
      </c>
      <c r="U27" s="709">
        <f t="shared" si="13"/>
        <v>100</v>
      </c>
      <c r="V27" s="708" t="s">
        <v>14</v>
      </c>
      <c r="W27" s="709">
        <f t="shared" si="14"/>
        <v>100</v>
      </c>
      <c r="X27" s="710"/>
      <c r="Y27" s="36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3"/>
      <c r="Q28" s="1352" t="str">
        <f t="shared" si="11"/>
        <v>公共部分装修</v>
      </c>
      <c r="R28" s="705" t="s">
        <v>14</v>
      </c>
      <c r="S28" s="706">
        <f t="shared" si="12"/>
        <v>100</v>
      </c>
      <c r="T28" s="705" t="s">
        <v>14</v>
      </c>
      <c r="U28" s="706">
        <f t="shared" si="13"/>
        <v>100</v>
      </c>
      <c r="V28" s="705" t="s">
        <v>14</v>
      </c>
      <c r="W28" s="706">
        <f t="shared" si="14"/>
        <v>100</v>
      </c>
      <c r="X28" s="1355"/>
      <c r="Y28" s="36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3"/>
      <c r="Q29" s="1352" t="str">
        <f t="shared" si="11"/>
        <v>成新率</v>
      </c>
      <c r="R29" s="705" t="s">
        <v>14</v>
      </c>
      <c r="S29" s="706" t="e">
        <f t="shared" si="12"/>
        <v>#N/A</v>
      </c>
      <c r="T29" s="705" t="s">
        <v>14</v>
      </c>
      <c r="U29" s="706" t="e">
        <f t="shared" si="13"/>
        <v>#N/A</v>
      </c>
      <c r="V29" s="705" t="s">
        <v>14</v>
      </c>
      <c r="W29" s="706" t="e">
        <f t="shared" si="14"/>
        <v>#N/A</v>
      </c>
      <c r="X29" s="1355"/>
      <c r="Y29" s="36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3"/>
      <c r="Q30" s="1352" t="str">
        <f t="shared" si="11"/>
        <v>物业等级</v>
      </c>
      <c r="R30" s="705" t="s">
        <v>14</v>
      </c>
      <c r="S30" s="706">
        <f t="shared" si="12"/>
        <v>100</v>
      </c>
      <c r="T30" s="705" t="s">
        <v>14</v>
      </c>
      <c r="U30" s="706">
        <f t="shared" si="13"/>
        <v>100</v>
      </c>
      <c r="V30" s="705" t="s">
        <v>14</v>
      </c>
      <c r="W30" s="706">
        <f t="shared" si="14"/>
        <v>100</v>
      </c>
      <c r="X30" s="1355"/>
      <c r="Y30" s="36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3"/>
      <c r="Q31" s="1343" t="str">
        <f t="shared" si="11"/>
        <v>停车位面积</v>
      </c>
      <c r="R31" s="701" t="s">
        <v>14</v>
      </c>
      <c r="S31" s="702" t="e">
        <f t="shared" si="12"/>
        <v>#N/A</v>
      </c>
      <c r="T31" s="701" t="s">
        <v>14</v>
      </c>
      <c r="U31" s="702" t="e">
        <f t="shared" si="13"/>
        <v>#N/A</v>
      </c>
      <c r="V31" s="701" t="s">
        <v>14</v>
      </c>
      <c r="W31" s="702" t="e">
        <f t="shared" si="14"/>
        <v>#N/A</v>
      </c>
      <c r="X31" s="703"/>
      <c r="Y31" s="36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3" t="s">
        <v>1696</v>
      </c>
      <c r="Q32" s="1352" t="str">
        <f t="shared" si="11"/>
        <v>车位类型</v>
      </c>
      <c r="R32" s="705" t="s">
        <v>14</v>
      </c>
      <c r="S32" s="706">
        <f t="shared" si="12"/>
        <v>100</v>
      </c>
      <c r="T32" s="705" t="s">
        <v>14</v>
      </c>
      <c r="U32" s="706">
        <f t="shared" si="13"/>
        <v>100</v>
      </c>
      <c r="V32" s="705" t="s">
        <v>14</v>
      </c>
      <c r="W32" s="706">
        <f t="shared" si="14"/>
        <v>100</v>
      </c>
      <c r="X32" s="1355"/>
      <c r="Y32" s="36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3"/>
      <c r="Q33" s="1352" t="str">
        <f t="shared" si="11"/>
        <v>是否直接入户</v>
      </c>
      <c r="R33" s="705" t="s">
        <v>14</v>
      </c>
      <c r="S33" s="706">
        <f t="shared" si="12"/>
        <v>100</v>
      </c>
      <c r="T33" s="705" t="s">
        <v>14</v>
      </c>
      <c r="U33" s="706">
        <f t="shared" si="13"/>
        <v>100</v>
      </c>
      <c r="V33" s="705" t="s">
        <v>14</v>
      </c>
      <c r="W33" s="706">
        <f t="shared" si="14"/>
        <v>100</v>
      </c>
      <c r="X33" s="1355"/>
      <c r="Y33" s="36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3"/>
      <c r="Q35" s="707">
        <f t="shared" si="11"/>
        <v>111</v>
      </c>
      <c r="R35" s="708" t="s">
        <v>14</v>
      </c>
      <c r="S35" s="709">
        <f t="shared" si="12"/>
        <v>100</v>
      </c>
      <c r="T35" s="708" t="s">
        <v>14</v>
      </c>
      <c r="U35" s="709">
        <f t="shared" si="13"/>
        <v>100</v>
      </c>
      <c r="V35" s="708" t="s">
        <v>14</v>
      </c>
      <c r="W35" s="709">
        <f t="shared" si="14"/>
        <v>100</v>
      </c>
      <c r="X35" s="710"/>
      <c r="Y35" s="36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3"/>
      <c r="Q36" s="1352">
        <f t="shared" si="11"/>
        <v>111</v>
      </c>
      <c r="R36" s="705" t="s">
        <v>14</v>
      </c>
      <c r="S36" s="706">
        <f t="shared" si="12"/>
        <v>100</v>
      </c>
      <c r="T36" s="705" t="s">
        <v>14</v>
      </c>
      <c r="U36" s="706">
        <f t="shared" si="13"/>
        <v>100</v>
      </c>
      <c r="V36" s="705" t="s">
        <v>14</v>
      </c>
      <c r="W36" s="706">
        <f t="shared" si="14"/>
        <v>100</v>
      </c>
      <c r="X36" s="1355"/>
      <c r="Y36" s="365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43" t="str">
        <f>A39</f>
        <v>估价对象XX用房的比较价值（楼面单价，元/平方米）</v>
      </c>
      <c r="Q39" s="3644"/>
      <c r="R39" s="3705" t="e">
        <f>IF(F1="售价",ROUND(IF(D38="简单平均",AVERAGE(R38:W38),R38*F38+T38*H38+V38*J38),0),ROUND(IF(D38="简单平均",AVERAGE(R38:V38),R38*F38+T38*H38+V38*J38),1))</f>
        <v>#DIV/0!</v>
      </c>
      <c r="S39" s="3705"/>
      <c r="T39" s="3705"/>
      <c r="U39" s="3705"/>
      <c r="V39" s="3705"/>
      <c r="W39" s="370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0" t="s">
        <v>1673</v>
      </c>
      <c r="D5" s="3681"/>
      <c r="E5" s="3687" t="s">
        <v>1674</v>
      </c>
      <c r="F5" s="3688"/>
      <c r="G5" s="3680" t="s">
        <v>1675</v>
      </c>
      <c r="H5" s="3681"/>
      <c r="I5" s="3680"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5" t="s">
        <v>1677</v>
      </c>
      <c r="F6" s="3686"/>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45348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6"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6"/>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0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3"/>
      <c r="Q27" s="707" t="str">
        <f t="shared" si="11"/>
        <v>成新率</v>
      </c>
      <c r="R27" s="708" t="s">
        <v>14</v>
      </c>
      <c r="S27" s="709" t="e">
        <f t="shared" si="12"/>
        <v>#N/A</v>
      </c>
      <c r="T27" s="708" t="s">
        <v>14</v>
      </c>
      <c r="U27" s="709" t="e">
        <f t="shared" si="13"/>
        <v>#N/A</v>
      </c>
      <c r="V27" s="708" t="s">
        <v>14</v>
      </c>
      <c r="W27" s="709" t="e">
        <f t="shared" si="14"/>
        <v>#N/A</v>
      </c>
      <c r="X27" s="710"/>
      <c r="Y27" s="36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3"/>
      <c r="Q28" s="1352" t="str">
        <f t="shared" si="11"/>
        <v>物业等级</v>
      </c>
      <c r="R28" s="705" t="s">
        <v>14</v>
      </c>
      <c r="S28" s="706">
        <f t="shared" si="12"/>
        <v>100</v>
      </c>
      <c r="T28" s="705" t="s">
        <v>14</v>
      </c>
      <c r="U28" s="706">
        <f t="shared" si="13"/>
        <v>100</v>
      </c>
      <c r="V28" s="705" t="s">
        <v>14</v>
      </c>
      <c r="W28" s="706">
        <f t="shared" si="14"/>
        <v>100</v>
      </c>
      <c r="X28" s="1355"/>
      <c r="Y28" s="36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3"/>
      <c r="Q29" s="1352" t="str">
        <f t="shared" si="11"/>
        <v>有无电梯</v>
      </c>
      <c r="R29" s="705" t="s">
        <v>14</v>
      </c>
      <c r="S29" s="706">
        <f t="shared" si="12"/>
        <v>100</v>
      </c>
      <c r="T29" s="705" t="s">
        <v>14</v>
      </c>
      <c r="U29" s="706">
        <f t="shared" si="13"/>
        <v>100</v>
      </c>
      <c r="V29" s="705" t="s">
        <v>14</v>
      </c>
      <c r="W29" s="706">
        <f t="shared" si="14"/>
        <v>100</v>
      </c>
      <c r="X29" s="1355"/>
      <c r="Y29" s="36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3"/>
      <c r="Q30" s="1352" t="str">
        <f t="shared" si="11"/>
        <v>建筑面积</v>
      </c>
      <c r="R30" s="705" t="s">
        <v>14</v>
      </c>
      <c r="S30" s="706" t="e">
        <f t="shared" si="12"/>
        <v>#N/A</v>
      </c>
      <c r="T30" s="705" t="s">
        <v>14</v>
      </c>
      <c r="U30" s="706" t="e">
        <f t="shared" si="13"/>
        <v>#N/A</v>
      </c>
      <c r="V30" s="705" t="s">
        <v>14</v>
      </c>
      <c r="W30" s="706" t="e">
        <f t="shared" si="14"/>
        <v>#N/A</v>
      </c>
      <c r="X30" s="1355"/>
      <c r="Y30" s="36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3"/>
      <c r="Q31" s="1343" t="str">
        <f t="shared" si="11"/>
        <v>是否封闭</v>
      </c>
      <c r="R31" s="701" t="s">
        <v>14</v>
      </c>
      <c r="S31" s="702">
        <f t="shared" si="12"/>
        <v>100</v>
      </c>
      <c r="T31" s="701" t="s">
        <v>14</v>
      </c>
      <c r="U31" s="702">
        <f t="shared" si="13"/>
        <v>100</v>
      </c>
      <c r="V31" s="701" t="s">
        <v>14</v>
      </c>
      <c r="W31" s="702">
        <f t="shared" si="14"/>
        <v>100</v>
      </c>
      <c r="X31" s="703"/>
      <c r="Y31" s="36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3" t="s">
        <v>1696</v>
      </c>
      <c r="Q32" s="1352">
        <f t="shared" si="11"/>
        <v>111</v>
      </c>
      <c r="R32" s="705" t="s">
        <v>14</v>
      </c>
      <c r="S32" s="706">
        <f t="shared" si="12"/>
        <v>100</v>
      </c>
      <c r="T32" s="705" t="s">
        <v>14</v>
      </c>
      <c r="U32" s="706">
        <f t="shared" si="13"/>
        <v>100</v>
      </c>
      <c r="V32" s="705" t="s">
        <v>14</v>
      </c>
      <c r="W32" s="706">
        <f t="shared" si="14"/>
        <v>100</v>
      </c>
      <c r="X32" s="1355"/>
      <c r="Y32" s="36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3"/>
      <c r="Q33" s="1352">
        <f t="shared" si="11"/>
        <v>111</v>
      </c>
      <c r="R33" s="705" t="s">
        <v>14</v>
      </c>
      <c r="S33" s="706">
        <f t="shared" si="12"/>
        <v>100</v>
      </c>
      <c r="T33" s="705" t="s">
        <v>14</v>
      </c>
      <c r="U33" s="706">
        <f t="shared" si="13"/>
        <v>100</v>
      </c>
      <c r="V33" s="705" t="s">
        <v>14</v>
      </c>
      <c r="W33" s="706">
        <f t="shared" si="14"/>
        <v>100</v>
      </c>
      <c r="X33" s="1355"/>
      <c r="Y33" s="36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43" t="str">
        <f>A37</f>
        <v>估价对象XX用房的比较价值（楼面单价，元/平方米）</v>
      </c>
      <c r="Q37" s="3644"/>
      <c r="R37" s="3705" t="e">
        <f>IF(F1="售价",ROUND(IF(D36="简单平均",AVERAGE(R36:W36),R36*F36+T36*H36+V36*J36),0),ROUND(IF(D36="简单平均",AVERAGE(R36:V36),R36*F36+T36*H36+V36*J36),1))</f>
        <v>#DIV/0!</v>
      </c>
      <c r="S37" s="3705"/>
      <c r="T37" s="3705"/>
      <c r="U37" s="3705"/>
      <c r="V37" s="3705"/>
      <c r="W37" s="370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30" ht="15">
      <c r="A5" s="358"/>
      <c r="B5" s="359"/>
      <c r="C5" s="3680" t="s">
        <v>1673</v>
      </c>
      <c r="D5" s="3681"/>
      <c r="E5" s="3687" t="s">
        <v>1674</v>
      </c>
      <c r="F5" s="3688"/>
      <c r="G5" s="3680" t="s">
        <v>1675</v>
      </c>
      <c r="H5" s="3681"/>
      <c r="I5" s="3680" t="s">
        <v>1676</v>
      </c>
      <c r="J5" s="3681"/>
      <c r="K5" s="559"/>
      <c r="L5" s="2715"/>
      <c r="M5" s="2716"/>
      <c r="N5" s="2716"/>
      <c r="O5" s="2716"/>
      <c r="P5" s="3667"/>
      <c r="Q5" s="3668"/>
      <c r="R5" s="3673"/>
      <c r="S5" s="3674"/>
      <c r="T5" s="3673"/>
      <c r="U5" s="3674"/>
      <c r="V5" s="3677"/>
      <c r="W5" s="3677"/>
      <c r="X5" s="1355"/>
      <c r="Y5" s="3673"/>
      <c r="Z5" s="3674"/>
      <c r="AA5" s="3659"/>
      <c r="AB5" s="3659"/>
      <c r="AC5" s="3659"/>
    </row>
    <row r="6" spans="1:30" ht="15.75" thickBot="1">
      <c r="A6" s="360"/>
      <c r="B6" s="361"/>
      <c r="C6" s="3678" t="s">
        <v>1677</v>
      </c>
      <c r="D6" s="3679"/>
      <c r="E6" s="3685" t="s">
        <v>1677</v>
      </c>
      <c r="F6" s="3686"/>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30" s="108" customFormat="1" ht="15.75" thickBot="1">
      <c r="A7" s="362" t="s">
        <v>1679</v>
      </c>
      <c r="B7" s="363"/>
      <c r="C7" s="364">
        <f>'数据-取费表'!B2</f>
        <v>45348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46"/>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6"/>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04" t="s">
        <v>1696</v>
      </c>
      <c r="Q36" s="1352">
        <f t="shared" si="8"/>
        <v>111</v>
      </c>
      <c r="R36" s="705" t="s">
        <v>14</v>
      </c>
      <c r="S36" s="706">
        <f t="shared" si="10"/>
        <v>100</v>
      </c>
      <c r="T36" s="705" t="s">
        <v>14</v>
      </c>
      <c r="U36" s="706">
        <f t="shared" si="11"/>
        <v>100</v>
      </c>
      <c r="V36" s="705" t="s">
        <v>14</v>
      </c>
      <c r="W36" s="706">
        <f t="shared" si="12"/>
        <v>100</v>
      </c>
      <c r="X36" s="1355"/>
      <c r="Y36" s="365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3"/>
      <c r="Q37" s="1352">
        <f t="shared" si="8"/>
        <v>111</v>
      </c>
      <c r="R37" s="708" t="s">
        <v>14</v>
      </c>
      <c r="S37" s="709">
        <f t="shared" si="10"/>
        <v>100</v>
      </c>
      <c r="T37" s="708" t="s">
        <v>14</v>
      </c>
      <c r="U37" s="709">
        <f t="shared" si="11"/>
        <v>100</v>
      </c>
      <c r="V37" s="708" t="s">
        <v>14</v>
      </c>
      <c r="W37" s="709">
        <f t="shared" si="12"/>
        <v>100</v>
      </c>
      <c r="X37" s="710"/>
      <c r="Y37" s="365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3"/>
      <c r="Q38" s="1352" t="str">
        <f>B38</f>
        <v>宗地面积</v>
      </c>
      <c r="R38" s="705" t="s">
        <v>14</v>
      </c>
      <c r="S38" s="706" t="e">
        <f t="shared" si="10"/>
        <v>#N/A</v>
      </c>
      <c r="T38" s="705" t="s">
        <v>14</v>
      </c>
      <c r="U38" s="706" t="e">
        <f t="shared" si="11"/>
        <v>#N/A</v>
      </c>
      <c r="V38" s="705" t="s">
        <v>14</v>
      </c>
      <c r="W38" s="706" t="e">
        <f t="shared" si="12"/>
        <v>#N/A</v>
      </c>
      <c r="X38" s="1355"/>
      <c r="Y38" s="36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3"/>
      <c r="Q39" s="1352" t="str">
        <f t="shared" ref="Q39:Q45" si="14">B39</f>
        <v>宗地形状</v>
      </c>
      <c r="R39" s="705" t="s">
        <v>14</v>
      </c>
      <c r="S39" s="706">
        <f t="shared" si="10"/>
        <v>100</v>
      </c>
      <c r="T39" s="705" t="s">
        <v>14</v>
      </c>
      <c r="U39" s="706">
        <f t="shared" si="11"/>
        <v>100</v>
      </c>
      <c r="V39" s="705" t="s">
        <v>14</v>
      </c>
      <c r="W39" s="706">
        <f t="shared" si="12"/>
        <v>100</v>
      </c>
      <c r="X39" s="1355"/>
      <c r="Y39" s="36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3"/>
      <c r="Q40" s="1352" t="str">
        <f t="shared" si="14"/>
        <v>临街宽度及深度</v>
      </c>
      <c r="R40" s="705" t="s">
        <v>14</v>
      </c>
      <c r="S40" s="706">
        <f t="shared" si="10"/>
        <v>100</v>
      </c>
      <c r="T40" s="705" t="s">
        <v>14</v>
      </c>
      <c r="U40" s="706">
        <f t="shared" si="11"/>
        <v>100</v>
      </c>
      <c r="V40" s="705" t="s">
        <v>14</v>
      </c>
      <c r="W40" s="706">
        <f t="shared" si="12"/>
        <v>100</v>
      </c>
      <c r="X40" s="1355"/>
      <c r="Y40" s="365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3"/>
      <c r="Q41" s="1352" t="str">
        <f t="shared" si="14"/>
        <v>宗地开发程度</v>
      </c>
      <c r="R41" s="701" t="s">
        <v>14</v>
      </c>
      <c r="S41" s="702">
        <f t="shared" si="10"/>
        <v>100</v>
      </c>
      <c r="T41" s="701" t="s">
        <v>14</v>
      </c>
      <c r="U41" s="702">
        <f t="shared" si="11"/>
        <v>100</v>
      </c>
      <c r="V41" s="701" t="s">
        <v>14</v>
      </c>
      <c r="W41" s="702">
        <f t="shared" si="12"/>
        <v>100</v>
      </c>
      <c r="X41" s="703"/>
      <c r="Y41" s="36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3" t="s">
        <v>1696</v>
      </c>
      <c r="Q42" s="1352" t="str">
        <f t="shared" si="14"/>
        <v>工程地质条件</v>
      </c>
      <c r="R42" s="705" t="s">
        <v>14</v>
      </c>
      <c r="S42" s="706">
        <f t="shared" si="10"/>
        <v>100</v>
      </c>
      <c r="T42" s="705" t="s">
        <v>14</v>
      </c>
      <c r="U42" s="706">
        <f t="shared" si="11"/>
        <v>100</v>
      </c>
      <c r="V42" s="705" t="s">
        <v>14</v>
      </c>
      <c r="W42" s="706">
        <f t="shared" si="12"/>
        <v>100</v>
      </c>
      <c r="X42" s="1355"/>
      <c r="Y42" s="36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3"/>
      <c r="Q43" s="1352">
        <f t="shared" si="14"/>
        <v>111</v>
      </c>
      <c r="R43" s="705" t="s">
        <v>14</v>
      </c>
      <c r="S43" s="706">
        <f t="shared" si="10"/>
        <v>100</v>
      </c>
      <c r="T43" s="705" t="s">
        <v>14</v>
      </c>
      <c r="U43" s="706">
        <f t="shared" si="11"/>
        <v>100</v>
      </c>
      <c r="V43" s="705" t="s">
        <v>14</v>
      </c>
      <c r="W43" s="706">
        <f t="shared" si="12"/>
        <v>100</v>
      </c>
      <c r="X43" s="1355"/>
      <c r="Y43" s="36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3"/>
      <c r="Q44" s="1352">
        <f t="shared" si="14"/>
        <v>111</v>
      </c>
      <c r="R44" s="705" t="s">
        <v>14</v>
      </c>
      <c r="S44" s="706">
        <f t="shared" si="10"/>
        <v>100</v>
      </c>
      <c r="T44" s="705" t="s">
        <v>14</v>
      </c>
      <c r="U44" s="706">
        <f t="shared" si="11"/>
        <v>100</v>
      </c>
      <c r="V44" s="705" t="s">
        <v>14</v>
      </c>
      <c r="W44" s="706">
        <f t="shared" si="12"/>
        <v>100</v>
      </c>
      <c r="X44" s="1355"/>
      <c r="Y44" s="36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3"/>
      <c r="Q45" s="1352">
        <f t="shared" si="14"/>
        <v>111</v>
      </c>
      <c r="R45" s="708" t="s">
        <v>14</v>
      </c>
      <c r="S45" s="709">
        <f t="shared" si="10"/>
        <v>100</v>
      </c>
      <c r="T45" s="708" t="s">
        <v>14</v>
      </c>
      <c r="U45" s="709">
        <f t="shared" si="11"/>
        <v>100</v>
      </c>
      <c r="V45" s="708" t="s">
        <v>14</v>
      </c>
      <c r="W45" s="709">
        <f t="shared" si="12"/>
        <v>100</v>
      </c>
      <c r="X45" s="710"/>
      <c r="Y45" s="365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6" t="str">
        <f>A46</f>
        <v>成交单价</v>
      </c>
      <c r="Q46" s="3646"/>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6" t="str">
        <f>A47</f>
        <v>比较价值（元/平方米）</v>
      </c>
      <c r="Q47" s="3646"/>
      <c r="R47" s="3706" t="e">
        <f>ROUND(PRODUCT(R46,AA7:AA45),0)</f>
        <v>#DIV/0!</v>
      </c>
      <c r="S47" s="3706"/>
      <c r="T47" s="3706" t="e">
        <f>ROUND(PRODUCT(T46,AB7:AB45),0)</f>
        <v>#DIV/0!</v>
      </c>
      <c r="U47" s="3706"/>
      <c r="V47" s="3706" t="e">
        <f>ROUND(PRODUCT(V46,AC7:AC45),0)</f>
        <v>#DIV/0!</v>
      </c>
      <c r="W47" s="370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43" t="str">
        <f>A48</f>
        <v>估价对象XX用房的比较价值（楼面单价，元/平方米）</v>
      </c>
      <c r="Q48" s="3644"/>
      <c r="R48" s="3707" t="e">
        <f>ROUND(IF(D47="简单平均",AVERAGE(R47:W47),R47*F47+T47*H47+V47*J47),0)</f>
        <v>#DIV/0!</v>
      </c>
      <c r="S48" s="3707"/>
      <c r="T48" s="3707"/>
      <c r="U48" s="3707"/>
      <c r="V48" s="3707"/>
      <c r="W48" s="370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1" t="s">
        <v>1887</v>
      </c>
      <c r="H55" s="370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8436.880000000001</v>
      </c>
      <c r="F56" s="886" t="e">
        <f t="shared" ref="F56:F64" si="15">ROUND(B56*E56/10000,0)</f>
        <v>#DIV/0!</v>
      </c>
      <c r="G56" s="3657"/>
      <c r="H56" s="364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8436.880000000001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0" t="s">
        <v>1673</v>
      </c>
      <c r="D5" s="3681"/>
      <c r="E5" s="3687" t="s">
        <v>1674</v>
      </c>
      <c r="F5" s="3688"/>
      <c r="G5" s="3680" t="s">
        <v>1675</v>
      </c>
      <c r="H5" s="3681"/>
      <c r="I5" s="3680"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709" t="s">
        <v>1919</v>
      </c>
      <c r="D6" s="3710"/>
      <c r="E6" s="3711" t="s">
        <v>1919</v>
      </c>
      <c r="F6" s="3712"/>
      <c r="G6" s="3709" t="s">
        <v>1919</v>
      </c>
      <c r="H6" s="3710"/>
      <c r="I6" s="3709" t="s">
        <v>1919</v>
      </c>
      <c r="J6" s="3710"/>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45348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46"/>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04" t="s">
        <v>1696</v>
      </c>
      <c r="Q32" s="1352">
        <f t="shared" si="8"/>
        <v>111</v>
      </c>
      <c r="R32" s="705" t="s">
        <v>14</v>
      </c>
      <c r="S32" s="706">
        <f t="shared" si="10"/>
        <v>100</v>
      </c>
      <c r="T32" s="705" t="s">
        <v>14</v>
      </c>
      <c r="U32" s="706">
        <f t="shared" si="11"/>
        <v>100</v>
      </c>
      <c r="V32" s="705" t="s">
        <v>14</v>
      </c>
      <c r="W32" s="706">
        <f t="shared" si="12"/>
        <v>100</v>
      </c>
      <c r="X32" s="1355"/>
      <c r="Y32" s="365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3"/>
      <c r="Q33" s="1352">
        <f t="shared" si="8"/>
        <v>111</v>
      </c>
      <c r="R33" s="708" t="s">
        <v>14</v>
      </c>
      <c r="S33" s="709">
        <f t="shared" si="10"/>
        <v>100</v>
      </c>
      <c r="T33" s="708" t="s">
        <v>14</v>
      </c>
      <c r="U33" s="709">
        <f t="shared" si="11"/>
        <v>100</v>
      </c>
      <c r="V33" s="708" t="s">
        <v>14</v>
      </c>
      <c r="W33" s="709">
        <f t="shared" si="12"/>
        <v>100</v>
      </c>
      <c r="X33" s="710"/>
      <c r="Y33" s="36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3"/>
      <c r="Q34" s="1352" t="str">
        <f>B34</f>
        <v>宗地面积</v>
      </c>
      <c r="R34" s="705" t="s">
        <v>14</v>
      </c>
      <c r="S34" s="706" t="e">
        <f t="shared" si="10"/>
        <v>#N/A</v>
      </c>
      <c r="T34" s="705" t="s">
        <v>14</v>
      </c>
      <c r="U34" s="706" t="e">
        <f t="shared" si="11"/>
        <v>#N/A</v>
      </c>
      <c r="V34" s="705" t="s">
        <v>14</v>
      </c>
      <c r="W34" s="706" t="e">
        <f t="shared" si="12"/>
        <v>#N/A</v>
      </c>
      <c r="X34" s="1355"/>
      <c r="Y34" s="36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3"/>
      <c r="Q35" s="1352" t="str">
        <f t="shared" ref="Q35:Q40" si="14">B35</f>
        <v>宗地形状</v>
      </c>
      <c r="R35" s="705" t="s">
        <v>14</v>
      </c>
      <c r="S35" s="706">
        <f t="shared" si="10"/>
        <v>100</v>
      </c>
      <c r="T35" s="705" t="s">
        <v>14</v>
      </c>
      <c r="U35" s="706">
        <f t="shared" si="11"/>
        <v>100</v>
      </c>
      <c r="V35" s="705" t="s">
        <v>14</v>
      </c>
      <c r="W35" s="706">
        <f t="shared" si="12"/>
        <v>100</v>
      </c>
      <c r="X35" s="1355"/>
      <c r="Y35" s="365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3"/>
      <c r="Q36" s="1352" t="str">
        <f t="shared" si="14"/>
        <v>宗地开发程度</v>
      </c>
      <c r="R36" s="701" t="s">
        <v>14</v>
      </c>
      <c r="S36" s="702">
        <f t="shared" si="10"/>
        <v>100</v>
      </c>
      <c r="T36" s="701" t="s">
        <v>14</v>
      </c>
      <c r="U36" s="702">
        <f t="shared" si="11"/>
        <v>100</v>
      </c>
      <c r="V36" s="701" t="s">
        <v>14</v>
      </c>
      <c r="W36" s="702">
        <f t="shared" si="12"/>
        <v>100</v>
      </c>
      <c r="X36" s="703"/>
      <c r="Y36" s="36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3" t="s">
        <v>1696</v>
      </c>
      <c r="Q37" s="1352" t="str">
        <f t="shared" si="14"/>
        <v>工程地质条件</v>
      </c>
      <c r="R37" s="705" t="s">
        <v>14</v>
      </c>
      <c r="S37" s="706">
        <f t="shared" si="10"/>
        <v>100</v>
      </c>
      <c r="T37" s="705" t="s">
        <v>14</v>
      </c>
      <c r="U37" s="706">
        <f t="shared" si="11"/>
        <v>100</v>
      </c>
      <c r="V37" s="705" t="s">
        <v>14</v>
      </c>
      <c r="W37" s="706">
        <f t="shared" si="12"/>
        <v>100</v>
      </c>
      <c r="X37" s="1355"/>
      <c r="Y37" s="36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3"/>
      <c r="Q38" s="1352">
        <f t="shared" si="14"/>
        <v>111</v>
      </c>
      <c r="R38" s="705" t="s">
        <v>14</v>
      </c>
      <c r="S38" s="706">
        <f t="shared" si="10"/>
        <v>100</v>
      </c>
      <c r="T38" s="705" t="s">
        <v>14</v>
      </c>
      <c r="U38" s="706">
        <f t="shared" si="11"/>
        <v>100</v>
      </c>
      <c r="V38" s="705" t="s">
        <v>14</v>
      </c>
      <c r="W38" s="706">
        <f t="shared" si="12"/>
        <v>100</v>
      </c>
      <c r="X38" s="1355"/>
      <c r="Y38" s="36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3"/>
      <c r="Q39" s="1352">
        <f t="shared" si="14"/>
        <v>111</v>
      </c>
      <c r="R39" s="705" t="s">
        <v>14</v>
      </c>
      <c r="S39" s="706">
        <f t="shared" si="10"/>
        <v>100</v>
      </c>
      <c r="T39" s="705" t="s">
        <v>14</v>
      </c>
      <c r="U39" s="706">
        <f t="shared" si="11"/>
        <v>100</v>
      </c>
      <c r="V39" s="705" t="s">
        <v>14</v>
      </c>
      <c r="W39" s="706">
        <f t="shared" si="12"/>
        <v>100</v>
      </c>
      <c r="X39" s="1355"/>
      <c r="Y39" s="36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3"/>
      <c r="Q40" s="1352">
        <f t="shared" si="14"/>
        <v>111</v>
      </c>
      <c r="R40" s="708" t="s">
        <v>14</v>
      </c>
      <c r="S40" s="709">
        <f t="shared" si="10"/>
        <v>100</v>
      </c>
      <c r="T40" s="708" t="s">
        <v>14</v>
      </c>
      <c r="U40" s="709">
        <f t="shared" si="11"/>
        <v>100</v>
      </c>
      <c r="V40" s="708" t="s">
        <v>14</v>
      </c>
      <c r="W40" s="709">
        <f t="shared" si="12"/>
        <v>100</v>
      </c>
      <c r="X40" s="710"/>
      <c r="Y40" s="365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6" t="str">
        <f>A41</f>
        <v>成交单价</v>
      </c>
      <c r="Q41" s="3646"/>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6" t="str">
        <f>A42</f>
        <v>比较价值（元/平方米）</v>
      </c>
      <c r="Q42" s="3646"/>
      <c r="R42" s="3706" t="e">
        <f>ROUND(PRODUCT(R41,AA7:AA40),0)</f>
        <v>#DIV/0!</v>
      </c>
      <c r="S42" s="3706"/>
      <c r="T42" s="3706" t="e">
        <f>ROUND(PRODUCT(T41,AB7:AB40),0)</f>
        <v>#DIV/0!</v>
      </c>
      <c r="U42" s="3706"/>
      <c r="V42" s="3706" t="e">
        <f>ROUND(PRODUCT(V41,AC7:AC40),0)</f>
        <v>#DIV/0!</v>
      </c>
      <c r="W42" s="370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43" t="str">
        <f>A43</f>
        <v>估价对象XX用房的比较价值（楼面单价，元/平方米）</v>
      </c>
      <c r="Q43" s="3644"/>
      <c r="R43" s="3707" t="e">
        <f>ROUND(IF(D42="简单平均",AVERAGE(R42:W42),R42*F42+T42*H42+V42*J42),0)</f>
        <v>#DIV/0!</v>
      </c>
      <c r="S43" s="3707"/>
      <c r="T43" s="3707"/>
      <c r="U43" s="3707"/>
      <c r="V43" s="3707"/>
      <c r="W43" s="370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1" t="s">
        <v>1887</v>
      </c>
      <c r="H50" s="370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8436.880000000001</v>
      </c>
      <c r="F51" s="639" t="e">
        <f t="shared" ref="F51:F60" si="15">ROUND(B51*E51/10000,0)</f>
        <v>#DIV/0!</v>
      </c>
      <c r="G51" s="3657"/>
      <c r="H51" s="364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16" t="s">
        <v>2084</v>
      </c>
      <c r="D1" s="3717"/>
      <c r="E1" s="3717"/>
      <c r="F1" s="3717"/>
      <c r="G1" s="3717"/>
      <c r="H1" s="3717"/>
      <c r="I1" s="3717"/>
      <c r="J1" s="3717"/>
      <c r="K1" s="3717"/>
      <c r="L1" s="3717"/>
      <c r="M1" s="3717"/>
      <c r="N1" s="3717"/>
      <c r="O1" s="3717"/>
      <c r="P1" s="3717"/>
      <c r="Q1" s="3717"/>
      <c r="R1" s="3717"/>
      <c r="S1" s="371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13" t="s">
        <v>27</v>
      </c>
      <c r="D22" s="3714"/>
      <c r="E22" s="3714"/>
      <c r="F22" s="3714"/>
      <c r="G22" s="3714"/>
      <c r="H22" s="3714"/>
      <c r="I22" s="3714"/>
      <c r="J22" s="3714"/>
      <c r="K22" s="3714"/>
      <c r="L22" s="3714"/>
      <c r="M22" s="3714"/>
      <c r="N22" s="3714"/>
      <c r="O22" s="3714"/>
      <c r="P22" s="3714"/>
      <c r="Q22" s="371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24388</v>
      </c>
      <c r="C2" s="2145" t="s">
        <v>2074</v>
      </c>
      <c r="D2" s="2145" t="s">
        <v>2075</v>
      </c>
      <c r="E2" s="2612">
        <f ca="1">SUMIF(E6:E13,"&lt;&gt;#ref!",E6:E13)</f>
        <v>8436.880000000001</v>
      </c>
      <c r="F2" s="2793"/>
      <c r="G2" s="2793"/>
      <c r="H2" s="2793"/>
      <c r="I2" s="2793"/>
      <c r="J2" s="2793"/>
      <c r="K2" s="2793"/>
      <c r="L2" s="2793"/>
      <c r="M2" s="2793"/>
      <c r="N2" s="2793"/>
      <c r="O2" s="2793"/>
      <c r="P2" s="2793"/>
    </row>
    <row r="3" spans="1:16" ht="15.75">
      <c r="A3" s="2145" t="s">
        <v>2076</v>
      </c>
      <c r="B3" s="2602">
        <f ca="1">ROUND(B2*10000/E2,0)</f>
        <v>28906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24388</v>
      </c>
      <c r="C6" s="2145" t="s">
        <v>2074</v>
      </c>
      <c r="D6" s="2793"/>
      <c r="E6" s="2612">
        <f ca="1">SUMIF(INDIRECT("'"&amp;A6&amp;"'"&amp;"!C:C"),"建筑面积",INDIRECT("'"&amp;A6&amp;"'"&amp;"!D:D"))</f>
        <v>8436.880000000001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J22" sqref="J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8436.880000000001</v>
      </c>
      <c r="E1" s="1995"/>
      <c r="F1" s="1995"/>
      <c r="G1" s="1995"/>
      <c r="H1" s="1995"/>
      <c r="I1" s="1995"/>
      <c r="J1" s="1995"/>
      <c r="K1" s="1119"/>
      <c r="L1" s="1996" t="s">
        <v>1928</v>
      </c>
      <c r="M1" s="863">
        <f>SUMPRODUCT((区片价!B5:B9=I2)*(区片价!C3:G3=E2)*(区片价!C5:G9))</f>
        <v>32510</v>
      </c>
      <c r="N1" s="866">
        <f>SUMPRODUCT((因素修正幅度!B5:B9=I2)*(因素修正幅度!C3:G3=E2)*(因素修正幅度!C5:G9))</f>
        <v>8.2000000000000003E-2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24388</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43954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28906</v>
      </c>
      <c r="C3" s="1999" t="s">
        <v>1941</v>
      </c>
      <c r="D3" s="2000" t="s">
        <v>1942</v>
      </c>
      <c r="E3" s="3420" t="s">
        <v>3421</v>
      </c>
      <c r="F3" s="2004" t="s">
        <v>3422</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34895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26"/>
      <c r="B4" s="3727"/>
      <c r="C4" s="3727"/>
      <c r="D4" s="3728"/>
      <c r="E4" s="3728"/>
      <c r="F4" s="3728"/>
      <c r="G4" s="3728"/>
      <c r="H4" s="3728"/>
      <c r="I4" s="3728"/>
      <c r="J4" s="372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30151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33485</v>
      </c>
      <c r="D5" s="1339">
        <f>ROUND(C6*C17+C20,0)</f>
        <v>32510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27284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26003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23" t="s">
        <v>1960</v>
      </c>
      <c r="X8" s="372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2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2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1.03</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0" t="s">
        <v>3258</v>
      </c>
      <c r="B20" s="167" t="s">
        <v>1994</v>
      </c>
      <c r="C20" s="3325">
        <f>ROUND(IF(F21="与级别开发程度一致",0,(G21-E21)/C21),0)</f>
        <v>0</v>
      </c>
      <c r="D20" s="3341" t="s">
        <v>1998</v>
      </c>
      <c r="E20" s="3342"/>
      <c r="F20" s="3736" t="s">
        <v>1995</v>
      </c>
      <c r="G20" s="373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3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3423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45348</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0.80689999999999995</v>
      </c>
      <c r="D24" s="2060" t="s">
        <v>2007</v>
      </c>
      <c r="E24" s="1335">
        <f>存贷款利率!E24/100</f>
        <v>4.3499999999999997E-2</v>
      </c>
      <c r="F24" s="2060" t="s">
        <v>1999</v>
      </c>
      <c r="G24" s="768">
        <f>SUMIF(M30:Q30,E2,M33:Q33)</f>
        <v>5.5E-2</v>
      </c>
      <c r="H24" s="2060" t="s">
        <v>2008</v>
      </c>
      <c r="I24" s="769">
        <f>SUMIF('数据-取费表'!C6:C15,E2,'数据-取费表'!F6:F15)/COUNTIF('数据-取费表'!C6:C15,E2)</f>
        <v>26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24388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28906</v>
      </c>
      <c r="D33" s="2098">
        <f>'数据-汇总表'!F19</f>
        <v>8436.880000000001</v>
      </c>
      <c r="E33" s="773">
        <f>ROUND(C33*D33/10000,0)</f>
        <v>24388</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7227</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4"/>
      <c r="B37" s="2113" t="s">
        <v>2036</v>
      </c>
      <c r="C37" s="175">
        <f>ROUND(D5*C22*C23*C24*C28*F37,0)</f>
        <v>19645</v>
      </c>
      <c r="D37" s="2098"/>
      <c r="E37" s="171">
        <f>ROUND(C37*D37/10000,0)</f>
        <v>0</v>
      </c>
      <c r="F37" s="171">
        <f>SUMIF(修正!A57:A68,G2,修正!B57:B68)</f>
        <v>0.7</v>
      </c>
      <c r="G37" s="171">
        <f>ROUND(IF(E2="工业",C37*$M$42,C37*$M$41),0)</f>
        <v>4911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5"/>
      <c r="B38" s="2041" t="s">
        <v>2037</v>
      </c>
      <c r="C38" s="175">
        <f>ROUND(D5*C22*C23*C24*C28*F38,0)</f>
        <v>11226</v>
      </c>
      <c r="D38" s="2098"/>
      <c r="E38" s="171">
        <f t="shared" ref="E38:E42" si="4">ROUND(C38*D38/10000,0)</f>
        <v>0</v>
      </c>
      <c r="F38" s="171">
        <f>SUMIF(修正!A57:A68,G2,修正!C57:C68)</f>
        <v>0.4</v>
      </c>
      <c r="G38" s="171">
        <f>ROUND(IF(E2="工业",C38*$M$42,C38*$M$41),0)</f>
        <v>2807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35"/>
      <c r="B39" s="2041" t="s">
        <v>3263</v>
      </c>
      <c r="C39" s="175">
        <f>ROUND(D5*C22*C23*C24*C28*F39,0)</f>
        <v>8419</v>
      </c>
      <c r="D39" s="2098"/>
      <c r="E39" s="171">
        <f t="shared" si="4"/>
        <v>0</v>
      </c>
      <c r="F39" s="171">
        <f>SUMIF(修正!A57:A68,G2,修正!D57:D68)</f>
        <v>0.3</v>
      </c>
      <c r="G39" s="171">
        <f>ROUND(IF(E2="工业",C39*$M$42,C39*$M$41),0)</f>
        <v>2105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8419</v>
      </c>
      <c r="D40" s="2098"/>
      <c r="E40" s="171">
        <f t="shared" si="4"/>
        <v>0</v>
      </c>
      <c r="F40" s="175">
        <f>SUMIF(修正!A57:A68,G2,修正!E57:E68)</f>
        <v>0.3</v>
      </c>
      <c r="G40" s="171">
        <f>ROUND(IF(E2="工业",C40*$M$42,C40*$M$41),0)</f>
        <v>2105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1.0421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3424</v>
      </c>
      <c r="D61" s="1065">
        <f t="shared" ref="D61:D69" si="12">SUMIF($J$60:$N$60,C61,J61:N61)</f>
        <v>1.0200000000000001E-2</v>
      </c>
      <c r="E61" s="744">
        <f>ROUND(SUM(D61:D69),4)</f>
        <v>4.2099999999999999E-2</v>
      </c>
      <c r="F61" s="1814">
        <f>IF(E2="办公",SUMIF(L1:L12,G2,N1:N12),"——")</f>
        <v>8.2000000000000003E-2</v>
      </c>
      <c r="G61" s="1063">
        <f>H61</f>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3424</v>
      </c>
      <c r="D62" s="1065">
        <f t="shared" si="12"/>
        <v>1.06E-2</v>
      </c>
      <c r="E62" s="745"/>
      <c r="F62" s="1814"/>
      <c r="G62" s="1063">
        <f t="shared" ref="G62:G69" si="17">H62</f>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3424</v>
      </c>
      <c r="D63" s="1065">
        <f t="shared" si="12"/>
        <v>4.4999999999999997E-3</v>
      </c>
      <c r="E63" s="745"/>
      <c r="F63" s="1814"/>
      <c r="G63" s="1063">
        <f t="shared" si="17"/>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3424</v>
      </c>
      <c r="D64" s="1065">
        <f t="shared" si="12"/>
        <v>2E-3</v>
      </c>
      <c r="E64" s="745"/>
      <c r="F64" s="1814"/>
      <c r="G64" s="1063">
        <f t="shared" si="17"/>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3425</v>
      </c>
      <c r="D65" s="1065">
        <f t="shared" si="12"/>
        <v>0</v>
      </c>
      <c r="E65" s="745"/>
      <c r="F65" s="1814"/>
      <c r="G65" s="1063">
        <f t="shared" si="17"/>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3424</v>
      </c>
      <c r="D66" s="1065">
        <f t="shared" si="12"/>
        <v>2.3999999999999998E-3</v>
      </c>
      <c r="E66" s="745"/>
      <c r="F66" s="1814"/>
      <c r="G66" s="1063">
        <f t="shared" si="17"/>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3424</v>
      </c>
      <c r="D67" s="1065">
        <f t="shared" si="12"/>
        <v>2.3999999999999998E-3</v>
      </c>
      <c r="E67" s="745"/>
      <c r="F67" s="1814"/>
      <c r="G67" s="1063">
        <f t="shared" si="17"/>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3426</v>
      </c>
      <c r="D68" s="1065">
        <f t="shared" si="12"/>
        <v>7.1999999999999998E-3</v>
      </c>
      <c r="E68" s="745"/>
      <c r="F68" s="1814"/>
      <c r="G68" s="1063">
        <f t="shared" si="17"/>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3424</v>
      </c>
      <c r="D69" s="1065">
        <f t="shared" si="12"/>
        <v>2.8E-3</v>
      </c>
      <c r="E69" s="746"/>
      <c r="F69" s="1814"/>
      <c r="G69" s="1063">
        <f t="shared" si="17"/>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32" t="s">
        <v>3298</v>
      </c>
      <c r="B103" s="3732"/>
      <c r="C103" s="3732"/>
      <c r="D103" s="3732"/>
      <c r="E103" s="3732"/>
      <c r="F103" s="3732"/>
      <c r="G103" s="3732"/>
      <c r="H103" s="3732"/>
      <c r="I103" s="3732"/>
      <c r="J103" s="3732"/>
      <c r="K103" s="3390"/>
      <c r="L103" s="3390"/>
      <c r="M103" s="3390"/>
      <c r="N103" s="3390"/>
    </row>
    <row r="104" spans="1:14">
      <c r="A104" s="3733" t="s">
        <v>3299</v>
      </c>
      <c r="B104" s="3733" t="s">
        <v>3300</v>
      </c>
      <c r="C104" s="3391" t="s">
        <v>3301</v>
      </c>
      <c r="D104" s="3392"/>
      <c r="E104" s="3392"/>
      <c r="F104" s="3392"/>
      <c r="G104" s="3392"/>
      <c r="H104" s="3392"/>
      <c r="I104" s="3392"/>
      <c r="J104" s="3393"/>
      <c r="K104" s="3394"/>
      <c r="L104" s="3394"/>
      <c r="M104" s="3394"/>
      <c r="N104" s="3394"/>
    </row>
    <row r="105" spans="1:14">
      <c r="A105" s="3733"/>
      <c r="B105" s="373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1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2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2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2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2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20"/>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2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22" t="s">
        <v>3315</v>
      </c>
      <c r="B113" s="3722"/>
      <c r="C113" s="3722"/>
      <c r="D113" s="3722"/>
      <c r="E113" s="3722"/>
      <c r="F113" s="3722"/>
      <c r="G113" s="3722"/>
      <c r="H113" s="3722"/>
      <c r="I113" s="3722"/>
      <c r="J113" s="372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3.5</v>
      </c>
      <c r="C116" s="3400" t="s">
        <v>3317</v>
      </c>
      <c r="D116" s="3401">
        <f>SUMPRODUCT((A118:A122=F116)*(B117:M117=H116)*B118:M122)</f>
        <v>0.95379999999999998</v>
      </c>
      <c r="E116" s="2000" t="s">
        <v>3318</v>
      </c>
      <c r="F116" s="3402" t="str">
        <f>E2</f>
        <v>办公</v>
      </c>
      <c r="G116" s="2000" t="s">
        <v>3319</v>
      </c>
      <c r="H116" s="3402" t="str">
        <f>G2</f>
        <v>一级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3333</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3334</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3335</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44" t="s">
        <v>2321</v>
      </c>
      <c r="K2" s="37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46" t="s">
        <v>2331</v>
      </c>
      <c r="K3" s="37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46" t="s">
        <v>2333</v>
      </c>
      <c r="K4" s="37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52" t="s">
        <v>2337</v>
      </c>
      <c r="B6" s="3753"/>
      <c r="C6" s="3754"/>
      <c r="D6" s="2870"/>
      <c r="E6" s="2871"/>
      <c r="F6" s="2872"/>
      <c r="G6" s="2873"/>
      <c r="H6" s="2848"/>
      <c r="I6" s="2849"/>
      <c r="J6" s="3738">
        <v>1</v>
      </c>
      <c r="K6" s="373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38"/>
      <c r="K7" s="374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55" t="s">
        <v>2351</v>
      </c>
      <c r="C8" s="3756"/>
      <c r="D8" s="2889" t="s">
        <v>2352</v>
      </c>
      <c r="E8" s="2890" t="s">
        <v>2353</v>
      </c>
      <c r="F8" s="2891" t="s">
        <v>2354</v>
      </c>
      <c r="G8" s="2892"/>
      <c r="H8" s="2848"/>
      <c r="I8" s="2849"/>
      <c r="J8" s="3738"/>
      <c r="K8" s="374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55" t="s">
        <v>2357</v>
      </c>
      <c r="C9" s="3756"/>
      <c r="D9" s="2889">
        <f>ROUND(D6*E9,0)</f>
        <v>0</v>
      </c>
      <c r="E9" s="2893"/>
      <c r="F9" s="2894" t="s">
        <v>2358</v>
      </c>
      <c r="G9" s="2873"/>
      <c r="H9" s="2848"/>
      <c r="I9" s="2849"/>
      <c r="J9" s="3738"/>
      <c r="K9" s="3740"/>
      <c r="L9" s="2883" t="s">
        <v>2359</v>
      </c>
      <c r="M9" s="2884"/>
      <c r="N9" s="2860"/>
      <c r="O9" s="2885"/>
      <c r="P9" s="2885"/>
      <c r="Q9" s="2886">
        <v>365</v>
      </c>
      <c r="R9" s="2887">
        <f t="shared" si="0"/>
        <v>0</v>
      </c>
      <c r="S9" s="2841"/>
      <c r="T9" s="2841"/>
      <c r="U9" s="2841"/>
      <c r="V9" s="2849"/>
    </row>
    <row r="10" spans="1:22" s="2853" customFormat="1" ht="13.15" customHeight="1">
      <c r="A10" s="2888">
        <v>2</v>
      </c>
      <c r="B10" s="3755" t="s">
        <v>2360</v>
      </c>
      <c r="C10" s="3756"/>
      <c r="D10" s="2889">
        <f>ROUND(D6*E10,0)</f>
        <v>0</v>
      </c>
      <c r="E10" s="2893"/>
      <c r="F10" s="2894" t="s">
        <v>2361</v>
      </c>
      <c r="G10" s="2873"/>
      <c r="H10" s="2848"/>
      <c r="I10" s="2849"/>
      <c r="J10" s="3738"/>
      <c r="K10" s="3740"/>
      <c r="L10" s="2883" t="s">
        <v>2362</v>
      </c>
      <c r="M10" s="2884"/>
      <c r="N10" s="2860"/>
      <c r="O10" s="2885"/>
      <c r="P10" s="2885"/>
      <c r="Q10" s="2886">
        <v>365</v>
      </c>
      <c r="R10" s="2887">
        <f t="shared" si="0"/>
        <v>0</v>
      </c>
      <c r="S10" s="2841"/>
      <c r="T10" s="2841"/>
      <c r="U10" s="2841"/>
      <c r="V10" s="2849"/>
    </row>
    <row r="11" spans="1:22" s="2853" customFormat="1" ht="13.15" customHeight="1">
      <c r="A11" s="2888">
        <v>3</v>
      </c>
      <c r="B11" s="3755" t="s">
        <v>2363</v>
      </c>
      <c r="C11" s="3756"/>
      <c r="D11" s="2889">
        <f>D12+D14+D15+D16</f>
        <v>0</v>
      </c>
      <c r="E11" s="2895" t="e">
        <f>D11/D6</f>
        <v>#DIV/0!</v>
      </c>
      <c r="F11" s="2891"/>
      <c r="G11" s="2892"/>
      <c r="H11" s="2848"/>
      <c r="I11" s="2849"/>
      <c r="J11" s="3738"/>
      <c r="K11" s="374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48" t="s">
        <v>2366</v>
      </c>
      <c r="C12" s="3749"/>
      <c r="D12" s="2897">
        <f>ROUND(D13*1.2%*(1-30%),0)</f>
        <v>0</v>
      </c>
      <c r="E12" s="2898">
        <v>1.2E-2</v>
      </c>
      <c r="F12" s="2891" t="s">
        <v>2367</v>
      </c>
      <c r="G12" s="2892"/>
      <c r="H12" s="2848"/>
      <c r="I12" s="2849"/>
      <c r="J12" s="3738"/>
      <c r="K12" s="374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38"/>
      <c r="K13" s="374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48" t="s">
        <v>2372</v>
      </c>
      <c r="C14" s="3749"/>
      <c r="D14" s="2897">
        <f>ROUND(E14*B5/10000,0)</f>
        <v>0</v>
      </c>
      <c r="E14" s="2886"/>
      <c r="F14" s="2891" t="s">
        <v>2373</v>
      </c>
      <c r="G14" s="2892"/>
      <c r="H14" s="2848"/>
      <c r="I14" s="2849"/>
      <c r="J14" s="3738"/>
      <c r="K14" s="374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48" t="s">
        <v>2376</v>
      </c>
      <c r="C15" s="3749"/>
      <c r="D15" s="2897">
        <f>ROUND(D6*E15,0)</f>
        <v>0</v>
      </c>
      <c r="E15" s="2898">
        <v>5.5E-2</v>
      </c>
      <c r="F15" s="2891" t="s">
        <v>2377</v>
      </c>
      <c r="G15" s="2873"/>
      <c r="H15" s="2848"/>
      <c r="I15" s="2849"/>
      <c r="J15" s="3738">
        <v>2</v>
      </c>
      <c r="K15" s="373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48" t="s">
        <v>2385</v>
      </c>
      <c r="C16" s="3749"/>
      <c r="D16" s="2908">
        <f>D6*E16</f>
        <v>0</v>
      </c>
      <c r="E16" s="2909"/>
      <c r="F16" s="2894" t="s">
        <v>2386</v>
      </c>
      <c r="G16" s="2873"/>
      <c r="H16" s="2848"/>
      <c r="I16" s="2849"/>
      <c r="J16" s="3738"/>
      <c r="K16" s="374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50" t="s">
        <v>2388</v>
      </c>
      <c r="C17" s="3751"/>
      <c r="D17" s="2911">
        <f>ROUND(D6*E17,0)</f>
        <v>0</v>
      </c>
      <c r="E17" s="2912"/>
      <c r="F17" s="2913" t="s">
        <v>2389</v>
      </c>
      <c r="G17" s="2873"/>
      <c r="H17" s="2848"/>
      <c r="I17" s="2849"/>
      <c r="J17" s="3738"/>
      <c r="K17" s="374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38"/>
      <c r="K18" s="374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38"/>
      <c r="K19" s="374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8">
        <v>3</v>
      </c>
      <c r="K20" s="373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38"/>
      <c r="K21" s="374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38"/>
      <c r="K22" s="374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38"/>
      <c r="K23" s="374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38"/>
      <c r="K24" s="374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4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4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44" t="s">
        <v>2321</v>
      </c>
      <c r="K32" s="37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46" t="s">
        <v>2331</v>
      </c>
      <c r="K33" s="37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46" t="s">
        <v>2333</v>
      </c>
      <c r="K34" s="37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38">
        <v>1</v>
      </c>
      <c r="K36" s="373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38"/>
      <c r="K37" s="374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8"/>
      <c r="K38" s="374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38"/>
      <c r="K39" s="374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38"/>
      <c r="K40" s="374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4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29006</v>
      </c>
      <c r="E5" s="1491"/>
    </row>
    <row r="6" spans="1:5" ht="15.75">
      <c r="A6" s="1491"/>
      <c r="B6" s="3452"/>
      <c r="C6" s="1494" t="s">
        <v>911</v>
      </c>
      <c r="D6" s="850" t="str">
        <f ca="1">NUMBERSTRING(INT(D5*10000),2)&amp;"元整"</f>
        <v>贰亿玖仟零陆万元整</v>
      </c>
      <c r="E6" s="1491"/>
    </row>
    <row r="7" spans="1:5" ht="15.75">
      <c r="A7" s="1491"/>
      <c r="B7" s="3457"/>
      <c r="C7" s="1495" t="s">
        <v>912</v>
      </c>
      <c r="D7" s="851">
        <f ca="1">结果表!H102</f>
        <v>34380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29006</v>
      </c>
      <c r="E13" s="1491"/>
    </row>
    <row r="14" spans="1:5" ht="15.75">
      <c r="A14" s="1491"/>
      <c r="B14" s="3452"/>
      <c r="C14" s="1494" t="s">
        <v>911</v>
      </c>
      <c r="D14" s="850" t="str">
        <f ca="1">NUMBERSTRING(INT(D13*10000),2)&amp;"元整"</f>
        <v>贰亿玖仟零陆万元整</v>
      </c>
      <c r="E14" s="1491"/>
    </row>
    <row r="15" spans="1:5" ht="15">
      <c r="A15" s="1491"/>
      <c r="B15" s="3457"/>
      <c r="C15" s="1495" t="s">
        <v>921</v>
      </c>
      <c r="D15" s="859">
        <f ca="1">结果表!H108</f>
        <v>34380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31454</v>
      </c>
      <c r="C2" s="2" t="s">
        <v>106</v>
      </c>
      <c r="D2" s="199"/>
      <c r="E2" s="199"/>
      <c r="F2" s="199"/>
      <c r="G2" s="199"/>
    </row>
    <row r="3" spans="1:7" s="200" customFormat="1" ht="18" customHeight="1" thickBot="1">
      <c r="A3" s="203" t="s">
        <v>58</v>
      </c>
      <c r="B3" s="204">
        <f ca="1">ROUND(B2*10000/'数据-汇总表'!E3,0)</f>
        <v>37282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169</v>
      </c>
      <c r="D10" s="845">
        <f>'数据-汇总表'!E6</f>
        <v>8436.880000000001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169</v>
      </c>
      <c r="D19" s="849">
        <f>'数据-汇总表'!E3</f>
        <v>8436.880000000001</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3375</v>
      </c>
      <c r="D34" s="217"/>
      <c r="E34" s="220"/>
      <c r="F34" s="257">
        <f>IF('数据-取费表'!B24=0,1,'数据-取费表'!N16)</f>
        <v>1</v>
      </c>
      <c r="G34" s="219" t="s">
        <v>89</v>
      </c>
    </row>
    <row r="35" spans="1:7" ht="13.5" customHeight="1">
      <c r="A35" s="780" t="s">
        <v>351</v>
      </c>
      <c r="B35" s="215" t="s">
        <v>33</v>
      </c>
      <c r="C35" s="220">
        <f>ROUND(C34*F35,0)</f>
        <v>169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169</v>
      </c>
      <c r="D37" s="217">
        <f>'数据-汇总表'!E3</f>
        <v>8436.880000000001</v>
      </c>
      <c r="E37" s="249">
        <f>'数据-取费表'!B35</f>
        <v>200</v>
      </c>
      <c r="F37" s="259"/>
      <c r="G37" s="261" t="s">
        <v>92</v>
      </c>
    </row>
    <row r="38" spans="1:7" ht="13.5" customHeight="1">
      <c r="A38" s="780" t="s">
        <v>354</v>
      </c>
      <c r="B38" s="215" t="s">
        <v>36</v>
      </c>
      <c r="C38" s="220">
        <f>ROUND(C34*F38,0)</f>
        <v>51</v>
      </c>
      <c r="D38" s="220"/>
      <c r="E38" s="220"/>
      <c r="F38" s="259">
        <f>'数据-取费表'!B36</f>
        <v>1.4999999999999999E-2</v>
      </c>
      <c r="G38" s="219" t="s">
        <v>90</v>
      </c>
    </row>
    <row r="39" spans="1:7" s="214" customFormat="1" ht="13.5" customHeight="1">
      <c r="A39" s="777" t="s">
        <v>338</v>
      </c>
      <c r="B39" s="210" t="s">
        <v>77</v>
      </c>
      <c r="C39" s="232">
        <f>ROUND(C33*F20,0)</f>
        <v>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33" t="s">
        <v>94</v>
      </c>
    </row>
    <row r="43" spans="1:7" ht="13.5" customHeight="1">
      <c r="A43" s="780" t="s">
        <v>347</v>
      </c>
      <c r="B43" s="215" t="s">
        <v>426</v>
      </c>
      <c r="C43" s="238">
        <f ca="1">ROUND(IF('数据-取费表'!B22&lt;=1,C39*F22*'数据-取费表'!B21/2,C39*(POWER((1+F22),'数据-取费表'!B21/2)-1)),0)</f>
        <v>3</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576</v>
      </c>
      <c r="D45" s="235">
        <f>C47</f>
        <v>3.0000000000000001E-3</v>
      </c>
      <c r="E45" s="236" t="s">
        <v>102</v>
      </c>
      <c r="F45" s="246"/>
      <c r="G45" s="247" t="s">
        <v>434</v>
      </c>
    </row>
    <row r="46" spans="1:7" s="214" customFormat="1" ht="13.5" customHeight="1">
      <c r="A46" s="780" t="s">
        <v>349</v>
      </c>
      <c r="B46" s="248" t="s">
        <v>427</v>
      </c>
      <c r="C46" s="249">
        <f>ROUND((C33+C39)*F27,0)</f>
        <v>576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4928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3450</v>
      </c>
      <c r="D51" s="232"/>
      <c r="E51" s="232"/>
      <c r="F51" s="264"/>
      <c r="G51" s="234" t="s">
        <v>37</v>
      </c>
    </row>
    <row r="52" spans="1:7" s="208" customFormat="1" ht="16.5" thickBot="1">
      <c r="A52" s="265" t="s">
        <v>38</v>
      </c>
      <c r="B52" s="266"/>
      <c r="C52" s="267">
        <f ca="1">C31+C51</f>
        <v>31454</v>
      </c>
      <c r="D52" s="266"/>
      <c r="E52" s="266"/>
      <c r="F52" s="266"/>
      <c r="G52" s="268"/>
    </row>
    <row r="55" spans="1:7" ht="15">
      <c r="B55" s="270" t="s">
        <v>39</v>
      </c>
      <c r="C55" s="271"/>
    </row>
    <row r="56" spans="1:7">
      <c r="B56" s="273" t="s">
        <v>40</v>
      </c>
      <c r="C56" s="274">
        <f ca="1">ROUND(C51/C52,3)</f>
        <v>0.11</v>
      </c>
    </row>
    <row r="57" spans="1:7">
      <c r="B57" s="273" t="s">
        <v>41</v>
      </c>
      <c r="C57" s="275">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45348</v>
      </c>
      <c r="B1" s="3210" t="s">
        <v>3375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8436.880000000001</v>
      </c>
      <c r="C4" s="854">
        <f>项目基本情况!C18</f>
        <v>0</v>
      </c>
      <c r="D4" s="854" t="e">
        <f ca="1">结果表!D118</f>
        <v>#REF!</v>
      </c>
      <c r="E4" s="854" t="e">
        <f ca="1">结果表!E118</f>
        <v>#REF!</v>
      </c>
      <c r="F4" s="854" t="e">
        <f ca="1">结果表!F118</f>
        <v>#REF!</v>
      </c>
      <c r="G4" s="854" t="e">
        <f ca="1">结果表!G118</f>
        <v>#REF!</v>
      </c>
      <c r="H4" s="854">
        <f ca="1">结果表!H118</f>
        <v>29006</v>
      </c>
      <c r="I4" s="854">
        <f ca="1">结果表!I118</f>
        <v>34380</v>
      </c>
    </row>
    <row r="5" spans="1:9" ht="30" customHeight="1">
      <c r="A5" s="3464" t="s">
        <v>927</v>
      </c>
      <c r="B5" s="3464"/>
      <c r="C5" s="3464"/>
      <c r="D5" s="3464" t="e">
        <f ca="1">结果表!D119</f>
        <v>#REF!</v>
      </c>
      <c r="E5" s="3464"/>
      <c r="F5" s="3464" t="e">
        <f ca="1">结果表!F119</f>
        <v>#REF!</v>
      </c>
      <c r="G5" s="3464"/>
      <c r="H5" s="3464" t="str">
        <f ca="1">结果表!H119</f>
        <v>贰亿玖仟零陆万元整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29006</v>
      </c>
      <c r="E8" s="3463"/>
      <c r="F8" s="3463"/>
      <c r="G8" s="3463"/>
      <c r="H8" s="3463"/>
      <c r="I8" s="3463"/>
    </row>
    <row r="9" spans="1:9" ht="15">
      <c r="A9" s="3464" t="s">
        <v>927</v>
      </c>
      <c r="B9" s="3464"/>
      <c r="C9" s="3464"/>
      <c r="D9" s="3464" t="str">
        <f ca="1">结果表!D123</f>
        <v>贰亿玖仟零陆万元整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2024-02-28T08:54:03Z</dcterms:modified>
</cp:coreProperties>
</file>