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评估\丰联广场2020\"/>
    </mc:Choice>
  </mc:AlternateContent>
  <xr:revisionPtr revIDLastSave="0" documentId="13_ncr:1_{B784040B-4C60-43E9-86EF-B894BF53692E}" xr6:coauthVersionLast="45" xr6:coauthVersionMax="45" xr10:uidLastSave="{00000000-0000-0000-0000-000000000000}"/>
  <bookViews>
    <workbookView xWindow="-4716" yWindow="216" windowWidth="14724" windowHeight="12120" tabRatio="885" firstSheet="8"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售价" sheetId="64" r:id="rId39"/>
    <sheet name="租金" sheetId="63" r:id="rId40"/>
    <sheet name="存贷款利率" sheetId="61" state="hidden" r:id="rId41"/>
  </sheets>
  <externalReferences>
    <externalReference r:id="rId42"/>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4" i="65" l="1"/>
  <c r="AB34" i="65"/>
  <c r="H27" i="65"/>
  <c r="AB27" i="65"/>
  <c r="T49" i="65"/>
  <c r="R50" i="65"/>
  <c r="C49" i="65"/>
  <c r="B29" i="1"/>
  <c r="K23" i="1"/>
  <c r="J23" i="1"/>
  <c r="E20" i="1"/>
  <c r="D6" i="31"/>
  <c r="E6" i="31"/>
  <c r="F6" i="31"/>
  <c r="G6" i="31"/>
  <c r="H6" i="31"/>
  <c r="I6" i="31"/>
  <c r="J6" i="31"/>
  <c r="K6" i="31"/>
  <c r="L6" i="31"/>
  <c r="M6" i="31"/>
  <c r="D7" i="31"/>
  <c r="E7" i="31"/>
  <c r="F7" i="31"/>
  <c r="G7" i="31"/>
  <c r="H7" i="31"/>
  <c r="I7" i="31"/>
  <c r="J7" i="31"/>
  <c r="K7" i="31"/>
  <c r="L7" i="31"/>
  <c r="M7" i="31"/>
  <c r="C7" i="31"/>
  <c r="C6" i="31"/>
  <c r="E11" i="67"/>
  <c r="M9" i="67"/>
  <c r="M8" i="67"/>
  <c r="C7" i="67"/>
  <c r="D7" i="67"/>
  <c r="B7" i="67"/>
  <c r="C6" i="67"/>
  <c r="D6" i="67"/>
  <c r="B6" i="67"/>
  <c r="D5" i="67"/>
  <c r="C5" i="67"/>
  <c r="B5" i="67"/>
  <c r="C8" i="67"/>
  <c r="D8" i="67"/>
  <c r="C34" i="66"/>
  <c r="B41" i="1"/>
  <c r="C34" i="65"/>
  <c r="T10" i="31"/>
  <c r="T8" i="31"/>
  <c r="B131" i="66"/>
  <c r="B129" i="66"/>
  <c r="B127" i="66"/>
  <c r="D126" i="66"/>
  <c r="H44" i="66"/>
  <c r="D124" i="66"/>
  <c r="E124" i="66"/>
  <c r="D120" i="66"/>
  <c r="E120" i="66"/>
  <c r="F120" i="66"/>
  <c r="G120" i="66"/>
  <c r="H120" i="66"/>
  <c r="I120" i="66"/>
  <c r="J120" i="66"/>
  <c r="K120" i="66"/>
  <c r="L120" i="66"/>
  <c r="M120" i="66"/>
  <c r="D118" i="66"/>
  <c r="E118" i="66"/>
  <c r="F118" i="66"/>
  <c r="G118" i="66"/>
  <c r="D116" i="66"/>
  <c r="E116" i="66"/>
  <c r="F116" i="66"/>
  <c r="G116" i="66"/>
  <c r="H116" i="66"/>
  <c r="I116" i="66"/>
  <c r="J116" i="66"/>
  <c r="K116" i="66"/>
  <c r="L116" i="66"/>
  <c r="M116" i="66"/>
  <c r="D114" i="66"/>
  <c r="E114" i="66"/>
  <c r="F114" i="66"/>
  <c r="G114" i="66"/>
  <c r="H114" i="66"/>
  <c r="I114" i="66"/>
  <c r="J114" i="66"/>
  <c r="K114" i="66"/>
  <c r="L114" i="66"/>
  <c r="M114" i="66"/>
  <c r="D112" i="66"/>
  <c r="E112" i="66"/>
  <c r="F112" i="66"/>
  <c r="G112" i="66"/>
  <c r="H112" i="66"/>
  <c r="I112" i="66"/>
  <c r="J112" i="66"/>
  <c r="K112" i="66"/>
  <c r="L112" i="66"/>
  <c r="M112" i="66"/>
  <c r="G110" i="66"/>
  <c r="F110" i="66"/>
  <c r="E110" i="66"/>
  <c r="D110" i="66"/>
  <c r="C110" i="66"/>
  <c r="D109" i="66"/>
  <c r="E109" i="66"/>
  <c r="F109" i="66"/>
  <c r="G109" i="66"/>
  <c r="H109" i="66"/>
  <c r="I109" i="66"/>
  <c r="J109" i="66"/>
  <c r="K109" i="66"/>
  <c r="L109" i="66"/>
  <c r="M109" i="66"/>
  <c r="D107" i="66"/>
  <c r="E107" i="66"/>
  <c r="F107" i="66"/>
  <c r="G107" i="66"/>
  <c r="H107" i="66"/>
  <c r="I107" i="66"/>
  <c r="J107" i="66"/>
  <c r="K107" i="66"/>
  <c r="L107" i="66"/>
  <c r="M107" i="66"/>
  <c r="M103" i="66"/>
  <c r="L103" i="66"/>
  <c r="K103" i="66"/>
  <c r="J103" i="66"/>
  <c r="I103" i="66"/>
  <c r="H103" i="66"/>
  <c r="G103" i="66"/>
  <c r="F103" i="66"/>
  <c r="E103" i="66"/>
  <c r="D103" i="66"/>
  <c r="C103" i="66"/>
  <c r="D102" i="66"/>
  <c r="E102" i="66"/>
  <c r="F102" i="66"/>
  <c r="G102" i="66"/>
  <c r="B99" i="66"/>
  <c r="B97" i="66"/>
  <c r="B95" i="66"/>
  <c r="B93" i="66"/>
  <c r="J29" i="66"/>
  <c r="E92" i="66"/>
  <c r="F92" i="66"/>
  <c r="G92" i="66"/>
  <c r="H92" i="66"/>
  <c r="I92" i="66"/>
  <c r="J92" i="66"/>
  <c r="K92" i="66"/>
  <c r="L92" i="66"/>
  <c r="M92" i="66"/>
  <c r="D92" i="66"/>
  <c r="B91" i="66"/>
  <c r="J28" i="66"/>
  <c r="W28" i="66"/>
  <c r="D90" i="66"/>
  <c r="E90" i="66"/>
  <c r="B89" i="66"/>
  <c r="D88" i="66"/>
  <c r="E88" i="66"/>
  <c r="D86" i="66"/>
  <c r="E86" i="66"/>
  <c r="F86" i="66"/>
  <c r="G86" i="66"/>
  <c r="D84" i="66"/>
  <c r="E84" i="66"/>
  <c r="F84" i="66"/>
  <c r="G84" i="66"/>
  <c r="D82" i="66"/>
  <c r="E82" i="66"/>
  <c r="F82" i="66"/>
  <c r="G82" i="66"/>
  <c r="D80" i="66"/>
  <c r="E80" i="66"/>
  <c r="F80" i="66"/>
  <c r="G80" i="66"/>
  <c r="D78" i="66"/>
  <c r="E78" i="66"/>
  <c r="F78" i="66"/>
  <c r="G78" i="66"/>
  <c r="B75" i="66"/>
  <c r="F14" i="66"/>
  <c r="B73" i="66"/>
  <c r="B71" i="66"/>
  <c r="D70" i="66"/>
  <c r="E70" i="66"/>
  <c r="F70" i="66"/>
  <c r="G70" i="66"/>
  <c r="H70" i="66"/>
  <c r="I70" i="66"/>
  <c r="J70" i="66"/>
  <c r="K70" i="66"/>
  <c r="L70" i="66"/>
  <c r="M70" i="66"/>
  <c r="M68" i="66"/>
  <c r="L68" i="66"/>
  <c r="K68" i="66"/>
  <c r="J68" i="66"/>
  <c r="I68" i="66"/>
  <c r="H68" i="66"/>
  <c r="G68" i="66"/>
  <c r="F68" i="66"/>
  <c r="E68" i="66"/>
  <c r="D68" i="66"/>
  <c r="C68" i="66"/>
  <c r="F67" i="66"/>
  <c r="G67" i="66"/>
  <c r="C64" i="66"/>
  <c r="J9" i="66"/>
  <c r="I55" i="66"/>
  <c r="J55" i="66"/>
  <c r="G55" i="66"/>
  <c r="H55" i="66"/>
  <c r="E55" i="66"/>
  <c r="F55" i="66"/>
  <c r="P50" i="66"/>
  <c r="P49" i="66"/>
  <c r="V48" i="66"/>
  <c r="T48" i="66"/>
  <c r="R48" i="66"/>
  <c r="P48" i="66"/>
  <c r="Q47" i="66"/>
  <c r="Z47" i="66"/>
  <c r="J47" i="66"/>
  <c r="W47" i="66"/>
  <c r="H47" i="66"/>
  <c r="AB47" i="66"/>
  <c r="F47" i="66"/>
  <c r="AA47" i="66"/>
  <c r="Z46" i="66"/>
  <c r="Q46" i="66"/>
  <c r="J46" i="66"/>
  <c r="AC46" i="66"/>
  <c r="H46" i="66"/>
  <c r="AB46" i="66"/>
  <c r="F46" i="66"/>
  <c r="AA46" i="66"/>
  <c r="Z45" i="66"/>
  <c r="U45" i="66"/>
  <c r="Q45" i="66"/>
  <c r="J45" i="66"/>
  <c r="W45" i="66"/>
  <c r="H45" i="66"/>
  <c r="AB45" i="66"/>
  <c r="F45" i="66"/>
  <c r="S45" i="66"/>
  <c r="Q44" i="66"/>
  <c r="Z44" i="66"/>
  <c r="J44" i="66"/>
  <c r="W44" i="66"/>
  <c r="Q43" i="66"/>
  <c r="Z43" i="66"/>
  <c r="F43" i="66"/>
  <c r="S43" i="66"/>
  <c r="Q42" i="66"/>
  <c r="Z42" i="66"/>
  <c r="J42" i="66"/>
  <c r="W42" i="66"/>
  <c r="H42" i="66"/>
  <c r="U42" i="66"/>
  <c r="F42" i="66"/>
  <c r="AA42" i="66"/>
  <c r="Q41" i="66"/>
  <c r="Z41" i="66"/>
  <c r="J41" i="66"/>
  <c r="AC41" i="66"/>
  <c r="S40" i="66"/>
  <c r="Q40" i="66"/>
  <c r="Z40" i="66"/>
  <c r="J40" i="66"/>
  <c r="AC40" i="66"/>
  <c r="H40" i="66"/>
  <c r="U40" i="66"/>
  <c r="F40" i="66"/>
  <c r="AA40" i="66"/>
  <c r="Z39" i="66"/>
  <c r="Q39" i="66"/>
  <c r="J39" i="66"/>
  <c r="W39" i="66"/>
  <c r="H39" i="66"/>
  <c r="AB39" i="66"/>
  <c r="F39" i="66"/>
  <c r="AA39" i="66"/>
  <c r="Z38" i="66"/>
  <c r="Q38" i="66"/>
  <c r="J38" i="66"/>
  <c r="AC38" i="66"/>
  <c r="H38" i="66"/>
  <c r="AB38" i="66"/>
  <c r="F38" i="66"/>
  <c r="AA38" i="66"/>
  <c r="Q37" i="66"/>
  <c r="Z37" i="66"/>
  <c r="C37" i="66"/>
  <c r="E37" i="66"/>
  <c r="Q36" i="66"/>
  <c r="Z36" i="66"/>
  <c r="J36" i="66"/>
  <c r="AC36" i="66"/>
  <c r="H36" i="66"/>
  <c r="U36" i="66"/>
  <c r="F36" i="66"/>
  <c r="AA36" i="66"/>
  <c r="Z35" i="66"/>
  <c r="Q35" i="66"/>
  <c r="J35" i="66"/>
  <c r="W35" i="66"/>
  <c r="H35" i="66"/>
  <c r="AB35" i="66"/>
  <c r="F35" i="66"/>
  <c r="AA35" i="66"/>
  <c r="Q34" i="66"/>
  <c r="Z34" i="66"/>
  <c r="Q33" i="66"/>
  <c r="Z33" i="66"/>
  <c r="Q32" i="66"/>
  <c r="Z32" i="66"/>
  <c r="J32" i="66"/>
  <c r="AC32" i="66"/>
  <c r="H32" i="66"/>
  <c r="AB32" i="66"/>
  <c r="F32" i="66"/>
  <c r="AA32" i="66"/>
  <c r="Z31" i="66"/>
  <c r="W31" i="66"/>
  <c r="Q31" i="66"/>
  <c r="J31" i="66"/>
  <c r="AC31" i="66"/>
  <c r="H31" i="66"/>
  <c r="U31" i="66"/>
  <c r="F31" i="66"/>
  <c r="S31" i="66"/>
  <c r="S30" i="66"/>
  <c r="Q30" i="66"/>
  <c r="Z30" i="66"/>
  <c r="J30" i="66"/>
  <c r="W30" i="66"/>
  <c r="H30" i="66"/>
  <c r="AB30" i="66"/>
  <c r="F30" i="66"/>
  <c r="AA30" i="66"/>
  <c r="Q29" i="66"/>
  <c r="Z29" i="66"/>
  <c r="H29" i="66"/>
  <c r="AB29" i="66"/>
  <c r="F29" i="66"/>
  <c r="AA29" i="66"/>
  <c r="Q28" i="66"/>
  <c r="Z28" i="66"/>
  <c r="Q27" i="66"/>
  <c r="Z27" i="66"/>
  <c r="Q25" i="66"/>
  <c r="Z25" i="66"/>
  <c r="Q23" i="66"/>
  <c r="Z23" i="66"/>
  <c r="J23" i="66"/>
  <c r="W23" i="66"/>
  <c r="H23" i="66"/>
  <c r="U23" i="66"/>
  <c r="F23" i="66"/>
  <c r="AA23" i="66"/>
  <c r="C23" i="66"/>
  <c r="U21" i="66"/>
  <c r="S21" i="66"/>
  <c r="Q21" i="66"/>
  <c r="Z21" i="66"/>
  <c r="J21" i="66"/>
  <c r="AC21" i="66"/>
  <c r="H21" i="66"/>
  <c r="AB21" i="66"/>
  <c r="F21" i="66"/>
  <c r="AA21" i="66"/>
  <c r="C21" i="66"/>
  <c r="Q19" i="66"/>
  <c r="Z19" i="66"/>
  <c r="J19" i="66"/>
  <c r="W19" i="66"/>
  <c r="H19" i="66"/>
  <c r="U19" i="66"/>
  <c r="F19" i="66"/>
  <c r="AA19" i="66"/>
  <c r="C19" i="66"/>
  <c r="S17" i="66"/>
  <c r="Q17" i="66"/>
  <c r="Z17" i="66"/>
  <c r="J17" i="66"/>
  <c r="AC17" i="66"/>
  <c r="H17" i="66"/>
  <c r="AB17" i="66"/>
  <c r="F17" i="66"/>
  <c r="AA17" i="66"/>
  <c r="C17" i="66"/>
  <c r="Q15" i="66"/>
  <c r="Z15" i="66"/>
  <c r="C15" i="66"/>
  <c r="Z14" i="66"/>
  <c r="Q14" i="66"/>
  <c r="Z13" i="66"/>
  <c r="Q13" i="66"/>
  <c r="J13" i="66"/>
  <c r="W13" i="66"/>
  <c r="H13" i="66"/>
  <c r="U13" i="66"/>
  <c r="F13" i="66"/>
  <c r="S13" i="66"/>
  <c r="U12" i="66"/>
  <c r="S12" i="66"/>
  <c r="Q12" i="66"/>
  <c r="Z12" i="66"/>
  <c r="J12" i="66"/>
  <c r="W12" i="66"/>
  <c r="H12" i="66"/>
  <c r="AB12" i="66"/>
  <c r="F12" i="66"/>
  <c r="AA12" i="66"/>
  <c r="Q11" i="66"/>
  <c r="Z11" i="66"/>
  <c r="J11" i="66"/>
  <c r="AC11" i="66"/>
  <c r="H11" i="66"/>
  <c r="AB11" i="66"/>
  <c r="F11" i="66"/>
  <c r="S11" i="66"/>
  <c r="Q10" i="66"/>
  <c r="Z10" i="66"/>
  <c r="Q9" i="66"/>
  <c r="Z9" i="66"/>
  <c r="AB8" i="66"/>
  <c r="U8" i="66"/>
  <c r="J8" i="66"/>
  <c r="AC8" i="66"/>
  <c r="H8" i="66"/>
  <c r="F8" i="66"/>
  <c r="S8" i="66"/>
  <c r="D3" i="66"/>
  <c r="C2" i="66"/>
  <c r="F2" i="66"/>
  <c r="E37" i="65"/>
  <c r="G37" i="65"/>
  <c r="C37" i="65"/>
  <c r="B131" i="65"/>
  <c r="J47" i="65"/>
  <c r="B129" i="65"/>
  <c r="B127" i="65"/>
  <c r="D126" i="65"/>
  <c r="E126" i="65"/>
  <c r="F126" i="65"/>
  <c r="G126" i="65"/>
  <c r="D124" i="65"/>
  <c r="E124" i="65"/>
  <c r="F124" i="65"/>
  <c r="G124" i="65"/>
  <c r="H124" i="65"/>
  <c r="I124" i="65"/>
  <c r="J124" i="65"/>
  <c r="K124" i="65"/>
  <c r="L124" i="65"/>
  <c r="M124" i="65"/>
  <c r="D120" i="65"/>
  <c r="E120" i="65"/>
  <c r="F120" i="65"/>
  <c r="G120" i="65"/>
  <c r="H120" i="65"/>
  <c r="I120" i="65"/>
  <c r="J120" i="65"/>
  <c r="K120" i="65"/>
  <c r="L120" i="65"/>
  <c r="M120" i="65"/>
  <c r="D118"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D112" i="65"/>
  <c r="E112" i="65"/>
  <c r="F112"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B99" i="65"/>
  <c r="H32" i="65"/>
  <c r="B97" i="65"/>
  <c r="B95" i="65"/>
  <c r="B93" i="65"/>
  <c r="D92" i="65"/>
  <c r="E92" i="65"/>
  <c r="F92" i="65"/>
  <c r="G92" i="65"/>
  <c r="H92" i="65"/>
  <c r="I92" i="65"/>
  <c r="J92" i="65"/>
  <c r="K92" i="65"/>
  <c r="L92" i="65"/>
  <c r="M92" i="65"/>
  <c r="B91" i="65"/>
  <c r="D90" i="65"/>
  <c r="E90" i="65"/>
  <c r="F90" i="65"/>
  <c r="G90" i="65"/>
  <c r="H90" i="65"/>
  <c r="I90" i="65"/>
  <c r="J90" i="65"/>
  <c r="K90" i="65"/>
  <c r="L90" i="65"/>
  <c r="M90" i="65"/>
  <c r="B89" i="65"/>
  <c r="J27" i="65"/>
  <c r="AC27" i="65"/>
  <c r="D88" i="65"/>
  <c r="E88" i="65"/>
  <c r="D86" i="65"/>
  <c r="E86" i="65"/>
  <c r="F86" i="65"/>
  <c r="G86" i="65"/>
  <c r="D84" i="65"/>
  <c r="E84" i="65"/>
  <c r="F84" i="65"/>
  <c r="G84" i="65"/>
  <c r="D82" i="65"/>
  <c r="E82" i="65"/>
  <c r="F82" i="65"/>
  <c r="G82" i="65"/>
  <c r="D80" i="65"/>
  <c r="E80" i="65"/>
  <c r="F80" i="65"/>
  <c r="G80" i="65"/>
  <c r="D78" i="65"/>
  <c r="E78" i="65"/>
  <c r="F78" i="65"/>
  <c r="G78" i="65"/>
  <c r="B75" i="65"/>
  <c r="H14" i="65"/>
  <c r="B73" i="65"/>
  <c r="B71" i="65"/>
  <c r="D70" i="65"/>
  <c r="E70" i="65"/>
  <c r="F70" i="65"/>
  <c r="G70" i="65"/>
  <c r="H70" i="65"/>
  <c r="I70" i="65"/>
  <c r="J70" i="65"/>
  <c r="K70" i="65"/>
  <c r="L70" i="65"/>
  <c r="M70" i="65"/>
  <c r="M68" i="65"/>
  <c r="L68" i="65"/>
  <c r="K68" i="65"/>
  <c r="J68" i="65"/>
  <c r="I68" i="65"/>
  <c r="H68" i="65"/>
  <c r="G68" i="65"/>
  <c r="F68" i="65"/>
  <c r="E68" i="65"/>
  <c r="D68" i="65"/>
  <c r="C68" i="65"/>
  <c r="F67" i="65"/>
  <c r="G67" i="65"/>
  <c r="C64" i="65"/>
  <c r="J9" i="65"/>
  <c r="I55" i="65"/>
  <c r="J55" i="65"/>
  <c r="G55" i="65"/>
  <c r="H55" i="65"/>
  <c r="E55" i="65"/>
  <c r="F55" i="65"/>
  <c r="P50" i="65"/>
  <c r="P49" i="65"/>
  <c r="V48" i="65"/>
  <c r="T48" i="65"/>
  <c r="R48" i="65"/>
  <c r="P48" i="65"/>
  <c r="Q47" i="65"/>
  <c r="Z47" i="65"/>
  <c r="H47" i="65"/>
  <c r="U47" i="65"/>
  <c r="F47" i="65"/>
  <c r="AA47" i="65"/>
  <c r="W46" i="65"/>
  <c r="S46" i="65"/>
  <c r="Q46" i="65"/>
  <c r="Z46" i="65"/>
  <c r="J46" i="65"/>
  <c r="AC46" i="65"/>
  <c r="H46" i="65"/>
  <c r="AB46" i="65"/>
  <c r="F46" i="65"/>
  <c r="AA46" i="65"/>
  <c r="S45" i="65"/>
  <c r="Q45" i="65"/>
  <c r="Z45" i="65"/>
  <c r="J45" i="65"/>
  <c r="W45" i="65"/>
  <c r="H45" i="65"/>
  <c r="U45" i="65"/>
  <c r="F45" i="65"/>
  <c r="AA45" i="65"/>
  <c r="Z44" i="65"/>
  <c r="Q44" i="65"/>
  <c r="J44" i="65"/>
  <c r="W44" i="65"/>
  <c r="H44" i="65"/>
  <c r="AB44" i="65"/>
  <c r="F44" i="65"/>
  <c r="AA44" i="65"/>
  <c r="Q43" i="65"/>
  <c r="Z43" i="65"/>
  <c r="H43" i="65"/>
  <c r="AB43" i="65"/>
  <c r="F43" i="65"/>
  <c r="AA43" i="65"/>
  <c r="Q42" i="65"/>
  <c r="Z42" i="65"/>
  <c r="J42" i="65"/>
  <c r="W42" i="65"/>
  <c r="H42" i="65"/>
  <c r="AB42" i="65"/>
  <c r="F42" i="65"/>
  <c r="S42" i="65"/>
  <c r="Q41" i="65"/>
  <c r="Z41" i="65"/>
  <c r="Q40" i="65"/>
  <c r="Z40" i="65"/>
  <c r="J40" i="65"/>
  <c r="AC40" i="65"/>
  <c r="H40" i="65"/>
  <c r="AB40" i="65"/>
  <c r="F40" i="65"/>
  <c r="S40" i="65"/>
  <c r="Q39" i="65"/>
  <c r="Z39" i="65"/>
  <c r="J39" i="65"/>
  <c r="AC39" i="65"/>
  <c r="H39" i="65"/>
  <c r="U39" i="65"/>
  <c r="F39" i="65"/>
  <c r="AA39" i="65"/>
  <c r="Q38" i="65"/>
  <c r="Z38" i="65"/>
  <c r="J38" i="65"/>
  <c r="AC38" i="65"/>
  <c r="H38" i="65"/>
  <c r="AB38" i="65"/>
  <c r="F38" i="65"/>
  <c r="AA38" i="65"/>
  <c r="Q37" i="65"/>
  <c r="Z37" i="65"/>
  <c r="Q36" i="65"/>
  <c r="Z36" i="65"/>
  <c r="J36" i="65"/>
  <c r="W36" i="65"/>
  <c r="H36" i="65"/>
  <c r="AB36" i="65"/>
  <c r="F36" i="65"/>
  <c r="AA36" i="65"/>
  <c r="Z35" i="65"/>
  <c r="Q35" i="65"/>
  <c r="J35" i="65"/>
  <c r="AC35" i="65"/>
  <c r="H35" i="65"/>
  <c r="AB35" i="65"/>
  <c r="F35" i="65"/>
  <c r="AA35" i="65"/>
  <c r="Z34" i="65"/>
  <c r="Q34" i="65"/>
  <c r="Q33" i="65"/>
  <c r="Z33" i="65"/>
  <c r="Q32" i="65"/>
  <c r="Z32" i="65"/>
  <c r="F32" i="65"/>
  <c r="S32" i="65"/>
  <c r="W31" i="65"/>
  <c r="Q31" i="65"/>
  <c r="Z31" i="65"/>
  <c r="J31" i="65"/>
  <c r="AC31" i="65"/>
  <c r="H31" i="65"/>
  <c r="U31" i="65"/>
  <c r="F31" i="65"/>
  <c r="AA31" i="65"/>
  <c r="W30" i="65"/>
  <c r="S30" i="65"/>
  <c r="Q30" i="65"/>
  <c r="Z30" i="65"/>
  <c r="J30" i="65"/>
  <c r="AC30" i="65"/>
  <c r="H30" i="65"/>
  <c r="AB30" i="65"/>
  <c r="F30" i="65"/>
  <c r="AA30" i="65"/>
  <c r="S29" i="65"/>
  <c r="Q29" i="65"/>
  <c r="Z29" i="65"/>
  <c r="J29" i="65"/>
  <c r="AC29" i="65"/>
  <c r="H29" i="65"/>
  <c r="U29" i="65"/>
  <c r="F29" i="65"/>
  <c r="AA29" i="65"/>
  <c r="Q28" i="65"/>
  <c r="Z28" i="65"/>
  <c r="J28" i="65"/>
  <c r="W28" i="65"/>
  <c r="H28" i="65"/>
  <c r="AB28" i="65"/>
  <c r="F28" i="65"/>
  <c r="AA28" i="65"/>
  <c r="Q27" i="65"/>
  <c r="Z27" i="65"/>
  <c r="Q25" i="65"/>
  <c r="Z25" i="65"/>
  <c r="Q23" i="65"/>
  <c r="Z23" i="65"/>
  <c r="J23" i="65"/>
  <c r="AC23" i="65"/>
  <c r="H23" i="65"/>
  <c r="AB23" i="65"/>
  <c r="F23" i="65"/>
  <c r="AA23" i="65"/>
  <c r="C23" i="65"/>
  <c r="Q21" i="65"/>
  <c r="Z21" i="65"/>
  <c r="J21" i="65"/>
  <c r="AC21" i="65"/>
  <c r="H21" i="65"/>
  <c r="U21" i="65"/>
  <c r="F21" i="65"/>
  <c r="AA21" i="65"/>
  <c r="C21" i="65"/>
  <c r="Q19" i="65"/>
  <c r="Z19" i="65"/>
  <c r="J19" i="65"/>
  <c r="W19" i="65"/>
  <c r="H19" i="65"/>
  <c r="AB19" i="65"/>
  <c r="F19" i="65"/>
  <c r="AA19" i="65"/>
  <c r="C19" i="65"/>
  <c r="Z17" i="65"/>
  <c r="Q17" i="65"/>
  <c r="J17" i="65"/>
  <c r="AC17" i="65"/>
  <c r="H17" i="65"/>
  <c r="U17" i="65"/>
  <c r="F17" i="65"/>
  <c r="AA17" i="65"/>
  <c r="C17" i="65"/>
  <c r="Q15" i="65"/>
  <c r="Z15" i="65"/>
  <c r="J15" i="65"/>
  <c r="W15" i="65"/>
  <c r="H15" i="65"/>
  <c r="AB15" i="65"/>
  <c r="C15" i="65"/>
  <c r="Q14" i="65"/>
  <c r="Z14" i="65"/>
  <c r="J14" i="65"/>
  <c r="AC14" i="65"/>
  <c r="Z13" i="65"/>
  <c r="Q13" i="65"/>
  <c r="J13" i="65"/>
  <c r="W13" i="65"/>
  <c r="H13" i="65"/>
  <c r="AB13" i="65"/>
  <c r="F13" i="65"/>
  <c r="AA13" i="65"/>
  <c r="U12" i="65"/>
  <c r="S12" i="65"/>
  <c r="Q12" i="65"/>
  <c r="Z12" i="65"/>
  <c r="J12" i="65"/>
  <c r="AC12" i="65"/>
  <c r="H12" i="65"/>
  <c r="AB12" i="65"/>
  <c r="F12" i="65"/>
  <c r="AA12" i="65"/>
  <c r="Q11" i="65"/>
  <c r="Z11" i="65"/>
  <c r="J11" i="65"/>
  <c r="AC11" i="65"/>
  <c r="H11" i="65"/>
  <c r="AB11" i="65"/>
  <c r="F11" i="65"/>
  <c r="S11" i="65"/>
  <c r="Q10" i="65"/>
  <c r="Z10" i="65"/>
  <c r="Q9" i="65"/>
  <c r="Z9" i="65"/>
  <c r="J8" i="65"/>
  <c r="AC8" i="65"/>
  <c r="H8" i="65"/>
  <c r="AB8" i="65"/>
  <c r="F8" i="65"/>
  <c r="S8" i="65"/>
  <c r="D3" i="65"/>
  <c r="C2" i="65"/>
  <c r="F2" i="65"/>
  <c r="E2" i="66"/>
  <c r="E2" i="65"/>
  <c r="AB14" i="65"/>
  <c r="U14" i="65"/>
  <c r="AC47" i="65"/>
  <c r="W47" i="65"/>
  <c r="AA14" i="66"/>
  <c r="S14" i="66"/>
  <c r="H37" i="65"/>
  <c r="U37" i="65"/>
  <c r="I37" i="65"/>
  <c r="J37" i="65"/>
  <c r="AC37" i="65"/>
  <c r="AB32" i="65"/>
  <c r="U32" i="65"/>
  <c r="W8" i="66"/>
  <c r="H14" i="66"/>
  <c r="F15" i="66"/>
  <c r="S15" i="66"/>
  <c r="J32" i="65"/>
  <c r="F9" i="65"/>
  <c r="AA9" i="65"/>
  <c r="F27" i="65"/>
  <c r="AA27" i="65"/>
  <c r="W29" i="65"/>
  <c r="F37" i="65"/>
  <c r="AA37" i="65"/>
  <c r="U11" i="66"/>
  <c r="J14" i="66"/>
  <c r="H15" i="66"/>
  <c r="AB15" i="66"/>
  <c r="F28" i="66"/>
  <c r="S28" i="66"/>
  <c r="S29" i="66"/>
  <c r="W41" i="66"/>
  <c r="W14" i="65"/>
  <c r="S28" i="65"/>
  <c r="F41" i="65"/>
  <c r="AA41" i="65"/>
  <c r="W11" i="66"/>
  <c r="J15" i="66"/>
  <c r="W15" i="66"/>
  <c r="U17" i="66"/>
  <c r="H28" i="66"/>
  <c r="U28" i="66"/>
  <c r="U29" i="66"/>
  <c r="S36" i="66"/>
  <c r="W40" i="66"/>
  <c r="H41" i="65"/>
  <c r="AB41" i="65"/>
  <c r="W17" i="66"/>
  <c r="S32" i="66"/>
  <c r="W36" i="66"/>
  <c r="S39" i="66"/>
  <c r="S47" i="66"/>
  <c r="F14" i="65"/>
  <c r="J41" i="65"/>
  <c r="AC41" i="65"/>
  <c r="W32" i="66"/>
  <c r="S35" i="66"/>
  <c r="S38" i="66"/>
  <c r="F41" i="66"/>
  <c r="S46" i="66"/>
  <c r="F15" i="65"/>
  <c r="AA15" i="65"/>
  <c r="J43" i="65"/>
  <c r="AC43" i="65"/>
  <c r="U38" i="66"/>
  <c r="H41" i="66"/>
  <c r="AB41" i="66"/>
  <c r="U46" i="66"/>
  <c r="J43" i="66"/>
  <c r="AC43" i="66"/>
  <c r="H43" i="66"/>
  <c r="AB43" i="66"/>
  <c r="H27" i="66"/>
  <c r="F90" i="66"/>
  <c r="G90" i="66"/>
  <c r="H90" i="66"/>
  <c r="I90" i="66"/>
  <c r="J90" i="66"/>
  <c r="K90" i="66"/>
  <c r="L90" i="66"/>
  <c r="M90" i="66"/>
  <c r="F27" i="66"/>
  <c r="J27" i="66"/>
  <c r="H10" i="66"/>
  <c r="F10" i="66"/>
  <c r="H67" i="66"/>
  <c r="I67" i="66"/>
  <c r="J10" i="66"/>
  <c r="AC9" i="66"/>
  <c r="W9" i="66"/>
  <c r="F33" i="66"/>
  <c r="J33" i="66"/>
  <c r="H102" i="66"/>
  <c r="I102" i="66"/>
  <c r="J102" i="66"/>
  <c r="K102" i="66"/>
  <c r="L102" i="66"/>
  <c r="M102" i="66"/>
  <c r="H33" i="66"/>
  <c r="AB44" i="66"/>
  <c r="U44" i="66"/>
  <c r="F37" i="66"/>
  <c r="G37" i="66"/>
  <c r="F25" i="66"/>
  <c r="J25" i="66"/>
  <c r="H25" i="66"/>
  <c r="F88" i="66"/>
  <c r="G88" i="66"/>
  <c r="H88" i="66"/>
  <c r="I88" i="66"/>
  <c r="J88" i="66"/>
  <c r="K88" i="66"/>
  <c r="L88" i="66"/>
  <c r="M88" i="66"/>
  <c r="AC29" i="66"/>
  <c r="W29" i="66"/>
  <c r="AC44" i="66"/>
  <c r="AB23" i="66"/>
  <c r="AC39" i="66"/>
  <c r="AB42" i="66"/>
  <c r="AA45" i="66"/>
  <c r="AC47" i="66"/>
  <c r="F124" i="66"/>
  <c r="G124" i="66"/>
  <c r="H124" i="66"/>
  <c r="I124" i="66"/>
  <c r="J124" i="66"/>
  <c r="K124" i="66"/>
  <c r="L124" i="66"/>
  <c r="M124" i="66"/>
  <c r="AB19" i="66"/>
  <c r="AA28" i="66"/>
  <c r="AC30" i="66"/>
  <c r="AC35" i="66"/>
  <c r="AA8" i="66"/>
  <c r="AB13" i="66"/>
  <c r="AC15" i="66"/>
  <c r="AC19" i="66"/>
  <c r="W21" i="66"/>
  <c r="AC23" i="66"/>
  <c r="AA31" i="66"/>
  <c r="U32" i="66"/>
  <c r="W38" i="66"/>
  <c r="U41" i="66"/>
  <c r="AC42" i="66"/>
  <c r="W46" i="66"/>
  <c r="E126" i="66"/>
  <c r="F126" i="66"/>
  <c r="G126" i="66"/>
  <c r="AC12" i="66"/>
  <c r="AC28" i="66"/>
  <c r="AB31" i="66"/>
  <c r="AB36" i="66"/>
  <c r="AB40" i="66"/>
  <c r="AA43" i="66"/>
  <c r="AC45" i="66"/>
  <c r="S23" i="66"/>
  <c r="U30" i="66"/>
  <c r="U35" i="66"/>
  <c r="U39" i="66"/>
  <c r="S42" i="66"/>
  <c r="U47" i="66"/>
  <c r="AA15" i="66"/>
  <c r="AA13" i="66"/>
  <c r="S19" i="66"/>
  <c r="F9" i="66"/>
  <c r="U15" i="66"/>
  <c r="H9" i="66"/>
  <c r="F44" i="66"/>
  <c r="AA11" i="66"/>
  <c r="AC13" i="66"/>
  <c r="H102" i="65"/>
  <c r="I102" i="65"/>
  <c r="J102" i="65"/>
  <c r="K102" i="65"/>
  <c r="L102" i="65"/>
  <c r="M102" i="65"/>
  <c r="J33" i="65"/>
  <c r="AC33" i="65"/>
  <c r="H33" i="65"/>
  <c r="AB33" i="65"/>
  <c r="F33" i="65"/>
  <c r="AA33" i="65"/>
  <c r="F88" i="65"/>
  <c r="G88" i="65"/>
  <c r="H88" i="65"/>
  <c r="I88" i="65"/>
  <c r="J88" i="65"/>
  <c r="K88" i="65"/>
  <c r="L88" i="65"/>
  <c r="M88" i="65"/>
  <c r="H25" i="65"/>
  <c r="AB25" i="65"/>
  <c r="J25" i="65"/>
  <c r="W25" i="65"/>
  <c r="F25" i="65"/>
  <c r="S25" i="65"/>
  <c r="H67" i="65"/>
  <c r="I67" i="65"/>
  <c r="F10" i="65"/>
  <c r="S10" i="65"/>
  <c r="J10" i="65"/>
  <c r="AC10" i="65"/>
  <c r="H10" i="65"/>
  <c r="AB10" i="65"/>
  <c r="U11" i="65"/>
  <c r="W11" i="65"/>
  <c r="S37"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c r="S27" i="65"/>
  <c r="AC32" i="65"/>
  <c r="W32" i="65"/>
  <c r="AC14" i="66"/>
  <c r="W14" i="66"/>
  <c r="AB14" i="66"/>
  <c r="U14" i="66"/>
  <c r="AA41" i="66"/>
  <c r="S41" i="66"/>
  <c r="AB28" i="66"/>
  <c r="AA14" i="65"/>
  <c r="S14" i="65"/>
  <c r="W37" i="65"/>
  <c r="W43" i="66"/>
  <c r="U43" i="66"/>
  <c r="AB25" i="66"/>
  <c r="U25" i="66"/>
  <c r="U10" i="66"/>
  <c r="AB10" i="66"/>
  <c r="AA9" i="66"/>
  <c r="S9" i="66"/>
  <c r="AC25" i="66"/>
  <c r="W25" i="66"/>
  <c r="W33" i="66"/>
  <c r="AC33" i="66"/>
  <c r="U33" i="66"/>
  <c r="AB33" i="66"/>
  <c r="AA33" i="66"/>
  <c r="S33" i="66"/>
  <c r="AC27" i="66"/>
  <c r="W27" i="66"/>
  <c r="S25" i="66"/>
  <c r="AA25" i="66"/>
  <c r="I37" i="66"/>
  <c r="J37" i="66"/>
  <c r="H37" i="66"/>
  <c r="AA27" i="66"/>
  <c r="S27" i="66"/>
  <c r="S10" i="66"/>
  <c r="AA10" i="66"/>
  <c r="S37" i="66"/>
  <c r="AA37"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c r="AD5" i="59"/>
  <c r="Q5" i="59"/>
  <c r="Q6" i="59"/>
  <c r="P5" i="59"/>
  <c r="P6" i="59"/>
  <c r="O5" i="59"/>
  <c r="N5" i="59"/>
  <c r="B2" i="48"/>
  <c r="B10" i="48"/>
  <c r="D10" i="48"/>
  <c r="H17" i="48"/>
  <c r="D18" i="48"/>
  <c r="O7" i="59"/>
  <c r="O8" i="59"/>
  <c r="N7" i="59"/>
  <c r="N8" i="59"/>
  <c r="AH6" i="59"/>
  <c r="AG6" i="59"/>
  <c r="AE6" i="59"/>
  <c r="AF6" i="59"/>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B23" i="1"/>
  <c r="J50" i="15"/>
  <c r="J51" i="15"/>
  <c r="B25" i="1"/>
  <c r="AH12" i="59"/>
  <c r="AG12" i="59"/>
  <c r="AE12" i="59"/>
  <c r="AF12" i="59"/>
  <c r="AD12" i="59"/>
  <c r="AH13" i="59"/>
  <c r="AG13" i="59"/>
  <c r="AE13" i="59"/>
  <c r="AF13" i="59"/>
  <c r="AD13" i="59"/>
  <c r="Q13" i="59"/>
  <c r="P13" i="59"/>
  <c r="E13" i="59"/>
  <c r="E12" i="59"/>
  <c r="E11" i="59"/>
  <c r="E10" i="59"/>
  <c r="E9" i="59"/>
  <c r="E8" i="59"/>
  <c r="E7" i="59"/>
  <c r="E6" i="59"/>
  <c r="E5" i="59"/>
  <c r="O13" i="59"/>
  <c r="C13" i="59"/>
  <c r="D13" i="59"/>
  <c r="N13" i="59"/>
  <c r="Q14" i="59"/>
  <c r="P14" i="59"/>
  <c r="O14" i="59"/>
  <c r="N14" i="59"/>
  <c r="D14" i="59"/>
  <c r="A2" i="50"/>
  <c r="B16" i="60"/>
  <c r="K60" i="15"/>
  <c r="A126" i="57"/>
  <c r="A123" i="9"/>
  <c r="A16" i="54"/>
  <c r="B14" i="60"/>
  <c r="A14" i="54"/>
  <c r="B12" i="60"/>
  <c r="A19" i="55"/>
  <c r="B49" i="60"/>
  <c r="A13" i="55"/>
  <c r="B43" i="60"/>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B14" i="62"/>
  <c r="B1" i="62"/>
  <c r="B3" i="62"/>
  <c r="O16" i="59"/>
  <c r="P16" i="59"/>
  <c r="Q16" i="59"/>
  <c r="N16" i="59"/>
  <c r="AA23"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0" i="43"/>
  <c r="AF9" i="43"/>
  <c r="AE9" i="43"/>
  <c r="AE10" i="43"/>
  <c r="AE12" i="43"/>
  <c r="AD9" i="43"/>
  <c r="AD12" i="43"/>
  <c r="AC9" i="43"/>
  <c r="AC12" i="43"/>
  <c r="AB9" i="43"/>
  <c r="AA9" i="43"/>
  <c r="AA10" i="43"/>
  <c r="AA12" i="43"/>
  <c r="Z9" i="43"/>
  <c r="Z12" i="43"/>
  <c r="AC10" i="43"/>
  <c r="AD10" i="43"/>
  <c r="AH10" i="43"/>
  <c r="K50" i="57"/>
  <c r="K49" i="9"/>
  <c r="F111" i="57"/>
  <c r="A115" i="57"/>
  <c r="A128" i="57"/>
  <c r="A112" i="9"/>
  <c r="A125" i="9"/>
  <c r="F110" i="9"/>
  <c r="F115" i="57"/>
  <c r="A132" i="57"/>
  <c r="A119" i="57"/>
  <c r="A116" i="9"/>
  <c r="F113" i="57"/>
  <c r="I113" i="57"/>
  <c r="A117" i="57"/>
  <c r="A130" i="57"/>
  <c r="A114" i="9"/>
  <c r="A127" i="9"/>
  <c r="A10" i="52"/>
  <c r="B66" i="60"/>
  <c r="F114" i="9"/>
  <c r="A129" i="9"/>
  <c r="F112" i="9"/>
  <c r="B45" i="50"/>
  <c r="B59" i="60"/>
  <c r="D2" i="52"/>
  <c r="B60" i="60"/>
  <c r="B18" i="50"/>
  <c r="B39" i="50"/>
  <c r="B15" i="50"/>
  <c r="B36" i="50"/>
  <c r="B10" i="50"/>
  <c r="B31" i="50"/>
  <c r="A13" i="54"/>
  <c r="B51" i="60"/>
  <c r="B50" i="60"/>
  <c r="B47" i="60"/>
  <c r="B51" i="10"/>
  <c r="A15" i="55"/>
  <c r="B45" i="60"/>
  <c r="A14" i="55"/>
  <c r="B44" i="60"/>
  <c r="C10" i="50"/>
  <c r="C12" i="50"/>
  <c r="C7" i="50"/>
  <c r="C18" i="50"/>
  <c r="C15" i="50"/>
  <c r="C35" i="50"/>
  <c r="C34" i="50"/>
  <c r="C3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D73" i="59"/>
  <c r="B73" i="59"/>
  <c r="B72" i="59"/>
  <c r="B71" i="59"/>
  <c r="D70" i="59"/>
  <c r="Q69" i="59"/>
  <c r="P69" i="59"/>
  <c r="O69" i="59"/>
  <c r="N69" i="59"/>
  <c r="F69" i="59"/>
  <c r="F68" i="59"/>
  <c r="F67" i="59"/>
  <c r="V69" i="59"/>
  <c r="E69" i="59"/>
  <c r="C69" i="59"/>
  <c r="T69" i="59"/>
  <c r="B69" i="59"/>
  <c r="S69" i="59"/>
  <c r="Q68" i="59"/>
  <c r="P68" i="59"/>
  <c r="O68" i="59"/>
  <c r="N68" i="59"/>
  <c r="B68" i="59"/>
  <c r="B67" i="59"/>
  <c r="Q67" i="59"/>
  <c r="P67" i="59"/>
  <c r="O67" i="59"/>
  <c r="N67" i="59"/>
  <c r="Q66" i="59"/>
  <c r="P66" i="59"/>
  <c r="O66" i="59"/>
  <c r="N66" i="59"/>
  <c r="D66" i="59"/>
  <c r="S65" i="59"/>
  <c r="Q65" i="59"/>
  <c r="P65" i="59"/>
  <c r="O65" i="59"/>
  <c r="N65" i="59"/>
  <c r="F65" i="59"/>
  <c r="V65" i="59"/>
  <c r="E65" i="59"/>
  <c r="U65" i="59"/>
  <c r="C65" i="59"/>
  <c r="C64" i="59"/>
  <c r="T65" i="59"/>
  <c r="B65" i="59"/>
  <c r="Q64" i="59"/>
  <c r="P64" i="59"/>
  <c r="O64" i="59"/>
  <c r="N64" i="59"/>
  <c r="B64" i="59"/>
  <c r="B63" i="59"/>
  <c r="Q63" i="59"/>
  <c r="P63" i="59"/>
  <c r="O63" i="59"/>
  <c r="N63" i="59"/>
  <c r="Q62" i="59"/>
  <c r="P62" i="59"/>
  <c r="O62" i="59"/>
  <c r="N62" i="59"/>
  <c r="D62" i="59"/>
  <c r="Q61" i="59"/>
  <c r="P61" i="59"/>
  <c r="O61" i="59"/>
  <c r="N61" i="59"/>
  <c r="F61" i="59"/>
  <c r="E61" i="59"/>
  <c r="U61" i="59"/>
  <c r="C61" i="59"/>
  <c r="D61" i="59"/>
  <c r="B61" i="59"/>
  <c r="S61" i="59"/>
  <c r="Q60" i="59"/>
  <c r="P60" i="59"/>
  <c r="O60" i="59"/>
  <c r="N60" i="59"/>
  <c r="B60" i="59"/>
  <c r="B59" i="59"/>
  <c r="Q59" i="59"/>
  <c r="P59" i="59"/>
  <c r="O59" i="59"/>
  <c r="N59" i="59"/>
  <c r="Q58" i="59"/>
  <c r="P58" i="59"/>
  <c r="O58" i="59"/>
  <c r="N58" i="59"/>
  <c r="D58" i="59"/>
  <c r="P57" i="59"/>
  <c r="F57" i="59"/>
  <c r="F56" i="59"/>
  <c r="V57" i="59"/>
  <c r="E57" i="59"/>
  <c r="U57" i="59"/>
  <c r="E56" i="59"/>
  <c r="P56" i="59"/>
  <c r="C57" i="59"/>
  <c r="C56" i="59"/>
  <c r="C55" i="59"/>
  <c r="B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Q49" i="59"/>
  <c r="P49" i="59"/>
  <c r="O49" i="59"/>
  <c r="N49" i="59"/>
  <c r="Q48" i="59"/>
  <c r="P48" i="59"/>
  <c r="O48" i="59"/>
  <c r="N48" i="59"/>
  <c r="Q47" i="59"/>
  <c r="P47" i="59"/>
  <c r="E48" i="59"/>
  <c r="E49" i="59"/>
  <c r="U49"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D42" i="59"/>
  <c r="Q41" i="59"/>
  <c r="P41" i="59"/>
  <c r="O41" i="59"/>
  <c r="N41" i="59"/>
  <c r="Q40" i="59"/>
  <c r="P40" i="59"/>
  <c r="O40" i="59"/>
  <c r="N40" i="59"/>
  <c r="Q39" i="59"/>
  <c r="P39" i="59"/>
  <c r="O39" i="59"/>
  <c r="N39" i="59"/>
  <c r="E39" i="59"/>
  <c r="E40"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O30" i="59"/>
  <c r="C31" i="59"/>
  <c r="N30" i="59"/>
  <c r="B31" i="59"/>
  <c r="B32" i="59"/>
  <c r="B33" i="59"/>
  <c r="S33" i="59"/>
  <c r="D30" i="59"/>
  <c r="Q29" i="59"/>
  <c r="P29" i="59"/>
  <c r="O29" i="59"/>
  <c r="N29" i="59"/>
  <c r="Q28" i="59"/>
  <c r="AB28" i="59"/>
  <c r="P28" i="59"/>
  <c r="AA28" i="59"/>
  <c r="O28" i="59"/>
  <c r="Y28" i="59"/>
  <c r="Z28" i="59"/>
  <c r="N28" i="59"/>
  <c r="X28" i="59"/>
  <c r="Q27" i="59"/>
  <c r="AB27" i="59"/>
  <c r="P27" i="59"/>
  <c r="AA27" i="59"/>
  <c r="O27" i="59"/>
  <c r="Y27" i="59"/>
  <c r="Z27" i="59"/>
  <c r="N27" i="59"/>
  <c r="F27" i="59"/>
  <c r="F28" i="59"/>
  <c r="F29" i="59"/>
  <c r="V29" i="59"/>
  <c r="Q26" i="59"/>
  <c r="AB26" i="59"/>
  <c r="P26" i="59"/>
  <c r="AA26" i="59"/>
  <c r="E27" i="59"/>
  <c r="E28" i="59"/>
  <c r="E29" i="59"/>
  <c r="U29" i="59"/>
  <c r="O26" i="59"/>
  <c r="N26" i="59"/>
  <c r="D26" i="59"/>
  <c r="Q25" i="59"/>
  <c r="AB25" i="59"/>
  <c r="P25" i="59"/>
  <c r="AA25" i="59"/>
  <c r="O25" i="59"/>
  <c r="Y25" i="59"/>
  <c r="Z25" i="59"/>
  <c r="N25" i="59"/>
  <c r="Q24" i="59"/>
  <c r="P24" i="59"/>
  <c r="AA24" i="59"/>
  <c r="O24" i="59"/>
  <c r="N24" i="59"/>
  <c r="Q23" i="59"/>
  <c r="AB23" i="59"/>
  <c r="P23" i="59"/>
  <c r="O23" i="59"/>
  <c r="N23" i="59"/>
  <c r="Q22" i="59"/>
  <c r="F23" i="59"/>
  <c r="F24" i="59"/>
  <c r="F25" i="59"/>
  <c r="V25" i="59"/>
  <c r="P22" i="59"/>
  <c r="AA22" i="59"/>
  <c r="O22" i="59"/>
  <c r="C23" i="59"/>
  <c r="D23" i="59"/>
  <c r="N22" i="59"/>
  <c r="B23" i="59"/>
  <c r="B24" i="59"/>
  <c r="D22" i="59"/>
  <c r="Q21" i="59"/>
  <c r="P21" i="59"/>
  <c r="O21" i="59"/>
  <c r="N21" i="59"/>
  <c r="Q20" i="59"/>
  <c r="P20" i="59"/>
  <c r="AA20" i="59"/>
  <c r="O20" i="59"/>
  <c r="N20" i="59"/>
  <c r="Q19" i="59"/>
  <c r="P19" i="59"/>
  <c r="O19" i="59"/>
  <c r="N19" i="59"/>
  <c r="Q18" i="59"/>
  <c r="P18" i="59"/>
  <c r="O18" i="59"/>
  <c r="N18" i="59"/>
  <c r="B19" i="59"/>
  <c r="B20" i="59"/>
  <c r="B21" i="59"/>
  <c r="S21" i="59"/>
  <c r="D18" i="59"/>
  <c r="O17" i="59"/>
  <c r="C17" i="59"/>
  <c r="T17" i="59"/>
  <c r="N17" i="59"/>
  <c r="P17" i="59"/>
  <c r="E60" i="59"/>
  <c r="E59" i="59"/>
  <c r="Q17" i="59"/>
  <c r="T61" i="59"/>
  <c r="Q57" i="59"/>
  <c r="E64" i="59"/>
  <c r="E63" i="59"/>
  <c r="D65" i="59"/>
  <c r="C68" i="59"/>
  <c r="D69" i="59"/>
  <c r="C72" i="59"/>
  <c r="D72" i="59"/>
  <c r="F17" i="59"/>
  <c r="V17" i="59"/>
  <c r="E17" i="59"/>
  <c r="E16" i="59"/>
  <c r="E15" i="59"/>
  <c r="AA15" i="59"/>
  <c r="U17" i="59"/>
  <c r="F16" i="59"/>
  <c r="Q25" i="40"/>
  <c r="Z25" i="40"/>
  <c r="D94" i="40"/>
  <c r="E94" i="40"/>
  <c r="F94" i="40"/>
  <c r="G94" i="40"/>
  <c r="H25" i="40"/>
  <c r="U25" i="40"/>
  <c r="F25" i="40"/>
  <c r="AA25" i="40"/>
  <c r="Z27" i="39"/>
  <c r="Q27" i="39"/>
  <c r="D101" i="39"/>
  <c r="E101" i="39"/>
  <c r="F101" i="39"/>
  <c r="G101" i="39"/>
  <c r="Q18" i="36"/>
  <c r="Z18" i="36"/>
  <c r="F18" i="36"/>
  <c r="S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U21" i="37"/>
  <c r="F21" i="37"/>
  <c r="AA21" i="37"/>
  <c r="C21" i="37"/>
  <c r="Z21" i="33"/>
  <c r="Q21" i="33"/>
  <c r="D83" i="33"/>
  <c r="E83" i="33"/>
  <c r="F83" i="33"/>
  <c r="G83" i="33"/>
  <c r="H21" i="33"/>
  <c r="AB21" i="33"/>
  <c r="F21" i="33"/>
  <c r="AA21" i="33"/>
  <c r="C21" i="33"/>
  <c r="Q21" i="21"/>
  <c r="Z21" i="21"/>
  <c r="D83" i="21"/>
  <c r="E83" i="21"/>
  <c r="F83" i="21"/>
  <c r="F21" i="21"/>
  <c r="AA21" i="21"/>
  <c r="C21" i="21"/>
  <c r="G20" i="20"/>
  <c r="C25" i="40"/>
  <c r="C22" i="20"/>
  <c r="B75" i="43"/>
  <c r="U18" i="35"/>
  <c r="S21" i="37"/>
  <c r="S21" i="33"/>
  <c r="S21" i="21"/>
  <c r="J25" i="40"/>
  <c r="J27" i="39"/>
  <c r="H27" i="39"/>
  <c r="F27" i="39"/>
  <c r="H18" i="36"/>
  <c r="J18" i="36"/>
  <c r="J21" i="37"/>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1" i="58"/>
  <c r="C27" i="58"/>
  <c r="C30" i="58"/>
  <c r="I23" i="58"/>
  <c r="D20" i="58"/>
  <c r="I19" i="58"/>
  <c r="I18" i="58"/>
  <c r="I17" i="58"/>
  <c r="I20" i="58"/>
  <c r="E15" i="58"/>
  <c r="I14" i="58"/>
  <c r="I13" i="58"/>
  <c r="I12" i="58"/>
  <c r="I15" i="58"/>
  <c r="I9" i="58"/>
  <c r="I8" i="58"/>
  <c r="I7" i="58"/>
  <c r="I6" i="58"/>
  <c r="I5" i="58"/>
  <c r="I4" i="58"/>
  <c r="I3" i="58"/>
  <c r="I10" i="58"/>
  <c r="I21" i="58"/>
  <c r="G57" i="40"/>
  <c r="G56" i="40"/>
  <c r="C56" i="40"/>
  <c r="D1" i="43"/>
  <c r="F113" i="43"/>
  <c r="N99" i="43"/>
  <c r="M99" i="43"/>
  <c r="M108" i="43"/>
  <c r="L99" i="43"/>
  <c r="L108" i="43"/>
  <c r="K99" i="43"/>
  <c r="K108" i="43"/>
  <c r="J99" i="43"/>
  <c r="J100" i="43"/>
  <c r="I99" i="43"/>
  <c r="H99" i="43"/>
  <c r="H108" i="43"/>
  <c r="G99" i="43"/>
  <c r="G108" i="43"/>
  <c r="F99" i="43"/>
  <c r="E99" i="43"/>
  <c r="E108" i="43"/>
  <c r="D99" i="43"/>
  <c r="D100" i="43"/>
  <c r="D108" i="43"/>
  <c r="C99" i="43"/>
  <c r="C100" i="43"/>
  <c r="C108" i="43"/>
  <c r="E100" i="43"/>
  <c r="K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B6" i="1"/>
  <c r="M21" i="15"/>
  <c r="B5" i="1"/>
  <c r="D3" i="33"/>
  <c r="B27" i="31"/>
  <c r="B25" i="31"/>
  <c r="B35" i="4"/>
  <c r="C12" i="4"/>
  <c r="C13" i="4"/>
  <c r="C14" i="62"/>
  <c r="B2" i="62"/>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D114" i="57"/>
  <c r="D113" i="57"/>
  <c r="D112" i="57"/>
  <c r="I109" i="57"/>
  <c r="I108" i="57"/>
  <c r="I107" i="57"/>
  <c r="D101" i="57"/>
  <c r="C101" i="57"/>
  <c r="C92" i="57"/>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S36" i="31"/>
  <c r="R37" i="31"/>
  <c r="T37" i="31"/>
  <c r="R38" i="31"/>
  <c r="T38" i="31"/>
  <c r="R39" i="31"/>
  <c r="T39" i="31"/>
  <c r="R40" i="31"/>
  <c r="T40" i="31"/>
  <c r="R41" i="31"/>
  <c r="T41" i="31"/>
  <c r="R42" i="31"/>
  <c r="T42" i="31"/>
  <c r="R43" i="31"/>
  <c r="T43" i="31"/>
  <c r="R44" i="31"/>
  <c r="T44" i="31"/>
  <c r="R45" i="31"/>
  <c r="S45" i="31"/>
  <c r="R46" i="31"/>
  <c r="S46" i="31"/>
  <c r="R47" i="31"/>
  <c r="T47" i="31"/>
  <c r="R48" i="31"/>
  <c r="T48" i="31"/>
  <c r="R49" i="31"/>
  <c r="S49" i="31"/>
  <c r="R50" i="31"/>
  <c r="S50" i="31"/>
  <c r="R51" i="31"/>
  <c r="T51" i="31"/>
  <c r="R52" i="31"/>
  <c r="T52" i="31"/>
  <c r="R53" i="31"/>
  <c r="T53" i="31"/>
  <c r="R54" i="31"/>
  <c r="S54" i="31"/>
  <c r="R55" i="31"/>
  <c r="T55" i="31"/>
  <c r="R56" i="31"/>
  <c r="T56" i="31"/>
  <c r="R57" i="31"/>
  <c r="S57" i="31"/>
  <c r="R58" i="31"/>
  <c r="T58" i="31"/>
  <c r="R59" i="31"/>
  <c r="T59" i="31"/>
  <c r="R60" i="31"/>
  <c r="T60" i="31"/>
  <c r="R61" i="31"/>
  <c r="T61" i="31"/>
  <c r="R62" i="31"/>
  <c r="T62" i="31"/>
  <c r="R63" i="31"/>
  <c r="T63" i="31"/>
  <c r="R64" i="31"/>
  <c r="T64" i="31"/>
  <c r="R65" i="31"/>
  <c r="T65" i="31"/>
  <c r="R66" i="31"/>
  <c r="T66" i="31"/>
  <c r="R67" i="31"/>
  <c r="T67" i="31"/>
  <c r="R68" i="31"/>
  <c r="T68" i="31"/>
  <c r="R69" i="31"/>
  <c r="S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S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S112" i="31"/>
  <c r="R113" i="31"/>
  <c r="T113" i="31"/>
  <c r="R114" i="31"/>
  <c r="T114" i="31"/>
  <c r="R115" i="31"/>
  <c r="T115" i="31"/>
  <c r="R116" i="31"/>
  <c r="T116" i="31"/>
  <c r="R117" i="31"/>
  <c r="T117" i="31"/>
  <c r="R118" i="31"/>
  <c r="T118" i="31"/>
  <c r="R119" i="31"/>
  <c r="S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S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S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S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S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T262" i="31"/>
  <c r="R263" i="31"/>
  <c r="S263" i="31"/>
  <c r="R264" i="31"/>
  <c r="T264" i="31"/>
  <c r="R265" i="31"/>
  <c r="S265" i="31"/>
  <c r="R266" i="31"/>
  <c r="S266" i="31"/>
  <c r="R267" i="31"/>
  <c r="S267" i="31"/>
  <c r="R268" i="31"/>
  <c r="T268" i="31"/>
  <c r="R269" i="31"/>
  <c r="S269" i="31"/>
  <c r="R270" i="31"/>
  <c r="T270" i="31"/>
  <c r="R271" i="31"/>
  <c r="S271" i="31"/>
  <c r="R272" i="31"/>
  <c r="S272" i="31"/>
  <c r="R273" i="31"/>
  <c r="S273" i="31"/>
  <c r="R274" i="31"/>
  <c r="T274" i="31"/>
  <c r="R275" i="31"/>
  <c r="S275" i="31"/>
  <c r="R276" i="31"/>
  <c r="T276" i="31"/>
  <c r="R277" i="31"/>
  <c r="S277" i="31"/>
  <c r="R278" i="31"/>
  <c r="T278" i="31"/>
  <c r="R279" i="31"/>
  <c r="S279" i="31"/>
  <c r="R280" i="31"/>
  <c r="T280" i="31"/>
  <c r="R281" i="31"/>
  <c r="S281" i="31"/>
  <c r="R282" i="31"/>
  <c r="T282" i="31"/>
  <c r="R283" i="31"/>
  <c r="S283" i="31"/>
  <c r="R284" i="31"/>
  <c r="T284" i="31"/>
  <c r="R285" i="31"/>
  <c r="S285" i="31"/>
  <c r="R286" i="31"/>
  <c r="T286" i="31"/>
  <c r="R287" i="31"/>
  <c r="S287" i="31"/>
  <c r="R288" i="31"/>
  <c r="T288" i="31"/>
  <c r="R289" i="31"/>
  <c r="S289" i="31"/>
  <c r="R290" i="31"/>
  <c r="T290" i="31"/>
  <c r="R291" i="31"/>
  <c r="S291" i="31"/>
  <c r="R292" i="31"/>
  <c r="T292" i="31"/>
  <c r="R293" i="31"/>
  <c r="S293" i="31"/>
  <c r="R294" i="31"/>
  <c r="T294" i="31"/>
  <c r="R295" i="31"/>
  <c r="S295" i="31"/>
  <c r="R296" i="31"/>
  <c r="T296" i="31"/>
  <c r="R297" i="31"/>
  <c r="S297" i="31"/>
  <c r="R298" i="31"/>
  <c r="T298" i="31"/>
  <c r="R299" i="31"/>
  <c r="S299" i="31"/>
  <c r="R300" i="31"/>
  <c r="T300" i="31"/>
  <c r="R301" i="31"/>
  <c r="S301" i="31"/>
  <c r="R302" i="31"/>
  <c r="T302" i="31"/>
  <c r="R303" i="31"/>
  <c r="S303" i="31"/>
  <c r="R304" i="31"/>
  <c r="T304" i="31"/>
  <c r="R305" i="31"/>
  <c r="S305" i="31"/>
  <c r="R306" i="31"/>
  <c r="T306" i="31"/>
  <c r="R307" i="31"/>
  <c r="S307" i="31"/>
  <c r="R308" i="31"/>
  <c r="T308" i="31"/>
  <c r="R309" i="31"/>
  <c r="S309" i="31"/>
  <c r="R310" i="31"/>
  <c r="T310" i="31"/>
  <c r="R311" i="31"/>
  <c r="S311" i="31"/>
  <c r="R312" i="31"/>
  <c r="T312" i="31"/>
  <c r="R313" i="31"/>
  <c r="S313" i="31"/>
  <c r="R314" i="31"/>
  <c r="T314" i="31"/>
  <c r="R315" i="31"/>
  <c r="S315" i="31"/>
  <c r="R316" i="31"/>
  <c r="T316" i="31"/>
  <c r="R317" i="31"/>
  <c r="S317" i="31"/>
  <c r="R318" i="31"/>
  <c r="T318" i="31"/>
  <c r="R319" i="31"/>
  <c r="S319" i="31"/>
  <c r="R320" i="31"/>
  <c r="T320" i="31"/>
  <c r="R321" i="31"/>
  <c r="S321" i="31"/>
  <c r="R322" i="31"/>
  <c r="T322" i="31"/>
  <c r="R323" i="31"/>
  <c r="S323" i="31"/>
  <c r="R324" i="31"/>
  <c r="S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S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S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S412" i="31"/>
  <c r="R413" i="31"/>
  <c r="T413" i="31"/>
  <c r="R414" i="31"/>
  <c r="T414" i="31"/>
  <c r="R415" i="31"/>
  <c r="T415" i="31"/>
  <c r="R416" i="31"/>
  <c r="S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S430" i="31"/>
  <c r="R431" i="31"/>
  <c r="T431" i="31"/>
  <c r="R432" i="31"/>
  <c r="T432" i="31"/>
  <c r="R433" i="31"/>
  <c r="S433" i="31"/>
  <c r="R434" i="31"/>
  <c r="S434" i="31"/>
  <c r="R435" i="31"/>
  <c r="T435" i="31"/>
  <c r="R436" i="31"/>
  <c r="T436" i="31"/>
  <c r="R437" i="31"/>
  <c r="T437" i="31"/>
  <c r="R438" i="31"/>
  <c r="S438" i="31"/>
  <c r="R439" i="31"/>
  <c r="T439" i="31"/>
  <c r="R440" i="31"/>
  <c r="T440" i="31"/>
  <c r="R441" i="31"/>
  <c r="T441" i="31"/>
  <c r="R442" i="31"/>
  <c r="S442" i="31"/>
  <c r="R443" i="31"/>
  <c r="T443" i="31"/>
  <c r="R444" i="31"/>
  <c r="T444" i="31"/>
  <c r="R445" i="31"/>
  <c r="T445" i="31"/>
  <c r="R446" i="31"/>
  <c r="S446" i="31"/>
  <c r="R447" i="31"/>
  <c r="T447" i="31"/>
  <c r="R448" i="31"/>
  <c r="T448" i="31"/>
  <c r="R449" i="31"/>
  <c r="S449" i="31"/>
  <c r="R450" i="31"/>
  <c r="T450" i="31"/>
  <c r="R451" i="31"/>
  <c r="S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S484" i="31"/>
  <c r="R485" i="31"/>
  <c r="T485" i="31"/>
  <c r="R486" i="31"/>
  <c r="S486" i="31"/>
  <c r="R487" i="31"/>
  <c r="T487" i="31"/>
  <c r="R488" i="31"/>
  <c r="T488" i="31"/>
  <c r="R489" i="31"/>
  <c r="T489" i="31"/>
  <c r="R490" i="31"/>
  <c r="T490" i="31"/>
  <c r="R491" i="31"/>
  <c r="T491" i="31"/>
  <c r="R492" i="31"/>
  <c r="T492" i="31"/>
  <c r="R493" i="31"/>
  <c r="T493" i="31"/>
  <c r="R494" i="31"/>
  <c r="S494" i="31"/>
  <c r="R495" i="31"/>
  <c r="T495" i="31"/>
  <c r="R496" i="31"/>
  <c r="S496" i="31"/>
  <c r="R497" i="31"/>
  <c r="S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S524" i="31"/>
  <c r="R525" i="31"/>
  <c r="T525" i="31"/>
  <c r="R526" i="31"/>
  <c r="S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c r="A4" i="55"/>
  <c r="B52" i="60"/>
  <c r="C8" i="11"/>
  <c r="H23" i="48"/>
  <c r="H24" i="48"/>
  <c r="D24" i="48"/>
  <c r="D21" i="48"/>
  <c r="B21" i="49"/>
  <c r="B5" i="60"/>
  <c r="B12" i="49"/>
  <c r="B3" i="60"/>
  <c r="I2" i="43"/>
  <c r="H6" i="44"/>
  <c r="G2" i="43"/>
  <c r="F33"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368" i="31"/>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H36" i="39"/>
  <c r="AB36"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33" i="37"/>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F39" i="40"/>
  <c r="AA39" i="40"/>
  <c r="B116" i="40"/>
  <c r="H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B103" i="40"/>
  <c r="J32" i="40"/>
  <c r="AC32" i="40"/>
  <c r="B101" i="40"/>
  <c r="D100" i="40"/>
  <c r="E100" i="40"/>
  <c r="F100" i="40"/>
  <c r="G100" i="40"/>
  <c r="H100" i="40"/>
  <c r="I100" i="40"/>
  <c r="J100" i="40"/>
  <c r="K100" i="40"/>
  <c r="L100" i="40"/>
  <c r="M100" i="40"/>
  <c r="D98" i="40"/>
  <c r="E98" i="40"/>
  <c r="D96" i="40"/>
  <c r="E96" i="40"/>
  <c r="F96" i="40"/>
  <c r="G96" i="40"/>
  <c r="H96" i="40"/>
  <c r="I96" i="40"/>
  <c r="J96" i="40"/>
  <c r="B95" i="40"/>
  <c r="F27"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H12" i="39"/>
  <c r="AB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C20" i="36"/>
  <c r="C20" i="35"/>
  <c r="C16" i="36"/>
  <c r="C16" i="35"/>
  <c r="C14" i="36"/>
  <c r="C14" i="35"/>
  <c r="B80"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B84" i="37"/>
  <c r="B82" i="37"/>
  <c r="D79" i="37"/>
  <c r="E79" i="37"/>
  <c r="F79" i="37"/>
  <c r="G79" i="37"/>
  <c r="D75" i="37"/>
  <c r="E75" i="37"/>
  <c r="F75" i="37"/>
  <c r="G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S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c r="M86" i="36"/>
  <c r="L86" i="36"/>
  <c r="K86" i="36"/>
  <c r="J86" i="36"/>
  <c r="I86" i="36"/>
  <c r="H86" i="36"/>
  <c r="G86" i="36"/>
  <c r="F86" i="36"/>
  <c r="E86" i="36"/>
  <c r="D86" i="36"/>
  <c r="C86" i="36"/>
  <c r="D85" i="36"/>
  <c r="E85" i="36"/>
  <c r="F85" i="36"/>
  <c r="G85" i="36"/>
  <c r="H85" i="36"/>
  <c r="I85" i="36"/>
  <c r="J85" i="36"/>
  <c r="K85" i="36"/>
  <c r="L85" i="36"/>
  <c r="M85" i="36"/>
  <c r="H29" i="36"/>
  <c r="U29" i="36"/>
  <c r="D81" i="36"/>
  <c r="E81" i="36"/>
  <c r="F81" i="36"/>
  <c r="G81" i="36"/>
  <c r="H81" i="36"/>
  <c r="I81" i="36"/>
  <c r="J81" i="36"/>
  <c r="K81" i="36"/>
  <c r="L81" i="36"/>
  <c r="M81" i="36"/>
  <c r="G79" i="36"/>
  <c r="F79" i="36"/>
  <c r="E79" i="36"/>
  <c r="D79" i="36"/>
  <c r="C79" i="36"/>
  <c r="B93" i="36"/>
  <c r="H33" i="36"/>
  <c r="B91" i="36"/>
  <c r="B95" i="36"/>
  <c r="D83" i="36"/>
  <c r="E83" i="36"/>
  <c r="F83" i="36"/>
  <c r="G83" i="36"/>
  <c r="H83" i="36"/>
  <c r="I83" i="36"/>
  <c r="J83" i="36"/>
  <c r="K83" i="36"/>
  <c r="L83" i="36"/>
  <c r="M83" i="36"/>
  <c r="D78" i="36"/>
  <c r="E78" i="36"/>
  <c r="F78" i="36"/>
  <c r="G78" i="36"/>
  <c r="H78" i="36"/>
  <c r="I78" i="36"/>
  <c r="J78" i="36"/>
  <c r="K78" i="36"/>
  <c r="L78" i="36"/>
  <c r="M78" i="36"/>
  <c r="B75" i="36"/>
  <c r="B73" i="36"/>
  <c r="F24" i="36"/>
  <c r="B71" i="36"/>
  <c r="D70" i="36"/>
  <c r="H22" i="36"/>
  <c r="AB22" i="36"/>
  <c r="D68" i="36"/>
  <c r="E68" i="36"/>
  <c r="F68" i="36"/>
  <c r="G68" i="36"/>
  <c r="D64" i="36"/>
  <c r="E64" i="36"/>
  <c r="F64" i="36"/>
  <c r="G64" i="36"/>
  <c r="J16" i="36"/>
  <c r="W16" i="36"/>
  <c r="D62" i="36"/>
  <c r="E62" i="36"/>
  <c r="F62" i="36"/>
  <c r="G62" i="36"/>
  <c r="H14" i="36"/>
  <c r="AB14" i="36"/>
  <c r="B59" i="36"/>
  <c r="B57" i="36"/>
  <c r="B55" i="36"/>
  <c r="J11"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AC36" i="35"/>
  <c r="B99" i="35"/>
  <c r="B97" i="35"/>
  <c r="J34" i="35"/>
  <c r="AC34" i="35"/>
  <c r="B77" i="35"/>
  <c r="B75" i="35"/>
  <c r="B73" i="35"/>
  <c r="H23" i="35"/>
  <c r="U23" i="35"/>
  <c r="B57" i="35"/>
  <c r="B61" i="35"/>
  <c r="B59" i="35"/>
  <c r="J12" i="35"/>
  <c r="W12" i="35"/>
  <c r="B130" i="33"/>
  <c r="J46" i="33"/>
  <c r="W46" i="33"/>
  <c r="B128" i="33"/>
  <c r="B126" i="33"/>
  <c r="B98" i="33"/>
  <c r="B96" i="33"/>
  <c r="B94" i="33"/>
  <c r="B74" i="33"/>
  <c r="J14" i="33"/>
  <c r="AC14" i="33"/>
  <c r="B72" i="33"/>
  <c r="J13" i="33"/>
  <c r="AC13" i="33"/>
  <c r="B70" i="33"/>
  <c r="J12" i="33"/>
  <c r="W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U32" i="35"/>
  <c r="AB32" i="35"/>
  <c r="F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F12" i="35"/>
  <c r="S12" i="35"/>
  <c r="Q11" i="35"/>
  <c r="Z11" i="35"/>
  <c r="Q10" i="35"/>
  <c r="Z10" i="35"/>
  <c r="Q9" i="35"/>
  <c r="Z9" i="35"/>
  <c r="F9" i="35"/>
  <c r="J8" i="35"/>
  <c r="AC8" i="35"/>
  <c r="H8" i="35"/>
  <c r="AB8" i="35"/>
  <c r="F8" i="35"/>
  <c r="AA8" i="35"/>
  <c r="C7" i="35"/>
  <c r="C48" i="35"/>
  <c r="D121" i="33"/>
  <c r="E121" i="33"/>
  <c r="F121" i="33"/>
  <c r="G121" i="33"/>
  <c r="H121" i="33"/>
  <c r="I121" i="33"/>
  <c r="J121" i="33"/>
  <c r="K121" i="33"/>
  <c r="L121" i="33"/>
  <c r="M121" i="33"/>
  <c r="G109" i="33"/>
  <c r="F109" i="33"/>
  <c r="E109" i="33"/>
  <c r="D109" i="33"/>
  <c r="C109" i="33"/>
  <c r="D91" i="33"/>
  <c r="B88" i="33"/>
  <c r="J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J28"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H12" i="33"/>
  <c r="F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W46" i="21"/>
  <c r="B128" i="21"/>
  <c r="B126" i="21"/>
  <c r="B98" i="21"/>
  <c r="B96" i="21"/>
  <c r="B94" i="21"/>
  <c r="J29" i="21"/>
  <c r="B92" i="21"/>
  <c r="B90" i="21"/>
  <c r="B74" i="21"/>
  <c r="F14" i="21"/>
  <c r="S1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J10" i="21"/>
  <c r="AC10" i="21"/>
  <c r="H26" i="21"/>
  <c r="AB26" i="21"/>
  <c r="F19" i="21"/>
  <c r="AA19" i="21"/>
  <c r="H19" i="21"/>
  <c r="AB19" i="21"/>
  <c r="J19" i="21"/>
  <c r="W19" i="21"/>
  <c r="J12" i="21"/>
  <c r="H12" i="21"/>
  <c r="AB12" i="21"/>
  <c r="J26" i="21"/>
  <c r="W26" i="21"/>
  <c r="F26" i="21"/>
  <c r="S26" i="21"/>
  <c r="AB41" i="21"/>
  <c r="U41" i="21"/>
  <c r="S41" i="21"/>
  <c r="AA41" i="21"/>
  <c r="W41" i="21"/>
  <c r="F45" i="39"/>
  <c r="J45" i="39"/>
  <c r="W45" i="39"/>
  <c r="F36" i="39"/>
  <c r="U38" i="39"/>
  <c r="H32" i="37"/>
  <c r="AB32" i="37"/>
  <c r="U8" i="37"/>
  <c r="U14" i="37"/>
  <c r="W30" i="37"/>
  <c r="F29" i="36"/>
  <c r="AA29" i="36"/>
  <c r="F16" i="36"/>
  <c r="S16" i="36"/>
  <c r="U22" i="36"/>
  <c r="AA31" i="36"/>
  <c r="AC31" i="36"/>
  <c r="W31" i="36"/>
  <c r="J33" i="36"/>
  <c r="W33" i="36"/>
  <c r="H22" i="35"/>
  <c r="AB22" i="35"/>
  <c r="U31" i="35"/>
  <c r="W31" i="35"/>
  <c r="H39" i="33"/>
  <c r="AB39" i="33"/>
  <c r="F26" i="33"/>
  <c r="AA26" i="33"/>
  <c r="S40" i="33"/>
  <c r="W8" i="21"/>
  <c r="AC38" i="21"/>
  <c r="S27" i="35"/>
  <c r="F11" i="40"/>
  <c r="AA11" i="40"/>
  <c r="S8" i="40"/>
  <c r="H11" i="40"/>
  <c r="U9" i="40"/>
  <c r="S34" i="40"/>
  <c r="U34" i="40"/>
  <c r="F42" i="39"/>
  <c r="AA42" i="39"/>
  <c r="F41" i="39"/>
  <c r="AA41" i="39"/>
  <c r="H40" i="39"/>
  <c r="AB40" i="39"/>
  <c r="H39" i="39"/>
  <c r="U39" i="39"/>
  <c r="S38" i="39"/>
  <c r="H34" i="39"/>
  <c r="AB34" i="39"/>
  <c r="E109" i="39"/>
  <c r="F109" i="39"/>
  <c r="H31" i="39"/>
  <c r="E103" i="39"/>
  <c r="H19" i="39"/>
  <c r="AB19" i="39"/>
  <c r="F19" i="39"/>
  <c r="S19" i="39"/>
  <c r="H17" i="39"/>
  <c r="AB17" i="39"/>
  <c r="U17" i="39"/>
  <c r="F17" i="39"/>
  <c r="AA17" i="39"/>
  <c r="J23" i="40"/>
  <c r="AC23" i="40"/>
  <c r="H42" i="39"/>
  <c r="AB42" i="39"/>
  <c r="J34" i="39"/>
  <c r="AC34" i="39"/>
  <c r="G109" i="39"/>
  <c r="H109" i="39"/>
  <c r="I109" i="39"/>
  <c r="J109" i="39"/>
  <c r="K109" i="39"/>
  <c r="L109" i="39"/>
  <c r="M109" i="39"/>
  <c r="F103" i="39"/>
  <c r="H29" i="39"/>
  <c r="U29" i="39"/>
  <c r="J19" i="39"/>
  <c r="AC19" i="39"/>
  <c r="J17" i="39"/>
  <c r="W17" i="39"/>
  <c r="J29" i="39"/>
  <c r="AC29" i="39"/>
  <c r="F29" i="39"/>
  <c r="AA29" i="39"/>
  <c r="F11" i="21"/>
  <c r="S11" i="21"/>
  <c r="C25" i="39"/>
  <c r="C21" i="39"/>
  <c r="H11" i="39"/>
  <c r="AB11" i="39"/>
  <c r="AB39" i="39"/>
  <c r="H11" i="21"/>
  <c r="J11" i="21"/>
  <c r="AC11" i="21"/>
  <c r="U33" i="21"/>
  <c r="H36" i="40"/>
  <c r="U36" i="40"/>
  <c r="F35" i="40"/>
  <c r="S35" i="40"/>
  <c r="J30" i="40"/>
  <c r="W30" i="40"/>
  <c r="F30" i="40"/>
  <c r="AA30" i="40"/>
  <c r="K96" i="40"/>
  <c r="L96" i="40"/>
  <c r="M96" i="40"/>
  <c r="H27" i="40"/>
  <c r="U27" i="40"/>
  <c r="H23" i="40"/>
  <c r="AB23" i="40"/>
  <c r="J11" i="40"/>
  <c r="W11" i="40"/>
  <c r="F37" i="39"/>
  <c r="S37" i="39"/>
  <c r="AC9" i="21"/>
  <c r="F22" i="35"/>
  <c r="AA22" i="35"/>
  <c r="H10" i="35"/>
  <c r="U10" i="35"/>
  <c r="AB29" i="36"/>
  <c r="F33" i="36"/>
  <c r="S33" i="36"/>
  <c r="J29" i="36"/>
  <c r="AC29" i="36"/>
  <c r="F12" i="36"/>
  <c r="AA12" i="36"/>
  <c r="H20" i="36"/>
  <c r="J20" i="36"/>
  <c r="AC20" i="36"/>
  <c r="AB8" i="36"/>
  <c r="F14" i="35"/>
  <c r="F23" i="35"/>
  <c r="AA23" i="35"/>
  <c r="J32" i="35"/>
  <c r="AC32" i="35"/>
  <c r="J16" i="35"/>
  <c r="W16" i="35"/>
  <c r="H14" i="35"/>
  <c r="U14" i="35"/>
  <c r="AB14" i="35"/>
  <c r="H33" i="35"/>
  <c r="AB33" i="35"/>
  <c r="S8" i="35"/>
  <c r="W8" i="35"/>
  <c r="J20" i="35"/>
  <c r="H20" i="35"/>
  <c r="U20" i="35"/>
  <c r="F20" i="35"/>
  <c r="AA20" i="35"/>
  <c r="E101" i="37"/>
  <c r="F101" i="37"/>
  <c r="G101" i="37"/>
  <c r="H101" i="37"/>
  <c r="I101" i="37"/>
  <c r="J101" i="37"/>
  <c r="K101" i="37"/>
  <c r="L101" i="37"/>
  <c r="M101" i="37"/>
  <c r="J34" i="37"/>
  <c r="W34" i="37"/>
  <c r="F41" i="33"/>
  <c r="S41" i="33"/>
  <c r="E113" i="33"/>
  <c r="F113" i="33"/>
  <c r="G113" i="33"/>
  <c r="J34" i="33"/>
  <c r="AC34" i="33"/>
  <c r="F36" i="33"/>
  <c r="S36" i="33"/>
  <c r="F25" i="33"/>
  <c r="AA25" i="33"/>
  <c r="J25" i="33"/>
  <c r="AC25" i="33"/>
  <c r="H25" i="33"/>
  <c r="AB25" i="33"/>
  <c r="J23" i="33"/>
  <c r="AC23" i="33"/>
  <c r="F23" i="33"/>
  <c r="H23" i="33"/>
  <c r="F19" i="33"/>
  <c r="S19" i="33"/>
  <c r="J19" i="33"/>
  <c r="J17" i="33"/>
  <c r="AC17" i="33"/>
  <c r="H17" i="33"/>
  <c r="AB17" i="33"/>
  <c r="J15" i="33"/>
  <c r="AC15" i="33"/>
  <c r="F11" i="33"/>
  <c r="W10" i="33"/>
  <c r="H10" i="33"/>
  <c r="U40" i="33"/>
  <c r="U8" i="33"/>
  <c r="S8" i="33"/>
  <c r="F37" i="40"/>
  <c r="AA37" i="40"/>
  <c r="F36" i="40"/>
  <c r="AA36" i="40"/>
  <c r="J27" i="40"/>
  <c r="AC27" i="40"/>
  <c r="F23" i="40"/>
  <c r="AA23" i="40"/>
  <c r="AC11" i="40"/>
  <c r="W32" i="35"/>
  <c r="F29" i="35"/>
  <c r="S29" i="35"/>
  <c r="U34" i="37"/>
  <c r="H113" i="33"/>
  <c r="I113" i="33"/>
  <c r="J113" i="33"/>
  <c r="K113" i="33"/>
  <c r="L113" i="33"/>
  <c r="M113" i="33"/>
  <c r="H37" i="33"/>
  <c r="AB37" i="33"/>
  <c r="AA37" i="33"/>
  <c r="H36" i="33"/>
  <c r="U36" i="33"/>
  <c r="F17" i="33"/>
  <c r="AA17" i="33"/>
  <c r="H15" i="33"/>
  <c r="AB15" i="33"/>
  <c r="AB11" i="33"/>
  <c r="J37" i="33"/>
  <c r="AC37" i="33"/>
  <c r="J36" i="33"/>
  <c r="W36" i="33"/>
  <c r="J11" i="33"/>
  <c r="J42" i="21"/>
  <c r="AC42" i="21"/>
  <c r="H42" i="21"/>
  <c r="U42" i="21"/>
  <c r="AB42" i="21"/>
  <c r="J10" i="35"/>
  <c r="AC10" i="35"/>
  <c r="J14" i="21"/>
  <c r="H14" i="21"/>
  <c r="AB14" i="21"/>
  <c r="H28" i="21"/>
  <c r="AB28" i="21"/>
  <c r="F28" i="21"/>
  <c r="J28" i="21"/>
  <c r="W28" i="21"/>
  <c r="H30" i="21"/>
  <c r="AB30" i="21"/>
  <c r="J44" i="21"/>
  <c r="AC44" i="21"/>
  <c r="H44" i="21"/>
  <c r="AB44" i="21"/>
  <c r="F44" i="21"/>
  <c r="AA44" i="21"/>
  <c r="H46" i="21"/>
  <c r="F46" i="21"/>
  <c r="AA46" i="21"/>
  <c r="E119" i="21"/>
  <c r="F119" i="21"/>
  <c r="G119" i="21"/>
  <c r="H119" i="21"/>
  <c r="I119" i="21"/>
  <c r="J119" i="21"/>
  <c r="K119" i="21"/>
  <c r="L119" i="21"/>
  <c r="M119" i="21"/>
  <c r="H26" i="33"/>
  <c r="U26" i="33"/>
  <c r="H28" i="33"/>
  <c r="U28" i="33"/>
  <c r="F28" i="33"/>
  <c r="S28" i="33"/>
  <c r="F33" i="35"/>
  <c r="S33" i="35"/>
  <c r="J33" i="35"/>
  <c r="AC33" i="35"/>
  <c r="F30" i="35"/>
  <c r="S30" i="35"/>
  <c r="E89" i="35"/>
  <c r="F89" i="35"/>
  <c r="G89" i="35"/>
  <c r="H89" i="35"/>
  <c r="I89" i="35"/>
  <c r="J89" i="35"/>
  <c r="K89" i="35"/>
  <c r="L89" i="35"/>
  <c r="M89" i="35"/>
  <c r="H10" i="36"/>
  <c r="AB10" i="36"/>
  <c r="F28" i="36"/>
  <c r="F13" i="33"/>
  <c r="S13" i="33"/>
  <c r="J29" i="33"/>
  <c r="H29" i="33"/>
  <c r="U29" i="33"/>
  <c r="F29" i="33"/>
  <c r="S29" i="33"/>
  <c r="J31" i="33"/>
  <c r="W31" i="33"/>
  <c r="H31" i="33"/>
  <c r="AB31" i="33"/>
  <c r="F31" i="33"/>
  <c r="AA31" i="33"/>
  <c r="H45" i="33"/>
  <c r="U45" i="33"/>
  <c r="J45" i="33"/>
  <c r="W45" i="33"/>
  <c r="F45" i="33"/>
  <c r="S45" i="33"/>
  <c r="H11" i="35"/>
  <c r="U11" i="35"/>
  <c r="J11" i="35"/>
  <c r="AC11" i="35"/>
  <c r="F11" i="35"/>
  <c r="S11" i="35"/>
  <c r="J26" i="36"/>
  <c r="H28" i="36"/>
  <c r="U28" i="36"/>
  <c r="H32" i="36"/>
  <c r="AB32" i="36"/>
  <c r="H11" i="36"/>
  <c r="AB11" i="36"/>
  <c r="F11" i="36"/>
  <c r="AA11" i="36"/>
  <c r="H13" i="36"/>
  <c r="AB13" i="36"/>
  <c r="J13" i="36"/>
  <c r="W13" i="36"/>
  <c r="F13" i="36"/>
  <c r="S13" i="36"/>
  <c r="H36" i="37"/>
  <c r="AB36" i="37"/>
  <c r="H37" i="37"/>
  <c r="U37" i="37"/>
  <c r="AC12" i="40"/>
  <c r="W12" i="40"/>
  <c r="H14" i="33"/>
  <c r="F14" i="33"/>
  <c r="AA14" i="33"/>
  <c r="H30" i="33"/>
  <c r="AB30" i="33"/>
  <c r="F30" i="33"/>
  <c r="S30" i="33"/>
  <c r="J30" i="33"/>
  <c r="H44" i="33"/>
  <c r="AB44" i="33"/>
  <c r="J44" i="33"/>
  <c r="AC44" i="33"/>
  <c r="F44" i="33"/>
  <c r="F46" i="33"/>
  <c r="AA46" i="33"/>
  <c r="H46" i="33"/>
  <c r="F13" i="35"/>
  <c r="J13" i="35"/>
  <c r="AC13" i="35"/>
  <c r="H13" i="35"/>
  <c r="U13" i="35"/>
  <c r="H25" i="35"/>
  <c r="AB25" i="35"/>
  <c r="J35" i="35"/>
  <c r="AC35" i="35"/>
  <c r="F35" i="35"/>
  <c r="AA35" i="35"/>
  <c r="H35" i="35"/>
  <c r="AB35" i="35"/>
  <c r="J25" i="36"/>
  <c r="AC25" i="36"/>
  <c r="F25" i="36"/>
  <c r="S25" i="36"/>
  <c r="H25" i="36"/>
  <c r="AB25" i="36"/>
  <c r="H13" i="37"/>
  <c r="F13" i="37"/>
  <c r="AA13" i="37"/>
  <c r="S13" i="37"/>
  <c r="J13" i="37"/>
  <c r="W13" i="37"/>
  <c r="F28" i="37"/>
  <c r="H28" i="37"/>
  <c r="U28" i="37"/>
  <c r="H38" i="37"/>
  <c r="AB38" i="37"/>
  <c r="J38" i="37"/>
  <c r="AC38" i="37"/>
  <c r="F38" i="37"/>
  <c r="S38" i="37"/>
  <c r="F43" i="39"/>
  <c r="AA43" i="39"/>
  <c r="H43" i="39"/>
  <c r="U43" i="39"/>
  <c r="J14" i="39"/>
  <c r="W14" i="39"/>
  <c r="H14" i="39"/>
  <c r="F12" i="40"/>
  <c r="AA12" i="40"/>
  <c r="H12" i="40"/>
  <c r="AB12" i="40"/>
  <c r="H30" i="40"/>
  <c r="AB30" i="40"/>
  <c r="F33" i="40"/>
  <c r="AA33" i="40"/>
  <c r="H33" i="40"/>
  <c r="AB33" i="40"/>
  <c r="J35" i="40"/>
  <c r="H13" i="40"/>
  <c r="U13" i="40"/>
  <c r="J13" i="40"/>
  <c r="W13" i="40"/>
  <c r="F13" i="40"/>
  <c r="AA13" i="40"/>
  <c r="F14" i="37"/>
  <c r="S14" i="37"/>
  <c r="F13" i="39"/>
  <c r="AA13" i="39"/>
  <c r="J13" i="39"/>
  <c r="W13" i="39"/>
  <c r="H13" i="39"/>
  <c r="U13" i="39"/>
  <c r="H14" i="40"/>
  <c r="J14" i="40"/>
  <c r="W14" i="40"/>
  <c r="F14" i="40"/>
  <c r="AA14" i="40"/>
  <c r="J14" i="37"/>
  <c r="AC14" i="37"/>
  <c r="W13" i="35"/>
  <c r="AB37" i="37"/>
  <c r="J10" i="36"/>
  <c r="W10" i="36"/>
  <c r="AC10" i="36"/>
  <c r="U14" i="21"/>
  <c r="AB45" i="33"/>
  <c r="U31" i="33"/>
  <c r="S19" i="21"/>
  <c r="J41" i="39"/>
  <c r="W41" i="39"/>
  <c r="O30" i="31"/>
  <c r="O31" i="31"/>
  <c r="O29" i="31"/>
  <c r="M30" i="31"/>
  <c r="M31" i="31"/>
  <c r="M29" i="31"/>
  <c r="I29" i="31"/>
  <c r="I28" i="31"/>
  <c r="W43" i="21"/>
  <c r="Q29" i="31"/>
  <c r="K29" i="31"/>
  <c r="Q30" i="31"/>
  <c r="K30" i="31"/>
  <c r="I31" i="31"/>
  <c r="Q31" i="31"/>
  <c r="K31" i="31"/>
  <c r="H25" i="21"/>
  <c r="U25" i="21"/>
  <c r="F25" i="21"/>
  <c r="S25" i="21"/>
  <c r="J25" i="21"/>
  <c r="AC25" i="21"/>
  <c r="H17" i="37"/>
  <c r="U17" i="37"/>
  <c r="F73" i="37"/>
  <c r="G73" i="37"/>
  <c r="F23" i="37"/>
  <c r="S23" i="37"/>
  <c r="F32" i="37"/>
  <c r="F39" i="33"/>
  <c r="AA39" i="33"/>
  <c r="F42" i="33"/>
  <c r="F14" i="36"/>
  <c r="AA14" i="36"/>
  <c r="F22" i="36"/>
  <c r="AA22" i="36"/>
  <c r="F26" i="36"/>
  <c r="AA26" i="36"/>
  <c r="F10" i="35"/>
  <c r="AA10" i="35"/>
  <c r="H23" i="37"/>
  <c r="AB23" i="37"/>
  <c r="J32" i="37"/>
  <c r="AC32" i="37"/>
  <c r="F36" i="37"/>
  <c r="F37" i="37"/>
  <c r="AA37" i="37"/>
  <c r="H31" i="40"/>
  <c r="U31" i="40"/>
  <c r="F32" i="40"/>
  <c r="H32" i="40"/>
  <c r="AB32" i="40"/>
  <c r="U32" i="40"/>
  <c r="J36" i="40"/>
  <c r="W36" i="40"/>
  <c r="H42" i="33"/>
  <c r="U42" i="33"/>
  <c r="J23" i="37"/>
  <c r="AB20" i="35"/>
  <c r="AC12" i="35"/>
  <c r="AC8" i="37"/>
  <c r="W14" i="33"/>
  <c r="AA13" i="33"/>
  <c r="AC31" i="33"/>
  <c r="AA30" i="33"/>
  <c r="AC33" i="21"/>
  <c r="AB38" i="21"/>
  <c r="AA23" i="37"/>
  <c r="W38" i="37"/>
  <c r="H37" i="21"/>
  <c r="J37" i="21"/>
  <c r="W37" i="21"/>
  <c r="F36" i="35"/>
  <c r="AA36" i="35"/>
  <c r="H9" i="37"/>
  <c r="AB9" i="37"/>
  <c r="F11" i="37"/>
  <c r="S11" i="37"/>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c r="B2" i="47"/>
  <c r="H19" i="40"/>
  <c r="AB19" i="40"/>
  <c r="F19" i="40"/>
  <c r="S19" i="40"/>
  <c r="S13" i="40"/>
  <c r="S17" i="39"/>
  <c r="AC43" i="39"/>
  <c r="W43" i="39"/>
  <c r="U45" i="39"/>
  <c r="AB45" i="39"/>
  <c r="G103" i="39"/>
  <c r="AC13" i="39"/>
  <c r="H37" i="39"/>
  <c r="U37" i="39"/>
  <c r="AC37" i="39"/>
  <c r="H25" i="39"/>
  <c r="AB25" i="39"/>
  <c r="J25" i="39"/>
  <c r="W25" i="39"/>
  <c r="F25" i="39"/>
  <c r="S25" i="39"/>
  <c r="F15" i="39"/>
  <c r="H15" i="39"/>
  <c r="U15" i="39"/>
  <c r="J15" i="39"/>
  <c r="W15" i="39"/>
  <c r="H41" i="39"/>
  <c r="AB41" i="39"/>
  <c r="F11" i="39"/>
  <c r="AA11" i="39"/>
  <c r="H21" i="39"/>
  <c r="U21" i="39"/>
  <c r="F32" i="39"/>
  <c r="S32" i="39"/>
  <c r="W29" i="39"/>
  <c r="W19" i="39"/>
  <c r="S42" i="39"/>
  <c r="S41" i="39"/>
  <c r="W39" i="39"/>
  <c r="W8" i="39"/>
  <c r="W21" i="39"/>
  <c r="J11" i="39"/>
  <c r="W11" i="39"/>
  <c r="J32" i="39"/>
  <c r="AC32" i="39"/>
  <c r="E66" i="39"/>
  <c r="E61" i="40"/>
  <c r="F34" i="43"/>
  <c r="H55" i="39"/>
  <c r="S30" i="40"/>
  <c r="G60" i="40"/>
  <c r="C60" i="40"/>
  <c r="H16" i="44"/>
  <c r="D17" i="43"/>
  <c r="I17" i="43"/>
  <c r="D108" i="9"/>
  <c r="F22" i="43"/>
  <c r="B56" i="60"/>
  <c r="G22" i="43"/>
  <c r="E22" i="43"/>
  <c r="H14" i="44"/>
  <c r="B57" i="60"/>
  <c r="W40" i="39"/>
  <c r="J26" i="35"/>
  <c r="W26" i="35"/>
  <c r="F26" i="35"/>
  <c r="AA26" i="35"/>
  <c r="H26" i="35"/>
  <c r="U26" i="35"/>
  <c r="U28" i="21"/>
  <c r="K145" i="21"/>
  <c r="K144" i="21"/>
  <c r="K141" i="21"/>
  <c r="K143" i="21"/>
  <c r="B101" i="9"/>
  <c r="C116" i="9"/>
  <c r="H114" i="9"/>
  <c r="F23" i="21"/>
  <c r="AA23" i="21"/>
  <c r="J23" i="21"/>
  <c r="AC23" i="21"/>
  <c r="H23" i="21"/>
  <c r="U23" i="21"/>
  <c r="F17" i="21"/>
  <c r="AA17" i="21"/>
  <c r="J17" i="21"/>
  <c r="AC17" i="21"/>
  <c r="H17" i="21"/>
  <c r="AB17" i="21"/>
  <c r="J15" i="21"/>
  <c r="U35" i="21"/>
  <c r="H102" i="57"/>
  <c r="A131" i="9"/>
  <c r="A134" i="57"/>
  <c r="B102" i="57"/>
  <c r="C109" i="57"/>
  <c r="H103" i="57"/>
  <c r="C111" i="57"/>
  <c r="C113" i="57"/>
  <c r="H108" i="57"/>
  <c r="D127" i="57"/>
  <c r="S23" i="21"/>
  <c r="B113" i="43"/>
  <c r="M101" i="43"/>
  <c r="M103" i="43"/>
  <c r="K101" i="43"/>
  <c r="K105" i="43"/>
  <c r="I101" i="43"/>
  <c r="I103" i="43"/>
  <c r="G101" i="43"/>
  <c r="G107" i="43"/>
  <c r="E101" i="43"/>
  <c r="E109" i="43"/>
  <c r="C101" i="43"/>
  <c r="N101" i="43"/>
  <c r="N102" i="43"/>
  <c r="N107" i="43"/>
  <c r="L101" i="43"/>
  <c r="L103" i="43"/>
  <c r="J101" i="43"/>
  <c r="J103" i="43"/>
  <c r="H101" i="43"/>
  <c r="F101" i="43"/>
  <c r="F102" i="43"/>
  <c r="D101" i="43"/>
  <c r="D103" i="43"/>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c r="J45" i="21"/>
  <c r="AC45" i="21"/>
  <c r="F45" i="21"/>
  <c r="S45" i="21"/>
  <c r="S42" i="21"/>
  <c r="B41" i="47"/>
  <c r="C23" i="40"/>
  <c r="AA9" i="36"/>
  <c r="S9" i="36"/>
  <c r="J12" i="36"/>
  <c r="W12" i="36"/>
  <c r="H12" i="36"/>
  <c r="AA9" i="39"/>
  <c r="S9" i="39"/>
  <c r="J12" i="39"/>
  <c r="W12" i="39"/>
  <c r="F12" i="39"/>
  <c r="AA12" i="39"/>
  <c r="B103" i="9"/>
  <c r="F15" i="21"/>
  <c r="S15" i="21"/>
  <c r="C106" i="9"/>
  <c r="H102" i="9"/>
  <c r="J19" i="40"/>
  <c r="W19" i="40"/>
  <c r="AC19" i="40"/>
  <c r="W9" i="39"/>
  <c r="H32" i="39"/>
  <c r="U32" i="39"/>
  <c r="F21" i="39"/>
  <c r="AA21" i="39"/>
  <c r="F31" i="37"/>
  <c r="AA31" i="37"/>
  <c r="U25" i="36"/>
  <c r="S44" i="21"/>
  <c r="AC36" i="40"/>
  <c r="F17" i="37"/>
  <c r="AA17" i="37"/>
  <c r="AA29" i="33"/>
  <c r="AB28" i="36"/>
  <c r="AB13" i="40"/>
  <c r="U33" i="40"/>
  <c r="S12" i="40"/>
  <c r="U44" i="33"/>
  <c r="U11" i="36"/>
  <c r="AB11" i="35"/>
  <c r="H45" i="21"/>
  <c r="AB45" i="21"/>
  <c r="J14" i="36"/>
  <c r="AC14" i="36"/>
  <c r="S37" i="40"/>
  <c r="H19" i="33"/>
  <c r="U19" i="33"/>
  <c r="AB19" i="33"/>
  <c r="AB23" i="33"/>
  <c r="U23" i="33"/>
  <c r="W23" i="33"/>
  <c r="AA41" i="33"/>
  <c r="AC30" i="40"/>
  <c r="W22" i="35"/>
  <c r="S30" i="36"/>
  <c r="S38" i="21"/>
  <c r="AA38" i="21"/>
  <c r="E106" i="21"/>
  <c r="F106" i="21"/>
  <c r="G106" i="21"/>
  <c r="H106" i="21"/>
  <c r="I106" i="21"/>
  <c r="J106" i="21"/>
  <c r="K106" i="21"/>
  <c r="L106" i="21"/>
  <c r="M106" i="21"/>
  <c r="F34" i="21"/>
  <c r="S34" i="21"/>
  <c r="H34" i="21"/>
  <c r="U34" i="21"/>
  <c r="J34" i="21"/>
  <c r="AC36" i="21"/>
  <c r="W36" i="21"/>
  <c r="E101" i="33"/>
  <c r="F32" i="33"/>
  <c r="AA32" i="33"/>
  <c r="J27" i="36"/>
  <c r="W27" i="36"/>
  <c r="AC14" i="39"/>
  <c r="S31" i="33"/>
  <c r="W34" i="33"/>
  <c r="AA14" i="35"/>
  <c r="S14" i="35"/>
  <c r="W11" i="21"/>
  <c r="S45" i="39"/>
  <c r="AA45" i="39"/>
  <c r="H27" i="21"/>
  <c r="AB27" i="21"/>
  <c r="J27" i="21"/>
  <c r="W27" i="21"/>
  <c r="F27" i="21"/>
  <c r="AA27" i="21"/>
  <c r="F29" i="21"/>
  <c r="AA29" i="21"/>
  <c r="J31" i="21"/>
  <c r="W31" i="21"/>
  <c r="H31" i="21"/>
  <c r="U31" i="21"/>
  <c r="F31" i="21"/>
  <c r="AA31" i="21"/>
  <c r="H39" i="21"/>
  <c r="U39" i="21"/>
  <c r="F117" i="21"/>
  <c r="G117" i="21"/>
  <c r="S9" i="21"/>
  <c r="AA15" i="33"/>
  <c r="S15" i="33"/>
  <c r="AA35" i="33"/>
  <c r="E117" i="33"/>
  <c r="F117" i="33"/>
  <c r="G117" i="33"/>
  <c r="J39" i="33"/>
  <c r="E125" i="33"/>
  <c r="F125" i="33"/>
  <c r="G125" i="33"/>
  <c r="H43" i="33"/>
  <c r="AB43" i="33"/>
  <c r="E91" i="33"/>
  <c r="F91" i="33"/>
  <c r="G91" i="33"/>
  <c r="H91" i="33"/>
  <c r="I91" i="33"/>
  <c r="J91" i="33"/>
  <c r="K91" i="33"/>
  <c r="L91" i="33"/>
  <c r="M91" i="33"/>
  <c r="F27" i="33"/>
  <c r="S27" i="33"/>
  <c r="H41" i="33"/>
  <c r="H16" i="35"/>
  <c r="U16" i="35"/>
  <c r="J24" i="35"/>
  <c r="AC24" i="35"/>
  <c r="F24" i="35"/>
  <c r="AA24" i="35"/>
  <c r="H24" i="35"/>
  <c r="U24" i="35"/>
  <c r="H34" i="35"/>
  <c r="U34" i="35"/>
  <c r="F34" i="35"/>
  <c r="S34" i="35"/>
  <c r="G60" i="37"/>
  <c r="F10" i="37"/>
  <c r="F12" i="37"/>
  <c r="S12" i="37"/>
  <c r="H27" i="37"/>
  <c r="U27" i="37"/>
  <c r="F27" i="37"/>
  <c r="J27" i="37"/>
  <c r="AC27" i="37"/>
  <c r="J29" i="37"/>
  <c r="W29" i="37"/>
  <c r="F29" i="37"/>
  <c r="S29" i="37"/>
  <c r="H31" i="37"/>
  <c r="J36" i="37"/>
  <c r="AC36" i="37"/>
  <c r="J40" i="37"/>
  <c r="W40" i="37"/>
  <c r="F40" i="37"/>
  <c r="AA40" i="37"/>
  <c r="J29" i="35"/>
  <c r="AC30" i="36"/>
  <c r="W30" i="36"/>
  <c r="H35" i="39"/>
  <c r="U35" i="39"/>
  <c r="J35" i="39"/>
  <c r="AC35" i="39"/>
  <c r="AA19" i="39"/>
  <c r="H16" i="36"/>
  <c r="U16" i="36"/>
  <c r="E101" i="21"/>
  <c r="F101" i="21"/>
  <c r="G101" i="21"/>
  <c r="H101" i="21"/>
  <c r="I101" i="21"/>
  <c r="J101" i="21"/>
  <c r="K101" i="21"/>
  <c r="L101" i="21"/>
  <c r="M101" i="21"/>
  <c r="F32" i="21"/>
  <c r="S32" i="21"/>
  <c r="J32" i="21"/>
  <c r="W32" i="21"/>
  <c r="H32" i="21"/>
  <c r="U32" i="21"/>
  <c r="F40" i="21"/>
  <c r="S40" i="21"/>
  <c r="H40" i="21"/>
  <c r="AB40" i="21"/>
  <c r="J40" i="21"/>
  <c r="AC40" i="21"/>
  <c r="B44" i="47"/>
  <c r="C21" i="40"/>
  <c r="AC33" i="33"/>
  <c r="W33" i="33"/>
  <c r="S34" i="33"/>
  <c r="AA38" i="33"/>
  <c r="S38" i="33"/>
  <c r="AC38" i="33"/>
  <c r="W38" i="33"/>
  <c r="J9" i="33"/>
  <c r="AC9" i="33"/>
  <c r="F9" i="33"/>
  <c r="AA9" i="33"/>
  <c r="W9" i="36"/>
  <c r="AB26" i="36"/>
  <c r="U26" i="36"/>
  <c r="U9" i="36"/>
  <c r="F20" i="36"/>
  <c r="AA20" i="36"/>
  <c r="J26" i="37"/>
  <c r="W26" i="37"/>
  <c r="H26" i="37"/>
  <c r="AB26" i="37"/>
  <c r="F26" i="37"/>
  <c r="S26" i="37"/>
  <c r="J23" i="39"/>
  <c r="W23" i="39"/>
  <c r="E97" i="39"/>
  <c r="F97" i="39"/>
  <c r="G97" i="39"/>
  <c r="H15" i="37"/>
  <c r="U15" i="37"/>
  <c r="AB15" i="37"/>
  <c r="F15" i="37"/>
  <c r="AA15" i="37"/>
  <c r="J40" i="40"/>
  <c r="W40" i="40"/>
  <c r="H40" i="40"/>
  <c r="F40" i="40"/>
  <c r="AA40" i="40"/>
  <c r="N6" i="43"/>
  <c r="F70" i="43"/>
  <c r="H72" i="43"/>
  <c r="M1" i="43"/>
  <c r="C6" i="43"/>
  <c r="F33" i="9"/>
  <c r="C25" i="57"/>
  <c r="F107" i="43"/>
  <c r="G103" i="43"/>
  <c r="M105" i="43"/>
  <c r="F59" i="43"/>
  <c r="H63" i="43"/>
  <c r="G15" i="47"/>
  <c r="AB35" i="39"/>
  <c r="H27" i="33"/>
  <c r="AB27" i="33"/>
  <c r="F43" i="33"/>
  <c r="S43" i="33"/>
  <c r="J43" i="33"/>
  <c r="AC43" i="33"/>
  <c r="AB31" i="21"/>
  <c r="AC27" i="21"/>
  <c r="H27" i="36"/>
  <c r="AB27" i="36"/>
  <c r="F27" i="36"/>
  <c r="S27" i="36"/>
  <c r="AB34" i="21"/>
  <c r="S17" i="37"/>
  <c r="J11" i="37"/>
  <c r="AC11" i="37"/>
  <c r="F23" i="39"/>
  <c r="AA23" i="39"/>
  <c r="W27" i="37"/>
  <c r="AB27" i="37"/>
  <c r="H60" i="37"/>
  <c r="I60" i="37"/>
  <c r="H10" i="37"/>
  <c r="U10" i="37"/>
  <c r="S24" i="35"/>
  <c r="AA27" i="33"/>
  <c r="F101" i="33"/>
  <c r="G101" i="33"/>
  <c r="H101" i="33"/>
  <c r="I101" i="33"/>
  <c r="J101" i="33"/>
  <c r="K101" i="33"/>
  <c r="L101" i="33"/>
  <c r="M101" i="33"/>
  <c r="J32" i="33"/>
  <c r="W32" i="33"/>
  <c r="H32" i="33"/>
  <c r="AB32" i="33"/>
  <c r="U45" i="21"/>
  <c r="W13" i="21"/>
  <c r="AC13" i="21"/>
  <c r="J10" i="37"/>
  <c r="H23" i="39"/>
  <c r="U23" i="39"/>
  <c r="AB23" i="39"/>
  <c r="J27" i="33"/>
  <c r="AC27" i="33"/>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M29" i="15"/>
  <c r="P51" i="15"/>
  <c r="C2" i="31"/>
  <c r="I23" i="31"/>
  <c r="P60" i="15"/>
  <c r="D78" i="9"/>
  <c r="D94" i="57"/>
  <c r="D79" i="57"/>
  <c r="A16" i="55"/>
  <c r="B46" i="60"/>
  <c r="C14" i="12"/>
  <c r="AB36" i="40"/>
  <c r="W32" i="40"/>
  <c r="AC9" i="40"/>
  <c r="S9" i="40"/>
  <c r="W34" i="40"/>
  <c r="J37" i="40"/>
  <c r="H35" i="40"/>
  <c r="AB35" i="40"/>
  <c r="H37" i="40"/>
  <c r="U37" i="40"/>
  <c r="H28" i="40"/>
  <c r="AB28" i="40"/>
  <c r="F28" i="40"/>
  <c r="J28" i="40"/>
  <c r="F98" i="40"/>
  <c r="G98" i="40"/>
  <c r="H98" i="40"/>
  <c r="I98" i="40"/>
  <c r="J98" i="40"/>
  <c r="K98" i="40"/>
  <c r="L98" i="40"/>
  <c r="M98" i="40"/>
  <c r="F21" i="40"/>
  <c r="S21" i="40"/>
  <c r="H21" i="40"/>
  <c r="F90" i="40"/>
  <c r="G90" i="40"/>
  <c r="J21" i="40"/>
  <c r="W21" i="40"/>
  <c r="F86" i="40"/>
  <c r="G86" i="40"/>
  <c r="H17" i="40"/>
  <c r="U17" i="40"/>
  <c r="J17" i="40"/>
  <c r="W17" i="40"/>
  <c r="F17" i="40"/>
  <c r="S17" i="40"/>
  <c r="F84" i="40"/>
  <c r="G84" i="40"/>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c r="G103" i="37"/>
  <c r="H103" i="37"/>
  <c r="I103" i="37"/>
  <c r="J103" i="37"/>
  <c r="K103" i="37"/>
  <c r="L103" i="37"/>
  <c r="M103" i="37"/>
  <c r="J19" i="37"/>
  <c r="W19" i="37"/>
  <c r="F19" i="37"/>
  <c r="AA19" i="37"/>
  <c r="H19" i="37"/>
  <c r="U19" i="37"/>
  <c r="W17" i="37"/>
  <c r="AC17" i="37"/>
  <c r="AB17" i="37"/>
  <c r="J15" i="37"/>
  <c r="W15" i="37"/>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c r="D34" i="50"/>
  <c r="D13" i="50"/>
  <c r="B27" i="60"/>
  <c r="D111" i="57"/>
  <c r="D35" i="50"/>
  <c r="D14" i="50"/>
  <c r="B28" i="60"/>
  <c r="D22" i="15"/>
  <c r="Y25" i="31"/>
  <c r="C36" i="57"/>
  <c r="F124" i="57"/>
  <c r="D109" i="43"/>
  <c r="M6" i="43"/>
  <c r="M5" i="43"/>
  <c r="F81" i="43"/>
  <c r="H85" i="43"/>
  <c r="H13" i="44"/>
  <c r="G59" i="40"/>
  <c r="C59" i="40"/>
  <c r="H11" i="44"/>
  <c r="A8" i="54"/>
  <c r="B8" i="60"/>
  <c r="F2" i="21"/>
  <c r="F2" i="35"/>
  <c r="F2" i="33"/>
  <c r="C109" i="9"/>
  <c r="H106" i="9"/>
  <c r="C111" i="9"/>
  <c r="H108" i="9"/>
  <c r="H105" i="9"/>
  <c r="C110" i="9"/>
  <c r="H107" i="9"/>
  <c r="D35" i="57"/>
  <c r="C117" i="57"/>
  <c r="H113" i="57"/>
  <c r="C114" i="9"/>
  <c r="H112" i="9"/>
  <c r="C119" i="57"/>
  <c r="H115" i="57"/>
  <c r="A18" i="54"/>
  <c r="B15" i="60"/>
  <c r="D32" i="9"/>
  <c r="F117" i="9"/>
  <c r="A132" i="9"/>
  <c r="D24" i="15"/>
  <c r="M20" i="15"/>
  <c r="D9" i="11"/>
  <c r="C9" i="11"/>
  <c r="C19" i="12"/>
  <c r="G22" i="11"/>
  <c r="G41" i="11"/>
  <c r="H113" i="43"/>
  <c r="X7" i="43"/>
  <c r="E59" i="43"/>
  <c r="B57" i="43"/>
  <c r="E70" i="43"/>
  <c r="B68" i="43"/>
  <c r="H22" i="43"/>
  <c r="AI11" i="43"/>
  <c r="AI13" i="43"/>
  <c r="AG11" i="43"/>
  <c r="AE11" i="43"/>
  <c r="AE13" i="43"/>
  <c r="AC11" i="43"/>
  <c r="AC13" i="43"/>
  <c r="AA11" i="43"/>
  <c r="AA13" i="43"/>
  <c r="Y11" i="43"/>
  <c r="Y13" i="43"/>
  <c r="AJ11" i="43"/>
  <c r="AJ13" i="43"/>
  <c r="AH11" i="43"/>
  <c r="AH13" i="43"/>
  <c r="AF11" i="43"/>
  <c r="AD11" i="43"/>
  <c r="AD13" i="43"/>
  <c r="AB11" i="43"/>
  <c r="Z11" i="43"/>
  <c r="Z13" i="43"/>
  <c r="Z7" i="43"/>
  <c r="E9" i="43"/>
  <c r="E8" i="43"/>
  <c r="C7" i="43"/>
  <c r="E10" i="43"/>
  <c r="E11" i="43"/>
  <c r="C7" i="39"/>
  <c r="C68" i="39"/>
  <c r="C70" i="39"/>
  <c r="C53" i="10"/>
  <c r="D123" i="9"/>
  <c r="D124" i="9"/>
  <c r="D7" i="52"/>
  <c r="M48" i="57"/>
  <c r="H105" i="43"/>
  <c r="D104" i="43"/>
  <c r="G105" i="43"/>
  <c r="G109" i="43"/>
  <c r="M47" i="9"/>
  <c r="N104" i="46"/>
  <c r="J17" i="43"/>
  <c r="C7" i="21"/>
  <c r="C58" i="21"/>
  <c r="C7" i="33"/>
  <c r="C58" i="33"/>
  <c r="C7" i="37"/>
  <c r="C52" i="37"/>
  <c r="D52" i="37"/>
  <c r="E52" i="37"/>
  <c r="F52" i="37"/>
  <c r="G52" i="37"/>
  <c r="H52" i="37"/>
  <c r="I52" i="37"/>
  <c r="J52" i="37"/>
  <c r="K52" i="37"/>
  <c r="L52" i="37"/>
  <c r="M52" i="37"/>
  <c r="N52" i="37"/>
  <c r="O52" i="37"/>
  <c r="H77" i="43"/>
  <c r="I104" i="43"/>
  <c r="I115" i="43"/>
  <c r="J115" i="43"/>
  <c r="K115" i="43"/>
  <c r="L115" i="43"/>
  <c r="M115" i="43"/>
  <c r="H104" i="43"/>
  <c r="H103" i="43"/>
  <c r="D106" i="43"/>
  <c r="D102" i="43"/>
  <c r="G106" i="43"/>
  <c r="G104" i="43"/>
  <c r="G102" i="43"/>
  <c r="H71" i="43"/>
  <c r="D115" i="43"/>
  <c r="E115" i="43"/>
  <c r="F115" i="43"/>
  <c r="G115" i="43"/>
  <c r="H115" i="43"/>
  <c r="B117" i="43"/>
  <c r="C117" i="43"/>
  <c r="M109" i="43"/>
  <c r="N106" i="43"/>
  <c r="F104" i="43"/>
  <c r="G37" i="47"/>
  <c r="G19" i="43"/>
  <c r="F36" i="43"/>
  <c r="C17" i="43"/>
  <c r="F35" i="43"/>
  <c r="F37" i="43"/>
  <c r="F39" i="43"/>
  <c r="K17" i="43"/>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6" i="43"/>
  <c r="C11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62" i="43"/>
  <c r="F105" i="43"/>
  <c r="J107" i="43"/>
  <c r="J102" i="43"/>
  <c r="J104" i="43"/>
  <c r="J106" i="43"/>
  <c r="N103" i="43"/>
  <c r="N105" i="43"/>
  <c r="E102" i="43"/>
  <c r="E104" i="43"/>
  <c r="E106" i="43"/>
  <c r="M107" i="43"/>
  <c r="M102" i="43"/>
  <c r="M104" i="43"/>
  <c r="M106" i="43"/>
  <c r="B115" i="43"/>
  <c r="D116" i="43"/>
  <c r="E116" i="43"/>
  <c r="F116" i="43"/>
  <c r="G116" i="43"/>
  <c r="H116" i="43"/>
  <c r="D118" i="43"/>
  <c r="E118" i="43"/>
  <c r="F118" i="43"/>
  <c r="G118" i="43"/>
  <c r="H118" i="43"/>
  <c r="F35" i="15"/>
  <c r="F64" i="15"/>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c r="F34" i="11"/>
  <c r="E19" i="1"/>
  <c r="D20" i="1"/>
  <c r="D18" i="1"/>
  <c r="F50" i="11"/>
  <c r="F19" i="1"/>
  <c r="F18" i="1"/>
  <c r="C11" i="12"/>
  <c r="C15" i="12"/>
  <c r="D19" i="1"/>
  <c r="K87" i="43"/>
  <c r="J87" i="43"/>
  <c r="D87" i="43"/>
  <c r="K106" i="9"/>
  <c r="A18" i="55"/>
  <c r="B48" i="60"/>
  <c r="O19" i="43"/>
  <c r="J22" i="43"/>
  <c r="M84" i="43"/>
  <c r="N84" i="43"/>
  <c r="K84" i="43"/>
  <c r="J84" i="43"/>
  <c r="D84" i="43"/>
  <c r="M81" i="43"/>
  <c r="N81" i="43"/>
  <c r="K81" i="43"/>
  <c r="J81" i="43"/>
  <c r="D81" i="43"/>
  <c r="M88" i="43"/>
  <c r="N88" i="43"/>
  <c r="K88" i="43"/>
  <c r="J88" i="43"/>
  <c r="D88" i="43"/>
  <c r="B40" i="1"/>
  <c r="M27" i="15"/>
  <c r="C24" i="43"/>
  <c r="C13" i="12"/>
  <c r="C36" i="11"/>
  <c r="D117" i="57"/>
  <c r="D118" i="57"/>
  <c r="I114" i="57"/>
  <c r="D131" i="57"/>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c r="Y9" i="59"/>
  <c r="Z9" i="59"/>
  <c r="AB9" i="59"/>
  <c r="AB7" i="59"/>
  <c r="X9" i="59"/>
  <c r="X7" i="59"/>
  <c r="AA9" i="59"/>
  <c r="AA7" i="59"/>
  <c r="AB8" i="59"/>
  <c r="X8" i="59"/>
  <c r="U9" i="59"/>
  <c r="J30" i="35"/>
  <c r="W30" i="35"/>
  <c r="H30" i="35"/>
  <c r="AB30" i="35"/>
  <c r="AA30" i="35"/>
  <c r="M56" i="9"/>
  <c r="K57" i="57"/>
  <c r="D48" i="35"/>
  <c r="E48" i="35"/>
  <c r="F48" i="35"/>
  <c r="G48" i="35"/>
  <c r="H48" i="35"/>
  <c r="I48" i="35"/>
  <c r="J48" i="35"/>
  <c r="K48" i="35"/>
  <c r="L48" i="35"/>
  <c r="M48" i="35"/>
  <c r="N48" i="35"/>
  <c r="O48" i="35"/>
  <c r="F31" i="15"/>
  <c r="F60" i="15"/>
  <c r="D68" i="39"/>
  <c r="E68" i="39"/>
  <c r="X3" i="59"/>
  <c r="Y3" i="59"/>
  <c r="Z3" i="59"/>
  <c r="P23" i="43"/>
  <c r="P21" i="43"/>
  <c r="B71" i="39"/>
  <c r="P24" i="43"/>
  <c r="B66" i="40"/>
  <c r="P22" i="43"/>
  <c r="H16" i="48"/>
  <c r="D15" i="48"/>
  <c r="H76" i="43"/>
  <c r="H75" i="43"/>
  <c r="H78" i="43"/>
  <c r="H73" i="43"/>
  <c r="D5" i="48"/>
  <c r="H5" i="48"/>
  <c r="F48" i="43"/>
  <c r="H56" i="43"/>
  <c r="G4" i="47"/>
  <c r="S13" i="59"/>
  <c r="B12" i="59"/>
  <c r="B11" i="59"/>
  <c r="B10" i="59"/>
  <c r="B9" i="59"/>
  <c r="B8" i="59"/>
  <c r="B7" i="59"/>
  <c r="B6" i="59"/>
  <c r="B5" i="59"/>
  <c r="S9" i="59"/>
  <c r="AC30" i="35"/>
  <c r="G20" i="43"/>
  <c r="I115" i="57"/>
  <c r="D132" i="57"/>
  <c r="I14" i="62"/>
  <c r="B8" i="62"/>
  <c r="D119" i="57"/>
  <c r="E41" i="43"/>
  <c r="C41" i="43"/>
  <c r="I114" i="9"/>
  <c r="I112" i="9"/>
  <c r="D127" i="9"/>
  <c r="D39" i="50"/>
  <c r="D40" i="50"/>
  <c r="D116" i="9"/>
  <c r="D114" i="9"/>
  <c r="D115" i="9"/>
  <c r="I113" i="9"/>
  <c r="D18" i="50"/>
  <c r="B31" i="60"/>
  <c r="H15" i="48"/>
  <c r="D16" i="48"/>
  <c r="E2" i="33"/>
  <c r="E2" i="11"/>
  <c r="F4" i="61"/>
  <c r="F3" i="61"/>
  <c r="D3" i="61"/>
  <c r="F7" i="61"/>
  <c r="F6" i="61"/>
  <c r="E2" i="37"/>
  <c r="E2" i="35"/>
  <c r="E2" i="36"/>
  <c r="D7" i="61"/>
  <c r="H23" i="31"/>
  <c r="E2" i="21"/>
  <c r="F5" i="61"/>
  <c r="D4" i="61"/>
  <c r="D5" i="61"/>
  <c r="C27" i="15"/>
  <c r="AA24" i="36"/>
  <c r="S24" i="36"/>
  <c r="AB33" i="37"/>
  <c r="U33" i="37"/>
  <c r="S27" i="40"/>
  <c r="AA27" i="40"/>
  <c r="AB38" i="40"/>
  <c r="U38" i="40"/>
  <c r="W29" i="21"/>
  <c r="AC29" i="21"/>
  <c r="AB37" i="39"/>
  <c r="I105" i="43"/>
  <c r="S15" i="37"/>
  <c r="U28" i="40"/>
  <c r="AA25" i="21"/>
  <c r="AC17" i="40"/>
  <c r="H99" i="37"/>
  <c r="I99" i="37"/>
  <c r="J99" i="37"/>
  <c r="K99" i="37"/>
  <c r="L99" i="37"/>
  <c r="M99" i="37"/>
  <c r="AC23" i="39"/>
  <c r="S40" i="40"/>
  <c r="AC27" i="36"/>
  <c r="S29" i="21"/>
  <c r="E103" i="43"/>
  <c r="AA26" i="37"/>
  <c r="H24" i="36"/>
  <c r="U25" i="39"/>
  <c r="AA11" i="35"/>
  <c r="J25" i="35"/>
  <c r="F25" i="35"/>
  <c r="AA30" i="37"/>
  <c r="F31" i="39"/>
  <c r="J31" i="39"/>
  <c r="W31" i="39"/>
  <c r="AA44" i="33"/>
  <c r="S44" i="33"/>
  <c r="I107" i="43"/>
  <c r="U37" i="21"/>
  <c r="AB37" i="21"/>
  <c r="L102" i="43"/>
  <c r="U30" i="35"/>
  <c r="L109" i="43"/>
  <c r="F33" i="37"/>
  <c r="AC26" i="35"/>
  <c r="W45" i="21"/>
  <c r="AB24" i="35"/>
  <c r="J38" i="40"/>
  <c r="J24" i="36"/>
  <c r="W24" i="36"/>
  <c r="AB12" i="37"/>
  <c r="W25" i="21"/>
  <c r="F26" i="47"/>
  <c r="B24" i="47"/>
  <c r="U36" i="39"/>
  <c r="AA28" i="37"/>
  <c r="S28" i="37"/>
  <c r="S26" i="33"/>
  <c r="AB31" i="39"/>
  <c r="U31" i="39"/>
  <c r="J31" i="40"/>
  <c r="F31" i="40"/>
  <c r="U30" i="36"/>
  <c r="AB30" i="36"/>
  <c r="J23" i="36"/>
  <c r="H23" i="36"/>
  <c r="F23" i="36"/>
  <c r="A14" i="52"/>
  <c r="B61" i="60"/>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c r="U23" i="37"/>
  <c r="AB28" i="33"/>
  <c r="F30" i="21"/>
  <c r="J30" i="21"/>
  <c r="J9" i="35"/>
  <c r="H9" i="35"/>
  <c r="J9" i="37"/>
  <c r="F9" i="37"/>
  <c r="D43" i="59"/>
  <c r="C44" i="59"/>
  <c r="AC22" i="36"/>
  <c r="W22" i="36"/>
  <c r="K102" i="43"/>
  <c r="AA12" i="35"/>
  <c r="AC30" i="33"/>
  <c r="W30" i="33"/>
  <c r="W20" i="35"/>
  <c r="AC20" i="35"/>
  <c r="AA12" i="21"/>
  <c r="S12" i="21"/>
  <c r="AA9" i="35"/>
  <c r="S9" i="35"/>
  <c r="F37" i="47"/>
  <c r="B35" i="47"/>
  <c r="U12" i="33"/>
  <c r="AB12" i="33"/>
  <c r="K107" i="43"/>
  <c r="E81" i="43"/>
  <c r="B79" i="43"/>
  <c r="L104" i="43"/>
  <c r="K106" i="43"/>
  <c r="L106" i="43"/>
  <c r="W37" i="33"/>
  <c r="U32" i="37"/>
  <c r="U34" i="39"/>
  <c r="W29" i="33"/>
  <c r="AC29" i="33"/>
  <c r="AA33" i="21"/>
  <c r="S33" i="21"/>
  <c r="C7" i="65"/>
  <c r="C59" i="65"/>
  <c r="C7" i="66"/>
  <c r="C59" i="66"/>
  <c r="AA19" i="59"/>
  <c r="AA21" i="59"/>
  <c r="B44" i="59"/>
  <c r="B45" i="59"/>
  <c r="S45" i="59"/>
  <c r="C18" i="57"/>
  <c r="D18" i="57"/>
  <c r="J108" i="43"/>
  <c r="J109" i="43"/>
  <c r="C17" i="12"/>
  <c r="AB19" i="59"/>
  <c r="AB21" i="59"/>
  <c r="E41" i="59"/>
  <c r="U41" i="59"/>
  <c r="A12" i="52"/>
  <c r="B67" i="60"/>
  <c r="Z10" i="43"/>
  <c r="S25" i="33"/>
  <c r="H36" i="35"/>
  <c r="S18" i="35"/>
  <c r="C76" i="59"/>
  <c r="Y26" i="59"/>
  <c r="Z26" i="59"/>
  <c r="C6" i="50"/>
  <c r="B18" i="60"/>
  <c r="A8" i="52"/>
  <c r="B65" i="60"/>
  <c r="AI10" i="43"/>
  <c r="AG12" i="43"/>
  <c r="AG13" i="43"/>
  <c r="S39" i="40"/>
  <c r="C92" i="9"/>
  <c r="J20" i="15"/>
  <c r="B21" i="50"/>
  <c r="B25" i="59"/>
  <c r="S25" i="59"/>
  <c r="AB22" i="59"/>
  <c r="J36" i="39"/>
  <c r="C24" i="12"/>
  <c r="C29" i="12"/>
  <c r="D28" i="12"/>
  <c r="L100" i="43"/>
  <c r="W18" i="35"/>
  <c r="B48" i="59"/>
  <c r="B49" i="59"/>
  <c r="S49" i="59"/>
  <c r="V25" i="31"/>
  <c r="C35" i="57"/>
  <c r="D124" i="57"/>
  <c r="B86" i="43"/>
  <c r="C71" i="59"/>
  <c r="D71" i="59"/>
  <c r="AB18" i="59"/>
  <c r="E36" i="59"/>
  <c r="E37" i="59"/>
  <c r="U37" i="59"/>
  <c r="B13" i="1"/>
  <c r="L49" i="15"/>
  <c r="L57" i="15"/>
  <c r="J39" i="40"/>
  <c r="S25" i="40"/>
  <c r="E23" i="59"/>
  <c r="E24" i="59"/>
  <c r="E25" i="59"/>
  <c r="U25" i="59"/>
  <c r="E55" i="59"/>
  <c r="P54" i="59"/>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c r="H9" i="31"/>
  <c r="I9" i="31"/>
  <c r="J9" i="31"/>
  <c r="K9" i="31"/>
  <c r="L9" i="31"/>
  <c r="M9" i="31"/>
  <c r="N9" i="31"/>
  <c r="O9" i="31"/>
  <c r="P9" i="31"/>
  <c r="Q9" i="31"/>
  <c r="R9" i="31"/>
  <c r="S9" i="3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37" i="11"/>
  <c r="C37" i="11"/>
  <c r="D19" i="11"/>
  <c r="C19" i="11"/>
  <c r="D3" i="21"/>
  <c r="D3" i="36"/>
  <c r="D3" i="35"/>
  <c r="D3" i="37"/>
  <c r="F7" i="15"/>
  <c r="F51" i="15"/>
  <c r="C50" i="15"/>
  <c r="D10" i="11"/>
  <c r="C10" i="11"/>
  <c r="D8" i="62"/>
  <c r="E18" i="1"/>
  <c r="C14" i="15"/>
  <c r="C15" i="15"/>
  <c r="S110" i="31"/>
  <c r="S62" i="31"/>
  <c r="S118" i="31"/>
  <c r="S150" i="31"/>
  <c r="S190" i="31"/>
  <c r="S38" i="31"/>
  <c r="T54" i="31"/>
  <c r="S462" i="31"/>
  <c r="S30"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c r="C21" i="11"/>
  <c r="C29" i="11"/>
  <c r="D27" i="11"/>
  <c r="C94" i="9"/>
  <c r="B22" i="48"/>
  <c r="D22" i="48"/>
  <c r="F21" i="48"/>
  <c r="H21" i="48"/>
  <c r="B8" i="48"/>
  <c r="D8" i="48"/>
  <c r="U37" i="66"/>
  <c r="AB37" i="66"/>
  <c r="W37" i="66"/>
  <c r="AC37" i="66"/>
  <c r="F10" i="48"/>
  <c r="H10" i="48"/>
  <c r="B4" i="48"/>
  <c r="D4" i="48"/>
  <c r="B13" i="48"/>
  <c r="D13" i="48"/>
  <c r="F22" i="48"/>
  <c r="H22" i="48"/>
  <c r="N60" i="15"/>
  <c r="I55" i="15"/>
  <c r="C63" i="15"/>
  <c r="C20" i="11"/>
  <c r="C28" i="11"/>
  <c r="C27" i="11"/>
  <c r="C95" i="57"/>
  <c r="F32" i="15"/>
  <c r="F61" i="15"/>
  <c r="M18" i="15"/>
  <c r="F28" i="15"/>
  <c r="C28" i="15"/>
  <c r="D69" i="57"/>
  <c r="F49" i="57"/>
  <c r="O53" i="57"/>
  <c r="F53" i="9"/>
  <c r="F54" i="57"/>
  <c r="F55" i="57"/>
  <c r="F31" i="12"/>
  <c r="C31" i="12"/>
  <c r="F53" i="57"/>
  <c r="F52" i="9"/>
  <c r="F54" i="9"/>
  <c r="F48" i="9"/>
  <c r="O52" i="9"/>
  <c r="D68" i="9"/>
  <c r="F30" i="11"/>
  <c r="D42" i="50"/>
  <c r="D43" i="50"/>
  <c r="C20" i="12"/>
  <c r="C18" i="12"/>
  <c r="C23"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U25" i="31"/>
  <c r="F8" i="48"/>
  <c r="H8" i="48"/>
  <c r="F9" i="48"/>
  <c r="H9" i="48"/>
  <c r="F11" i="48"/>
  <c r="H11" i="48"/>
  <c r="F6" i="48"/>
  <c r="H6" i="48"/>
  <c r="B7" i="48"/>
  <c r="D7" i="48"/>
  <c r="F13" i="48"/>
  <c r="H13" i="48"/>
  <c r="B6" i="48"/>
  <c r="D6" i="48"/>
  <c r="B9" i="48"/>
  <c r="D9" i="48"/>
  <c r="B11" i="48"/>
  <c r="D11" i="48"/>
  <c r="F14" i="48"/>
  <c r="H14" i="48"/>
  <c r="B14" i="48"/>
  <c r="D14" i="48"/>
  <c r="F7" i="48"/>
  <c r="H7" i="48"/>
  <c r="F4" i="48"/>
  <c r="H4" i="48"/>
  <c r="C93" i="57"/>
  <c r="C16" i="15"/>
  <c r="L59" i="15"/>
  <c r="Q58" i="15"/>
  <c r="C21" i="50"/>
  <c r="B104" i="57"/>
  <c r="C115" i="57"/>
  <c r="H111" i="57"/>
  <c r="C13" i="50"/>
  <c r="B20" i="60"/>
  <c r="D19" i="50"/>
  <c r="B32" i="60"/>
  <c r="B106" i="57"/>
  <c r="C34" i="11"/>
  <c r="C34" i="15"/>
  <c r="D41" i="50"/>
  <c r="B63" i="60"/>
  <c r="H84" i="43"/>
  <c r="H83" i="43"/>
  <c r="H86" i="43"/>
  <c r="H81" i="43"/>
  <c r="H82" i="43"/>
  <c r="F101" i="9"/>
  <c r="A6" i="54"/>
  <c r="B7" i="60"/>
  <c r="A121" i="9"/>
  <c r="A124" i="57"/>
  <c r="A4" i="54"/>
  <c r="B6" i="60"/>
  <c r="A4" i="52"/>
  <c r="C51" i="10"/>
  <c r="D21" i="50"/>
  <c r="D22" i="50"/>
  <c r="B35" i="60"/>
  <c r="J56" i="9"/>
  <c r="J57" i="9"/>
  <c r="J59" i="9"/>
  <c r="J61" i="9"/>
  <c r="M57" i="57"/>
  <c r="J57" i="57"/>
  <c r="J58" i="57"/>
  <c r="J60" i="57"/>
  <c r="J62" i="57"/>
  <c r="N57" i="57"/>
  <c r="N56" i="9"/>
  <c r="Q71" i="15"/>
  <c r="C65" i="40"/>
  <c r="D63" i="40"/>
  <c r="C8" i="62"/>
  <c r="I20" i="43"/>
  <c r="C20" i="43"/>
  <c r="J58" i="15"/>
  <c r="J56" i="15"/>
  <c r="J59" i="15"/>
  <c r="Q48" i="15"/>
  <c r="B14" i="1"/>
  <c r="E20" i="43"/>
  <c r="I1" i="61"/>
  <c r="B30" i="1"/>
  <c r="K1" i="61"/>
  <c r="F68" i="39"/>
  <c r="E70" i="39"/>
  <c r="H50" i="43"/>
  <c r="D70" i="39"/>
  <c r="H7" i="35"/>
  <c r="J7" i="37"/>
  <c r="AB14" i="39"/>
  <c r="U14" i="39"/>
  <c r="J7" i="35"/>
  <c r="AB40" i="40"/>
  <c r="U40" i="40"/>
  <c r="AC29" i="35"/>
  <c r="W29" i="35"/>
  <c r="D20" i="50"/>
  <c r="D128" i="9"/>
  <c r="D11" i="52"/>
  <c r="D58" i="33"/>
  <c r="D58" i="21"/>
  <c r="E58" i="21"/>
  <c r="F58" i="21"/>
  <c r="G58" i="21"/>
  <c r="H58" i="21"/>
  <c r="I58" i="21"/>
  <c r="J58" i="21"/>
  <c r="K58" i="21"/>
  <c r="L58" i="21"/>
  <c r="M58" i="21"/>
  <c r="N58" i="21"/>
  <c r="O58" i="2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c r="B7" i="62"/>
  <c r="D46" i="36"/>
  <c r="E46" i="36"/>
  <c r="F46" i="36"/>
  <c r="G46" i="36"/>
  <c r="H46" i="36"/>
  <c r="I46" i="36"/>
  <c r="J46" i="36"/>
  <c r="K46" i="36"/>
  <c r="L46" i="36"/>
  <c r="M46" i="36"/>
  <c r="N46" i="36"/>
  <c r="O46" i="36"/>
  <c r="AC33" i="40"/>
  <c r="W33" i="40"/>
  <c r="S10" i="37"/>
  <c r="AA10" i="37"/>
  <c r="U41" i="33"/>
  <c r="AB41" i="33"/>
  <c r="AA28" i="36"/>
  <c r="S28" i="36"/>
  <c r="D129" i="9"/>
  <c r="D12" i="52"/>
  <c r="L60" i="15"/>
  <c r="P25" i="43"/>
  <c r="F7" i="35"/>
  <c r="AA21" i="40"/>
  <c r="G124" i="57"/>
  <c r="F125" i="57"/>
  <c r="AA15" i="40"/>
  <c r="S15" i="40"/>
  <c r="E48" i="43"/>
  <c r="B46" i="43"/>
  <c r="AB13" i="21"/>
  <c r="U13" i="21"/>
  <c r="W37" i="37"/>
  <c r="AC37" i="37"/>
  <c r="K109" i="43"/>
  <c r="K104" i="43"/>
  <c r="S32" i="37"/>
  <c r="AA32" i="37"/>
  <c r="AA13" i="35"/>
  <c r="S13" i="35"/>
  <c r="AA28" i="21"/>
  <c r="S28" i="21"/>
  <c r="S36" i="39"/>
  <c r="AA36" i="39"/>
  <c r="S36" i="37"/>
  <c r="AA36" i="37"/>
  <c r="M60" i="15"/>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c r="K118" i="43"/>
  <c r="L118" i="43"/>
  <c r="M118" i="43"/>
  <c r="B118" i="43"/>
  <c r="C118" i="43"/>
  <c r="I117" i="43"/>
  <c r="J117" i="43"/>
  <c r="K117" i="43"/>
  <c r="L117" i="43"/>
  <c r="M117" i="43"/>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2" i="12"/>
  <c r="C16" i="12"/>
  <c r="C115" i="43"/>
  <c r="H107" i="43"/>
  <c r="E124" i="57"/>
  <c r="D125" i="57"/>
  <c r="AC39" i="33"/>
  <c r="W39" i="33"/>
  <c r="S42" i="33"/>
  <c r="AA42" i="33"/>
  <c r="AC11" i="36"/>
  <c r="W11" i="36"/>
  <c r="S32" i="35"/>
  <c r="AA32" i="35"/>
  <c r="W27" i="33"/>
  <c r="AC40" i="37"/>
  <c r="AC40" i="40"/>
  <c r="H106" i="57"/>
  <c r="C112" i="9"/>
  <c r="H110" i="9"/>
  <c r="S46" i="33"/>
  <c r="S14" i="33"/>
  <c r="AC36" i="33"/>
  <c r="S8" i="39"/>
  <c r="AA8" i="39"/>
  <c r="AC24" i="36"/>
  <c r="AC26" i="37"/>
  <c r="AA40" i="21"/>
  <c r="U43" i="33"/>
  <c r="AA45" i="21"/>
  <c r="AB31" i="36"/>
  <c r="U31" i="36"/>
  <c r="W43" i="33"/>
  <c r="AB16" i="36"/>
  <c r="C112" i="57"/>
  <c r="H107" i="57"/>
  <c r="AA12" i="37"/>
  <c r="W17" i="21"/>
  <c r="U32" i="36"/>
  <c r="H34" i="36"/>
  <c r="J34" i="36"/>
  <c r="F34" i="36"/>
  <c r="B74" i="43"/>
  <c r="H39" i="40"/>
  <c r="C36" i="59"/>
  <c r="D36" i="59"/>
  <c r="D35" i="59"/>
  <c r="C40" i="59"/>
  <c r="D39" i="59"/>
  <c r="P72" i="15"/>
  <c r="P59" i="15"/>
  <c r="X19" i="59"/>
  <c r="F13" i="59"/>
  <c r="AB10" i="59"/>
  <c r="AB11" i="59"/>
  <c r="F100" i="43"/>
  <c r="F108" i="43"/>
  <c r="F109" i="43"/>
  <c r="Y19" i="59"/>
  <c r="Z19" i="59"/>
  <c r="C48" i="59"/>
  <c r="D47" i="59"/>
  <c r="X6" i="59"/>
  <c r="H17" i="43"/>
  <c r="G17" i="43"/>
  <c r="C16" i="43"/>
  <c r="C5" i="43"/>
  <c r="D1" i="58"/>
  <c r="E10" i="58"/>
  <c r="O55" i="59"/>
  <c r="D55" i="59"/>
  <c r="O54" i="59"/>
  <c r="X11" i="59"/>
  <c r="Y24" i="59"/>
  <c r="Z24" i="59"/>
  <c r="Y16" i="59"/>
  <c r="Z16" i="59"/>
  <c r="B56" i="59"/>
  <c r="N57" i="59"/>
  <c r="S57" i="59"/>
  <c r="AB6" i="59"/>
  <c r="I106" i="57"/>
  <c r="N100" i="43"/>
  <c r="N108" i="43"/>
  <c r="N109" i="43"/>
  <c r="D68" i="59"/>
  <c r="C67" i="59"/>
  <c r="D67" i="59"/>
  <c r="Y8" i="59"/>
  <c r="Z8" i="59"/>
  <c r="G100" i="43"/>
  <c r="C32" i="58"/>
  <c r="E26" i="58"/>
  <c r="C24" i="59"/>
  <c r="X24" i="59"/>
  <c r="AJ10" i="43"/>
  <c r="Y10" i="59"/>
  <c r="Z10" i="59"/>
  <c r="X18" i="59"/>
  <c r="X16" i="59"/>
  <c r="X15" i="59"/>
  <c r="X20" i="59"/>
  <c r="X26" i="59"/>
  <c r="T57" i="59"/>
  <c r="O57" i="59"/>
  <c r="D57" i="59"/>
  <c r="C63" i="59"/>
  <c r="D63" i="59"/>
  <c r="D64" i="59"/>
  <c r="J54" i="15"/>
  <c r="AA8" i="59"/>
  <c r="AA10" i="59"/>
  <c r="H100" i="43"/>
  <c r="U21" i="33"/>
  <c r="AB25" i="40"/>
  <c r="Y18" i="59"/>
  <c r="Z18" i="59"/>
  <c r="Y20" i="59"/>
  <c r="Z20" i="59"/>
  <c r="X27" i="59"/>
  <c r="V61" i="59"/>
  <c r="F60" i="59"/>
  <c r="F59" i="59"/>
  <c r="U69" i="59"/>
  <c r="E68" i="59"/>
  <c r="E67" i="59"/>
  <c r="AF10" i="43"/>
  <c r="AF12" i="43"/>
  <c r="AF13" i="43"/>
  <c r="AB15" i="59"/>
  <c r="F15" i="59"/>
  <c r="T13" i="59"/>
  <c r="AB14" i="59"/>
  <c r="Y12" i="59"/>
  <c r="Z12" i="59"/>
  <c r="AB3" i="59"/>
  <c r="X5" i="59"/>
  <c r="B66" i="43"/>
  <c r="B55" i="43"/>
  <c r="C29" i="39"/>
  <c r="O56" i="59"/>
  <c r="D56" i="59"/>
  <c r="AA18" i="59"/>
  <c r="E19" i="59"/>
  <c r="E20" i="59"/>
  <c r="E21" i="59"/>
  <c r="U21" i="59"/>
  <c r="X23" i="59"/>
  <c r="X25" i="59"/>
  <c r="C32" i="59"/>
  <c r="D31" i="59"/>
  <c r="AB10" i="43"/>
  <c r="AB12" i="43"/>
  <c r="AB13" i="43"/>
  <c r="C12" i="59"/>
  <c r="AB5" i="59"/>
  <c r="Y5" i="59"/>
  <c r="Z5" i="59"/>
  <c r="AB21" i="37"/>
  <c r="AA17" i="59"/>
  <c r="C16" i="59"/>
  <c r="D17" i="59"/>
  <c r="F19" i="59"/>
  <c r="F20" i="59"/>
  <c r="F21" i="59"/>
  <c r="V21" i="59"/>
  <c r="AB16" i="59"/>
  <c r="AB17" i="59"/>
  <c r="AB20" i="59"/>
  <c r="Y21" i="59"/>
  <c r="Z21" i="59"/>
  <c r="Y17" i="59"/>
  <c r="Z17" i="59"/>
  <c r="Y23" i="59"/>
  <c r="Z23" i="59"/>
  <c r="E32" i="59"/>
  <c r="E33" i="59"/>
  <c r="U33" i="59"/>
  <c r="Y22" i="59"/>
  <c r="Z22" i="59"/>
  <c r="AA14" i="59"/>
  <c r="AA16" i="59"/>
  <c r="Y7" i="59"/>
  <c r="Z7" i="59"/>
  <c r="AA6" i="59"/>
  <c r="M100" i="43"/>
  <c r="I108" i="43"/>
  <c r="I109" i="43"/>
  <c r="I100" i="43"/>
  <c r="C53" i="59"/>
  <c r="D52" i="59"/>
  <c r="X13" i="59"/>
  <c r="X21" i="59"/>
  <c r="Q56" i="59"/>
  <c r="F55" i="59"/>
  <c r="X22" i="59"/>
  <c r="Y15" i="59"/>
  <c r="Z15" i="59"/>
  <c r="Y14" i="59"/>
  <c r="Z14" i="59"/>
  <c r="X10" i="59"/>
  <c r="AA3" i="59"/>
  <c r="AA5" i="59"/>
  <c r="Y6" i="59"/>
  <c r="Z6" i="59"/>
  <c r="C60" i="59"/>
  <c r="X17" i="59"/>
  <c r="C27" i="59"/>
  <c r="B24" i="60"/>
  <c r="B17" i="59"/>
  <c r="Y13" i="59"/>
  <c r="Z13" i="59"/>
  <c r="P55" i="59"/>
  <c r="C19" i="59"/>
  <c r="F64" i="59"/>
  <c r="F63" i="59"/>
  <c r="C14" i="50"/>
  <c r="AB24" i="59"/>
  <c r="AA13" i="59"/>
  <c r="X14" i="59"/>
  <c r="B27" i="59"/>
  <c r="B28" i="59"/>
  <c r="B29" i="59"/>
  <c r="S29" i="59"/>
  <c r="G1" i="61"/>
  <c r="D6" i="61"/>
  <c r="W30" i="21"/>
  <c r="AC30" i="21"/>
  <c r="AC12" i="37"/>
  <c r="W12" i="37"/>
  <c r="AC31" i="40"/>
  <c r="W31" i="40"/>
  <c r="AC36" i="39"/>
  <c r="W36" i="39"/>
  <c r="S30" i="21"/>
  <c r="AA30" i="21"/>
  <c r="AB39" i="37"/>
  <c r="U39" i="37"/>
  <c r="AA31" i="39"/>
  <c r="S31" i="39"/>
  <c r="C77" i="9"/>
  <c r="C74" i="9"/>
  <c r="C78" i="57"/>
  <c r="C75" i="57"/>
  <c r="C45" i="59"/>
  <c r="D44" i="59"/>
  <c r="S39" i="37"/>
  <c r="AA39" i="37"/>
  <c r="AA23" i="36"/>
  <c r="S23" i="36"/>
  <c r="AC31" i="39"/>
  <c r="AC39" i="37"/>
  <c r="W39" i="37"/>
  <c r="U23" i="36"/>
  <c r="AB23" i="36"/>
  <c r="AC38" i="40"/>
  <c r="W38" i="40"/>
  <c r="S25" i="35"/>
  <c r="AA25" i="35"/>
  <c r="B42" i="50"/>
  <c r="B58" i="60"/>
  <c r="D59" i="66"/>
  <c r="E59" i="66"/>
  <c r="F59" i="66"/>
  <c r="G59" i="66"/>
  <c r="H59" i="66"/>
  <c r="I59" i="66"/>
  <c r="J59" i="66"/>
  <c r="K59" i="66"/>
  <c r="L59" i="66"/>
  <c r="M59" i="66"/>
  <c r="N59" i="66"/>
  <c r="O59" i="66"/>
  <c r="F7" i="66"/>
  <c r="H7" i="66"/>
  <c r="J7" i="66"/>
  <c r="W32" i="36"/>
  <c r="AC32" i="36"/>
  <c r="U13" i="33"/>
  <c r="AB13" i="33"/>
  <c r="AC23" i="36"/>
  <c r="W23" i="36"/>
  <c r="W25" i="35"/>
  <c r="AC25" i="35"/>
  <c r="D76" i="59"/>
  <c r="C75" i="59"/>
  <c r="D75" i="59"/>
  <c r="D59" i="65"/>
  <c r="E59" i="65"/>
  <c r="F59" i="65"/>
  <c r="G59" i="65"/>
  <c r="H59" i="65"/>
  <c r="I59" i="65"/>
  <c r="J59" i="65"/>
  <c r="K59" i="65"/>
  <c r="L59" i="65"/>
  <c r="M59" i="65"/>
  <c r="N59" i="65"/>
  <c r="O59" i="65"/>
  <c r="W9" i="37"/>
  <c r="AC9" i="37"/>
  <c r="AA32" i="36"/>
  <c r="S32" i="36"/>
  <c r="AA38" i="40"/>
  <c r="S38" i="40"/>
  <c r="AC39" i="40"/>
  <c r="W39" i="40"/>
  <c r="U9" i="35"/>
  <c r="AB9" i="35"/>
  <c r="AC33" i="37"/>
  <c r="W33" i="37"/>
  <c r="C19" i="43"/>
  <c r="T14" i="43"/>
  <c r="V14" i="43"/>
  <c r="D126" i="57"/>
  <c r="D31" i="50"/>
  <c r="D32" i="50"/>
  <c r="D10" i="50"/>
  <c r="AB36" i="35"/>
  <c r="U36" i="35"/>
  <c r="W9" i="35"/>
  <c r="AC9" i="35"/>
  <c r="U29" i="21"/>
  <c r="AB29" i="21"/>
  <c r="AA31" i="40"/>
  <c r="S31" i="40"/>
  <c r="AA33" i="37"/>
  <c r="S33" i="37"/>
  <c r="E3" i="4"/>
  <c r="B5" i="55"/>
  <c r="B55" i="60"/>
  <c r="C18" i="15"/>
  <c r="C19" i="15"/>
  <c r="C20" i="15"/>
  <c r="J34" i="66"/>
  <c r="F34" i="66"/>
  <c r="H34" i="66"/>
  <c r="F3" i="35"/>
  <c r="M7" i="15"/>
  <c r="J6" i="15"/>
  <c r="J18" i="15"/>
  <c r="F34" i="65"/>
  <c r="J34" i="65"/>
  <c r="C48" i="11"/>
  <c r="C30" i="11"/>
  <c r="C3" i="4"/>
  <c r="B4" i="55"/>
  <c r="B53" i="60"/>
  <c r="C21" i="12"/>
  <c r="C22" i="12"/>
  <c r="B33" i="60"/>
  <c r="C35" i="11"/>
  <c r="C38" i="11"/>
  <c r="J10" i="40"/>
  <c r="H10" i="39"/>
  <c r="F10" i="39"/>
  <c r="H10" i="40"/>
  <c r="J10" i="39"/>
  <c r="F10" i="40"/>
  <c r="J7" i="21"/>
  <c r="AC7" i="21"/>
  <c r="V48" i="21"/>
  <c r="I48" i="21"/>
  <c r="F7" i="21"/>
  <c r="S7" i="21"/>
  <c r="D65" i="40"/>
  <c r="E63" i="40"/>
  <c r="E27" i="1"/>
  <c r="P28" i="43"/>
  <c r="N28" i="43"/>
  <c r="M28" i="43"/>
  <c r="O28" i="43"/>
  <c r="D16" i="59"/>
  <c r="C15" i="59"/>
  <c r="D15" i="59"/>
  <c r="F12" i="59"/>
  <c r="F11" i="59"/>
  <c r="F10" i="59"/>
  <c r="F9" i="59"/>
  <c r="V13" i="59"/>
  <c r="U39" i="40"/>
  <c r="AB39" i="40"/>
  <c r="U25" i="37"/>
  <c r="AB25" i="37"/>
  <c r="Q59" i="15"/>
  <c r="Q72" i="15"/>
  <c r="B33" i="1"/>
  <c r="F41" i="15"/>
  <c r="F70" i="15"/>
  <c r="Q50" i="15"/>
  <c r="S25" i="37"/>
  <c r="AA25" i="37"/>
  <c r="AC44" i="39"/>
  <c r="W44" i="39"/>
  <c r="E58" i="33"/>
  <c r="C20" i="59"/>
  <c r="D19" i="59"/>
  <c r="C49" i="59"/>
  <c r="D48" i="59"/>
  <c r="S34" i="36"/>
  <c r="AA34" i="36"/>
  <c r="AC25" i="37"/>
  <c r="W25" i="37"/>
  <c r="AA44" i="39"/>
  <c r="S44" i="39"/>
  <c r="W7" i="37"/>
  <c r="AC7" i="37"/>
  <c r="V42" i="37"/>
  <c r="I42" i="37"/>
  <c r="C7" i="62"/>
  <c r="D7" i="62"/>
  <c r="N56" i="59"/>
  <c r="B55" i="59"/>
  <c r="AC34" i="36"/>
  <c r="W34" i="36"/>
  <c r="D113" i="43"/>
  <c r="AB44" i="39"/>
  <c r="U44" i="39"/>
  <c r="D5" i="43"/>
  <c r="C59" i="59"/>
  <c r="D59" i="59"/>
  <c r="D60" i="59"/>
  <c r="Q55" i="59"/>
  <c r="Q54" i="59"/>
  <c r="C33" i="59"/>
  <c r="D32" i="59"/>
  <c r="U34" i="36"/>
  <c r="AB34" i="36"/>
  <c r="F7" i="36"/>
  <c r="U7" i="37"/>
  <c r="AB7" i="37"/>
  <c r="T42" i="37"/>
  <c r="G42" i="37"/>
  <c r="H7" i="21"/>
  <c r="D27" i="59"/>
  <c r="C28" i="59"/>
  <c r="C25" i="59"/>
  <c r="D24" i="59"/>
  <c r="B16" i="59"/>
  <c r="B15" i="59"/>
  <c r="S17" i="59"/>
  <c r="C11" i="59"/>
  <c r="D12" i="59"/>
  <c r="D40" i="59"/>
  <c r="C41" i="59"/>
  <c r="J7" i="36"/>
  <c r="AA7" i="37"/>
  <c r="R42" i="37"/>
  <c r="S7" i="37"/>
  <c r="AC7" i="35"/>
  <c r="V38" i="35"/>
  <c r="I38" i="35"/>
  <c r="W7" i="35"/>
  <c r="F70" i="39"/>
  <c r="G68" i="39"/>
  <c r="F11" i="15"/>
  <c r="M11" i="15"/>
  <c r="J10" i="15"/>
  <c r="J5" i="15"/>
  <c r="T53" i="59"/>
  <c r="D53" i="59"/>
  <c r="AA7" i="35"/>
  <c r="R38" i="35"/>
  <c r="S7" i="35"/>
  <c r="H7" i="36"/>
  <c r="W7" i="21"/>
  <c r="S2" i="43"/>
  <c r="S3" i="43"/>
  <c r="S7" i="43"/>
  <c r="S4" i="43"/>
  <c r="S6" i="43"/>
  <c r="S5" i="43"/>
  <c r="C23" i="43"/>
  <c r="AB7" i="35"/>
  <c r="T38" i="35"/>
  <c r="G38" i="35"/>
  <c r="U7" i="35"/>
  <c r="S7" i="66"/>
  <c r="AA7" i="66"/>
  <c r="T12" i="43"/>
  <c r="V12" i="43"/>
  <c r="T13" i="43"/>
  <c r="V13" i="43"/>
  <c r="T9" i="43"/>
  <c r="V9" i="43"/>
  <c r="W7" i="66"/>
  <c r="AC7" i="66"/>
  <c r="T2" i="43"/>
  <c r="V2" i="43"/>
  <c r="T11" i="43"/>
  <c r="V11" i="43"/>
  <c r="U7" i="66"/>
  <c r="AB7" i="66"/>
  <c r="T3" i="43"/>
  <c r="V3" i="43"/>
  <c r="T5" i="43"/>
  <c r="V5" i="43"/>
  <c r="T6" i="43"/>
  <c r="V6" i="43"/>
  <c r="AA7" i="21"/>
  <c r="R48" i="21"/>
  <c r="E48" i="21"/>
  <c r="I53" i="21"/>
  <c r="J53" i="21"/>
  <c r="T16" i="43"/>
  <c r="V16" i="43"/>
  <c r="D11" i="50"/>
  <c r="B25" i="60"/>
  <c r="B23" i="60"/>
  <c r="F7" i="65"/>
  <c r="T8" i="43"/>
  <c r="V8" i="43"/>
  <c r="T15" i="43"/>
  <c r="V15" i="43"/>
  <c r="C29" i="43"/>
  <c r="J7" i="65"/>
  <c r="T4" i="43"/>
  <c r="V4" i="43"/>
  <c r="T7" i="43"/>
  <c r="V7" i="43"/>
  <c r="T10" i="43"/>
  <c r="V10" i="43"/>
  <c r="K107" i="57"/>
  <c r="D6" i="52"/>
  <c r="H7" i="65"/>
  <c r="T45" i="59"/>
  <c r="D45" i="59"/>
  <c r="U34" i="65"/>
  <c r="AB34" i="66"/>
  <c r="T49" i="66"/>
  <c r="G49" i="66"/>
  <c r="G53" i="66"/>
  <c r="H53" i="66"/>
  <c r="U34" i="66"/>
  <c r="W34" i="65"/>
  <c r="AC34" i="65"/>
  <c r="S34" i="66"/>
  <c r="AA34" i="66"/>
  <c r="R49" i="66"/>
  <c r="S34" i="65"/>
  <c r="AA34" i="65"/>
  <c r="W34" i="66"/>
  <c r="AC34" i="66"/>
  <c r="V49" i="66"/>
  <c r="I49" i="66"/>
  <c r="I53" i="66"/>
  <c r="J53" i="66"/>
  <c r="C26" i="15"/>
  <c r="B18" i="49"/>
  <c r="B4" i="60"/>
  <c r="C33" i="11"/>
  <c r="C39" i="11"/>
  <c r="C46" i="11"/>
  <c r="C45" i="11"/>
  <c r="AA10" i="40"/>
  <c r="S10" i="40"/>
  <c r="W10" i="39"/>
  <c r="AC10" i="39"/>
  <c r="AB10" i="40"/>
  <c r="U10" i="40"/>
  <c r="AA10" i="39"/>
  <c r="S10" i="39"/>
  <c r="F63" i="40"/>
  <c r="E65" i="40"/>
  <c r="AB10" i="39"/>
  <c r="U10" i="39"/>
  <c r="W10" i="40"/>
  <c r="AC10" i="40"/>
  <c r="J24" i="15"/>
  <c r="J26" i="15"/>
  <c r="J29" i="15"/>
  <c r="G43" i="35"/>
  <c r="H43" i="35"/>
  <c r="G42" i="35"/>
  <c r="H42" i="35"/>
  <c r="C54" i="15"/>
  <c r="C49" i="15"/>
  <c r="D41" i="59"/>
  <c r="T41" i="59"/>
  <c r="C29" i="59"/>
  <c r="D28" i="59"/>
  <c r="R49" i="21"/>
  <c r="C36" i="43"/>
  <c r="C39" i="43"/>
  <c r="C37" i="43"/>
  <c r="C35" i="43"/>
  <c r="C33" i="43"/>
  <c r="C34" i="43"/>
  <c r="C38" i="43"/>
  <c r="N54" i="59"/>
  <c r="N55" i="59"/>
  <c r="I46" i="37"/>
  <c r="J46" i="37"/>
  <c r="U7" i="36"/>
  <c r="AB7" i="36"/>
  <c r="T36" i="36"/>
  <c r="G36" i="36"/>
  <c r="C30" i="12"/>
  <c r="C28" i="12"/>
  <c r="F58" i="33"/>
  <c r="F8" i="59"/>
  <c r="F7" i="59"/>
  <c r="F6" i="59"/>
  <c r="F5" i="59"/>
  <c r="V9" i="59"/>
  <c r="I52" i="21"/>
  <c r="J52" i="21"/>
  <c r="D11" i="59"/>
  <c r="C10" i="59"/>
  <c r="AA7" i="36"/>
  <c r="R36" i="36"/>
  <c r="S7" i="36"/>
  <c r="T49" i="59"/>
  <c r="D49" i="59"/>
  <c r="G47" i="37"/>
  <c r="H47" i="37"/>
  <c r="G46" i="37"/>
  <c r="H46" i="37"/>
  <c r="T33" i="59"/>
  <c r="D33" i="59"/>
  <c r="R39" i="35"/>
  <c r="E38" i="35"/>
  <c r="I43" i="35"/>
  <c r="J43" i="35"/>
  <c r="I42" i="35"/>
  <c r="J42" i="35"/>
  <c r="C30" i="43"/>
  <c r="E30" i="43"/>
  <c r="E29" i="43"/>
  <c r="T25" i="59"/>
  <c r="D25" i="59"/>
  <c r="C21" i="59"/>
  <c r="D20" i="59"/>
  <c r="AC7" i="36"/>
  <c r="V36" i="36"/>
  <c r="I36" i="36"/>
  <c r="W7" i="36"/>
  <c r="H68" i="39"/>
  <c r="G70" i="39"/>
  <c r="R43" i="37"/>
  <c r="E42" i="37"/>
  <c r="U7" i="21"/>
  <c r="AB7" i="21"/>
  <c r="T48" i="21"/>
  <c r="G48" i="21"/>
  <c r="F22" i="11"/>
  <c r="F24" i="15"/>
  <c r="F25" i="12"/>
  <c r="C26" i="12"/>
  <c r="D25" i="12"/>
  <c r="W7" i="65"/>
  <c r="AC7" i="65"/>
  <c r="AB7" i="65"/>
  <c r="U7" i="65"/>
  <c r="V49" i="65"/>
  <c r="I49" i="65"/>
  <c r="I53" i="65"/>
  <c r="J53" i="65"/>
  <c r="S7" i="65"/>
  <c r="AA7" i="65"/>
  <c r="R49" i="65"/>
  <c r="G49" i="65"/>
  <c r="G53" i="65"/>
  <c r="H53" i="65"/>
  <c r="G54" i="66"/>
  <c r="H54" i="66"/>
  <c r="E49" i="66"/>
  <c r="R50" i="66"/>
  <c r="G63" i="40"/>
  <c r="F65" i="40"/>
  <c r="C48" i="21"/>
  <c r="C49" i="21"/>
  <c r="B2" i="21"/>
  <c r="B3" i="21"/>
  <c r="C23" i="11"/>
  <c r="C44" i="11"/>
  <c r="D41" i="11"/>
  <c r="C26" i="11"/>
  <c r="D22" i="11"/>
  <c r="C24" i="11"/>
  <c r="C42" i="11"/>
  <c r="C25" i="11"/>
  <c r="C43" i="11"/>
  <c r="G38" i="43"/>
  <c r="I38" i="43"/>
  <c r="E38" i="43"/>
  <c r="E52" i="21"/>
  <c r="F52" i="21"/>
  <c r="E53" i="21"/>
  <c r="F53" i="21"/>
  <c r="E34" i="43"/>
  <c r="G34" i="43"/>
  <c r="I34" i="43"/>
  <c r="C27" i="12"/>
  <c r="C25" i="12"/>
  <c r="C32" i="12"/>
  <c r="C39" i="35"/>
  <c r="C38" i="35"/>
  <c r="C61" i="15"/>
  <c r="C67" i="15"/>
  <c r="C23" i="15"/>
  <c r="C24" i="15"/>
  <c r="H70" i="39"/>
  <c r="I68" i="39"/>
  <c r="I40" i="36"/>
  <c r="J40" i="36"/>
  <c r="G52" i="21"/>
  <c r="H52" i="21"/>
  <c r="G53" i="21"/>
  <c r="H53" i="21"/>
  <c r="G36" i="43"/>
  <c r="I36" i="43"/>
  <c r="E36" i="43"/>
  <c r="G40" i="36"/>
  <c r="H40" i="36"/>
  <c r="G41" i="36"/>
  <c r="H41" i="36"/>
  <c r="E33" i="43"/>
  <c r="C26" i="43"/>
  <c r="B2" i="43"/>
  <c r="B3" i="43"/>
  <c r="G33" i="43"/>
  <c r="I33" i="43"/>
  <c r="C27" i="43"/>
  <c r="T29" i="59"/>
  <c r="D29" i="59"/>
  <c r="G58" i="33"/>
  <c r="E47" i="37"/>
  <c r="F47" i="37"/>
  <c r="E46" i="37"/>
  <c r="F46" i="37"/>
  <c r="D10" i="59"/>
  <c r="C9" i="59"/>
  <c r="I47" i="37"/>
  <c r="J47" i="37"/>
  <c r="G37" i="43"/>
  <c r="I37" i="43"/>
  <c r="E37" i="43"/>
  <c r="T21" i="59"/>
  <c r="D21" i="59"/>
  <c r="R37" i="36"/>
  <c r="E36" i="36"/>
  <c r="I41" i="36"/>
  <c r="J41" i="36"/>
  <c r="E35" i="43"/>
  <c r="G35" i="43"/>
  <c r="I35" i="43"/>
  <c r="C42" i="37"/>
  <c r="C43" i="37"/>
  <c r="B2" i="37"/>
  <c r="B3" i="37"/>
  <c r="E43" i="35"/>
  <c r="F43" i="35"/>
  <c r="E42" i="35"/>
  <c r="F42" i="35"/>
  <c r="G39" i="43"/>
  <c r="I39" i="43"/>
  <c r="E39" i="43"/>
  <c r="E49" i="65"/>
  <c r="F6" i="15"/>
  <c r="C6" i="15"/>
  <c r="G54" i="65"/>
  <c r="H54" i="65"/>
  <c r="I54" i="65"/>
  <c r="J54" i="65"/>
  <c r="E54" i="65"/>
  <c r="F54" i="65"/>
  <c r="E53" i="65"/>
  <c r="F53" i="65"/>
  <c r="C49" i="66"/>
  <c r="C50" i="66"/>
  <c r="I54" i="66"/>
  <c r="J54" i="66"/>
  <c r="E53" i="66"/>
  <c r="F53" i="66"/>
  <c r="E54" i="66"/>
  <c r="F54" i="66"/>
  <c r="C41" i="11"/>
  <c r="C49" i="11"/>
  <c r="C51" i="11"/>
  <c r="G65" i="40"/>
  <c r="H63" i="40"/>
  <c r="C37" i="36"/>
  <c r="B2" i="36"/>
  <c r="B3" i="36"/>
  <c r="C36" i="36"/>
  <c r="H58" i="33"/>
  <c r="C29" i="15"/>
  <c r="B2" i="12"/>
  <c r="B3" i="12"/>
  <c r="C8" i="59"/>
  <c r="T9" i="59"/>
  <c r="D9" i="59"/>
  <c r="C22" i="11"/>
  <c r="C31" i="11"/>
  <c r="E40" i="36"/>
  <c r="F40" i="36"/>
  <c r="E41" i="36"/>
  <c r="F41" i="36"/>
  <c r="J68" i="39"/>
  <c r="I70" i="39"/>
  <c r="B3" i="35"/>
  <c r="B2" i="35"/>
  <c r="C50" i="65"/>
  <c r="B2" i="65"/>
  <c r="B3" i="65"/>
  <c r="B2" i="66"/>
  <c r="B3" i="66"/>
  <c r="C32" i="15"/>
  <c r="C10" i="15"/>
  <c r="C5" i="15"/>
  <c r="C38" i="15"/>
  <c r="C52" i="11"/>
  <c r="B2" i="11"/>
  <c r="H65" i="40"/>
  <c r="I63" i="40"/>
  <c r="J19" i="15"/>
  <c r="J17" i="15"/>
  <c r="Q47" i="15"/>
  <c r="J14" i="15"/>
  <c r="C13" i="15"/>
  <c r="C58" i="15"/>
  <c r="C36" i="15"/>
  <c r="C33" i="15"/>
  <c r="J60" i="15"/>
  <c r="J61" i="15"/>
  <c r="C7" i="59"/>
  <c r="D8" i="59"/>
  <c r="I58" i="33"/>
  <c r="K68" i="39"/>
  <c r="J70" i="39"/>
  <c r="D19" i="57"/>
  <c r="C19" i="9"/>
  <c r="C20" i="9"/>
  <c r="D102" i="57"/>
  <c r="C31" i="15"/>
  <c r="C102" i="9"/>
  <c r="C101" i="9"/>
  <c r="C56" i="11"/>
  <c r="C57" i="11"/>
  <c r="B3" i="11"/>
  <c r="I65" i="40"/>
  <c r="J63" i="40"/>
  <c r="J58" i="33"/>
  <c r="K58" i="33"/>
  <c r="L58" i="33"/>
  <c r="M58" i="33"/>
  <c r="N58" i="33"/>
  <c r="O58" i="33"/>
  <c r="F7" i="33"/>
  <c r="H7" i="33"/>
  <c r="C62" i="15"/>
  <c r="C60" i="15"/>
  <c r="C65" i="15"/>
  <c r="C57" i="15"/>
  <c r="C66" i="15"/>
  <c r="Q68" i="15"/>
  <c r="J34" i="15"/>
  <c r="C37" i="15"/>
  <c r="C6" i="59"/>
  <c r="D7" i="59"/>
  <c r="J22" i="15"/>
  <c r="J13" i="15"/>
  <c r="J23" i="15"/>
  <c r="L68" i="39"/>
  <c r="K70" i="39"/>
  <c r="Q46" i="15"/>
  <c r="D20" i="57"/>
  <c r="J7" i="33"/>
  <c r="AC7" i="33"/>
  <c r="V48" i="33"/>
  <c r="I48" i="33"/>
  <c r="C30" i="15"/>
  <c r="C39" i="15"/>
  <c r="J38" i="15"/>
  <c r="J39" i="15"/>
  <c r="D103" i="57"/>
  <c r="J16" i="15"/>
  <c r="J25" i="15"/>
  <c r="J65" i="40"/>
  <c r="K63" i="40"/>
  <c r="D6" i="59"/>
  <c r="C5" i="59"/>
  <c r="C59" i="15"/>
  <c r="C68" i="15"/>
  <c r="C69" i="15"/>
  <c r="L70" i="39"/>
  <c r="M68" i="39"/>
  <c r="U7" i="33"/>
  <c r="AB7" i="33"/>
  <c r="T48" i="33"/>
  <c r="G48" i="33"/>
  <c r="S7" i="33"/>
  <c r="AA7" i="33"/>
  <c r="R48" i="33"/>
  <c r="W7" i="33"/>
  <c r="C40" i="15"/>
  <c r="C43" i="15"/>
  <c r="Q67" i="15"/>
  <c r="Q66" i="15"/>
  <c r="K65" i="40"/>
  <c r="L63" i="40"/>
  <c r="C72" i="15"/>
  <c r="I52" i="33"/>
  <c r="J52" i="33"/>
  <c r="D5" i="59"/>
  <c r="M20" i="43"/>
  <c r="R49" i="33"/>
  <c r="E48" i="33"/>
  <c r="I53" i="33"/>
  <c r="J53" i="33"/>
  <c r="M70" i="39"/>
  <c r="N68" i="39"/>
  <c r="G53" i="33"/>
  <c r="H53" i="33"/>
  <c r="G52" i="33"/>
  <c r="H52" i="33"/>
  <c r="Q54" i="15"/>
  <c r="Q63" i="15"/>
  <c r="C47" i="15"/>
  <c r="J41" i="15"/>
  <c r="D35" i="9"/>
  <c r="F21" i="67"/>
  <c r="Q45" i="15"/>
  <c r="Q51" i="15"/>
  <c r="L52" i="15"/>
  <c r="Q65" i="15"/>
  <c r="M63" i="40"/>
  <c r="L65" i="40"/>
  <c r="N70" i="39"/>
  <c r="O68" i="39"/>
  <c r="O70" i="39"/>
  <c r="F7" i="39"/>
  <c r="L58" i="15"/>
  <c r="L61" i="15"/>
  <c r="L47" i="15"/>
  <c r="J7" i="39"/>
  <c r="H7" i="39"/>
  <c r="E53" i="33"/>
  <c r="F53" i="33"/>
  <c r="E52" i="33"/>
  <c r="F52" i="33"/>
  <c r="C48" i="33"/>
  <c r="C49" i="33"/>
  <c r="B2" i="33"/>
  <c r="B3" i="33"/>
  <c r="E21" i="67"/>
  <c r="E20" i="67"/>
  <c r="J42" i="15"/>
  <c r="B2" i="15"/>
  <c r="B3" i="15"/>
  <c r="M65" i="40"/>
  <c r="N63" i="40"/>
  <c r="W7" i="39"/>
  <c r="AC7" i="39"/>
  <c r="V47" i="39"/>
  <c r="I47" i="39"/>
  <c r="Q55" i="15"/>
  <c r="Q60" i="15"/>
  <c r="Q64" i="15"/>
  <c r="Q73" i="15"/>
  <c r="D34" i="9"/>
  <c r="F20" i="67"/>
  <c r="S7" i="39"/>
  <c r="AA7" i="39"/>
  <c r="R47" i="39"/>
  <c r="AB7" i="39"/>
  <c r="T47" i="39"/>
  <c r="G47" i="39"/>
  <c r="U7" i="39"/>
  <c r="D19" i="9"/>
  <c r="D20" i="9"/>
  <c r="G20" i="9"/>
  <c r="D102" i="9"/>
  <c r="D101" i="9"/>
  <c r="D22" i="9"/>
  <c r="G19" i="9"/>
  <c r="O63" i="40"/>
  <c r="O65" i="40"/>
  <c r="J7" i="40"/>
  <c r="N65" i="40"/>
  <c r="G51" i="39"/>
  <c r="H51" i="39"/>
  <c r="G52" i="39"/>
  <c r="H52" i="39"/>
  <c r="E47" i="39"/>
  <c r="R48" i="39"/>
  <c r="I52" i="39"/>
  <c r="J52" i="39"/>
  <c r="I51" i="39"/>
  <c r="J51" i="39"/>
  <c r="C32" i="9"/>
  <c r="C35" i="9"/>
  <c r="C34" i="9"/>
  <c r="R27" i="31"/>
  <c r="J5" i="67"/>
  <c r="I5" i="67"/>
  <c r="F7" i="40"/>
  <c r="H7" i="40"/>
  <c r="W7" i="40"/>
  <c r="AC7" i="40"/>
  <c r="V42" i="40"/>
  <c r="I42" i="40"/>
  <c r="C48" i="39"/>
  <c r="C47" i="39"/>
  <c r="E51" i="39"/>
  <c r="F51" i="39"/>
  <c r="E52" i="39"/>
  <c r="F52" i="39"/>
  <c r="L9" i="67"/>
  <c r="H5" i="67"/>
  <c r="C32" i="57"/>
  <c r="T27" i="31"/>
  <c r="S27" i="31"/>
  <c r="R29" i="31"/>
  <c r="J7" i="67"/>
  <c r="R28" i="31"/>
  <c r="J6" i="67"/>
  <c r="I46" i="40"/>
  <c r="J46" i="40"/>
  <c r="AB7" i="40"/>
  <c r="T42" i="40"/>
  <c r="G42" i="40"/>
  <c r="U7" i="40"/>
  <c r="AA7" i="40"/>
  <c r="R42" i="40"/>
  <c r="S7" i="40"/>
  <c r="B61" i="39"/>
  <c r="F61" i="39"/>
  <c r="B56" i="39"/>
  <c r="F56" i="39"/>
  <c r="F66" i="39"/>
  <c r="B2" i="39"/>
  <c r="B3" i="39"/>
  <c r="B58" i="39"/>
  <c r="F58" i="39"/>
  <c r="B63" i="39"/>
  <c r="F63" i="39"/>
  <c r="B62" i="39"/>
  <c r="F62" i="39"/>
  <c r="B59" i="39"/>
  <c r="F59" i="39"/>
  <c r="B65" i="39"/>
  <c r="F65" i="39"/>
  <c r="B64" i="39"/>
  <c r="F64" i="39"/>
  <c r="B60" i="39"/>
  <c r="F60" i="39"/>
  <c r="B57" i="39"/>
  <c r="F57" i="39"/>
  <c r="F5" i="67"/>
  <c r="G5" i="67"/>
  <c r="E5" i="67"/>
  <c r="O9" i="67"/>
  <c r="I7" i="67"/>
  <c r="I6" i="67"/>
  <c r="N9" i="67"/>
  <c r="H6" i="67"/>
  <c r="K5" i="67"/>
  <c r="L8" i="67"/>
  <c r="T29" i="31"/>
  <c r="S29" i="31"/>
  <c r="S28" i="31"/>
  <c r="T28" i="31"/>
  <c r="E42" i="40"/>
  <c r="R43" i="40"/>
  <c r="G47" i="40"/>
  <c r="H47" i="40"/>
  <c r="G46" i="40"/>
  <c r="H46" i="40"/>
  <c r="I8" i="67"/>
  <c r="E12" i="67"/>
  <c r="E13" i="67"/>
  <c r="O8" i="67"/>
  <c r="K7" i="67"/>
  <c r="K6" i="67"/>
  <c r="N8" i="67"/>
  <c r="F6" i="67"/>
  <c r="H7" i="67"/>
  <c r="G6" i="67"/>
  <c r="E6" i="67"/>
  <c r="S25" i="31"/>
  <c r="T25" i="31"/>
  <c r="B23" i="31"/>
  <c r="B2" i="31"/>
  <c r="C42" i="40"/>
  <c r="C43" i="40"/>
  <c r="E47" i="40"/>
  <c r="F47" i="40"/>
  <c r="E46" i="40"/>
  <c r="F46" i="40"/>
  <c r="I47" i="40"/>
  <c r="J47" i="40"/>
  <c r="C19" i="57"/>
  <c r="I9" i="67"/>
  <c r="F7" i="67"/>
  <c r="G7" i="67"/>
  <c r="E7" i="67"/>
  <c r="G19" i="57"/>
  <c r="C102" i="57"/>
  <c r="D22" i="57"/>
  <c r="C33" i="57"/>
  <c r="H124" i="57"/>
  <c r="I103" i="57"/>
  <c r="R25" i="31"/>
  <c r="B24" i="31"/>
  <c r="B3" i="31"/>
  <c r="B56" i="40"/>
  <c r="F56" i="40"/>
  <c r="B51" i="40"/>
  <c r="F51" i="40"/>
  <c r="F61" i="40"/>
  <c r="B2" i="40"/>
  <c r="B3" i="40"/>
  <c r="B57" i="40"/>
  <c r="F57" i="40"/>
  <c r="B54" i="40"/>
  <c r="F54" i="40"/>
  <c r="B58" i="40"/>
  <c r="F58" i="40"/>
  <c r="B55" i="40"/>
  <c r="F55" i="40"/>
  <c r="B59" i="40"/>
  <c r="F59" i="40"/>
  <c r="B52" i="40"/>
  <c r="F52" i="40"/>
  <c r="B60" i="40"/>
  <c r="F60" i="40"/>
  <c r="B53" i="40"/>
  <c r="F53" i="40"/>
  <c r="G121" i="9"/>
  <c r="G4" i="52"/>
  <c r="B41" i="60"/>
  <c r="E121" i="9"/>
  <c r="E4" i="52"/>
  <c r="B38" i="60"/>
  <c r="I121" i="9"/>
  <c r="C104" i="9"/>
  <c r="C20" i="57"/>
  <c r="E8" i="67"/>
  <c r="E9" i="67"/>
  <c r="G8" i="67"/>
  <c r="G9" i="67"/>
  <c r="D14" i="62"/>
  <c r="E14" i="62"/>
  <c r="H125" i="57"/>
  <c r="D109" i="57"/>
  <c r="D120" i="57"/>
  <c r="I116" i="57"/>
  <c r="G20" i="57"/>
  <c r="C103" i="57"/>
  <c r="C34" i="57"/>
  <c r="I124" i="57"/>
  <c r="I104" i="57"/>
  <c r="C106" i="57"/>
  <c r="D46" i="57"/>
  <c r="I111" i="57"/>
  <c r="M49" i="57"/>
  <c r="D121" i="9"/>
  <c r="I103" i="9"/>
  <c r="F121" i="9"/>
  <c r="D107" i="9"/>
  <c r="H121" i="9"/>
  <c r="F14" i="62"/>
  <c r="B5" i="62"/>
  <c r="C5" i="62"/>
  <c r="D115" i="57"/>
  <c r="C107" i="57"/>
  <c r="D110" i="57"/>
  <c r="I4" i="52"/>
  <c r="C104" i="57"/>
  <c r="C105" i="57"/>
  <c r="D128" i="57"/>
  <c r="G14" i="62"/>
  <c r="B6" i="62"/>
  <c r="M50" i="57"/>
  <c r="D53" i="57"/>
  <c r="C86" i="57"/>
  <c r="C79" i="57"/>
  <c r="C74" i="57"/>
  <c r="D54" i="57"/>
  <c r="D49" i="57"/>
  <c r="M53" i="57"/>
  <c r="D56" i="57"/>
  <c r="M54" i="57"/>
  <c r="C65" i="57"/>
  <c r="C64" i="57"/>
  <c r="C68" i="57"/>
  <c r="C69" i="57"/>
  <c r="D55" i="57"/>
  <c r="C73" i="57"/>
  <c r="C94" i="57"/>
  <c r="C87" i="57"/>
  <c r="D122" i="9"/>
  <c r="D5" i="52"/>
  <c r="B39" i="60"/>
  <c r="D4" i="52"/>
  <c r="B37" i="60"/>
  <c r="H4" i="52"/>
  <c r="I102" i="9"/>
  <c r="C103" i="9"/>
  <c r="D106" i="9"/>
  <c r="D112" i="9"/>
  <c r="H122" i="9"/>
  <c r="H5" i="52"/>
  <c r="F4" i="52"/>
  <c r="B40" i="60"/>
  <c r="F122" i="9"/>
  <c r="F5" i="52"/>
  <c r="B42" i="60"/>
  <c r="D9" i="50"/>
  <c r="B21" i="60"/>
  <c r="D30" i="50"/>
  <c r="D5" i="62"/>
  <c r="D116" i="57"/>
  <c r="I112" i="57"/>
  <c r="D129" i="57"/>
  <c r="D10" i="52"/>
  <c r="C96" i="57"/>
  <c r="C97" i="57"/>
  <c r="E97" i="57"/>
  <c r="E98" i="57"/>
  <c r="C80" i="57"/>
  <c r="C81" i="57"/>
  <c r="E81" i="57"/>
  <c r="E82" i="57"/>
  <c r="L65" i="57"/>
  <c r="M65" i="57"/>
  <c r="L64" i="57"/>
  <c r="M64" i="57"/>
  <c r="L68" i="57"/>
  <c r="M68" i="57"/>
  <c r="L66" i="57"/>
  <c r="M66" i="57"/>
  <c r="L67" i="57"/>
  <c r="M67" i="57"/>
  <c r="L69" i="57"/>
  <c r="M69" i="57"/>
  <c r="C6" i="62"/>
  <c r="D6" i="62"/>
  <c r="D117" i="9"/>
  <c r="D113" i="9"/>
  <c r="D7" i="50"/>
  <c r="M48" i="9"/>
  <c r="D45" i="9"/>
  <c r="I110" i="9"/>
  <c r="D28" i="50"/>
  <c r="D29" i="50"/>
  <c r="C82" i="57"/>
  <c r="M70" i="57"/>
  <c r="N70" i="57"/>
  <c r="C98" i="57"/>
  <c r="D59" i="57"/>
  <c r="D57" i="57"/>
  <c r="M55" i="57"/>
  <c r="N58" i="57"/>
  <c r="M49" i="9"/>
  <c r="D125" i="9"/>
  <c r="D8" i="52"/>
  <c r="D15" i="50"/>
  <c r="D36" i="50"/>
  <c r="D37" i="50"/>
  <c r="B19" i="60"/>
  <c r="D8" i="50"/>
  <c r="B22" i="60"/>
  <c r="I111" i="9"/>
  <c r="D38" i="50"/>
  <c r="B62" i="60"/>
  <c r="C85" i="9"/>
  <c r="D52" i="9"/>
  <c r="D55" i="9"/>
  <c r="M53" i="9"/>
  <c r="D59" i="9"/>
  <c r="M55" i="9"/>
  <c r="D53" i="9"/>
  <c r="D48" i="9"/>
  <c r="M52" i="9"/>
  <c r="C72" i="9"/>
  <c r="C93" i="9"/>
  <c r="C86" i="9"/>
  <c r="C78" i="9"/>
  <c r="C73" i="9"/>
  <c r="C64" i="9"/>
  <c r="C63" i="9"/>
  <c r="C67" i="9"/>
  <c r="C68" i="9"/>
  <c r="D54" i="9"/>
  <c r="D44" i="50"/>
  <c r="I115" i="9"/>
  <c r="D23" i="50"/>
  <c r="B34" i="60"/>
  <c r="N59" i="57"/>
  <c r="P58" i="57"/>
  <c r="N60" i="57"/>
  <c r="D126" i="9"/>
  <c r="D9" i="52"/>
  <c r="D17" i="50"/>
  <c r="B29" i="60"/>
  <c r="D16" i="50"/>
  <c r="B30" i="60"/>
  <c r="C79" i="9"/>
  <c r="C95" i="9"/>
  <c r="L68" i="9"/>
  <c r="M68" i="9"/>
  <c r="L67" i="9"/>
  <c r="M67" i="9"/>
  <c r="L66" i="9"/>
  <c r="M66" i="9"/>
  <c r="L63" i="9"/>
  <c r="M63" i="9"/>
  <c r="L65" i="9"/>
  <c r="M65" i="9"/>
  <c r="L64" i="9"/>
  <c r="M64" i="9"/>
  <c r="N61" i="57"/>
  <c r="N62" i="57"/>
  <c r="M69" i="9"/>
  <c r="N69" i="9"/>
  <c r="C80" i="9"/>
  <c r="E80" i="9"/>
  <c r="E81" i="9"/>
  <c r="C96" i="9"/>
  <c r="E96" i="9"/>
  <c r="E97" i="9"/>
  <c r="C97" i="9"/>
  <c r="D58" i="9"/>
  <c r="D56" i="9"/>
  <c r="M54" i="9"/>
  <c r="N57" i="9"/>
  <c r="P57" i="9"/>
  <c r="C81" i="9"/>
  <c r="N59" i="9"/>
  <c r="N61" i="9"/>
  <c r="N58"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2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2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3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3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<sst xmlns="http://schemas.openxmlformats.org/spreadsheetml/2006/main" count="7312" uniqueCount="2948">
  <si>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</si>
  <si>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</si>
  <si>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</si>
  <si>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</si>
  <si>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</si>
  <si>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</si>
  <si>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</si>
  <si>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</si>
  <si>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</si>
  <si>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</si>
  <si>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</si>
  <si>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</si>
  <si>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</si>
  <si>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</si>
  <si>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</si>
  <si>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</si>
  <si>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</si>
  <si>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</si>
  <si>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</si>
  <si>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</si>
  <si>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</si>
  <si>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</si>
  <si>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</si>
  <si>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</si>
  <si>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</si>
  <si>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</si>
  <si>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</si>
  <si>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</si>
  <si>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</si>
  <si>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</si>
  <si>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</si>
  <si>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</si>
  <si>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</si>
  <si>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</si>
  <si>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</si>
  <si>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</si>
  <si>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</si>
  <si>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</si>
  <si>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</si>
  <si>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</si>
  <si>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</si>
  <si>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</si>
  <si>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</si>
  <si>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</si>
  <si>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</si>
  <si>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</si>
  <si>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</si>
  <si>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</si>
  <si>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</si>
  <si>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</si>
  <si>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</si>
  <si>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</si>
  <si>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</si>
  <si>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</si>
  <si>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</si>
  <si>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</si>
  <si>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</si>
  <si>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</si>
  <si>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</si>
  <si>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</si>
  <si>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</si>
  <si>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</si>
  <si>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</si>
  <si>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</si>
  <si>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</si>
  <si>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</si>
  <si>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</si>
  <si>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</si>
  <si>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</si>
  <si>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</si>
  <si>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</si>
  <si>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</si>
  <si>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</si>
  <si>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</si>
  <si>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</si>
  <si>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</si>
  <si>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</si>
  <si>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</si>
  <si>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</si>
  <si>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</si>
  <si>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</si>
  <si>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</si>
  <si>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</si>
  <si>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</si>
  <si>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</si>
  <si>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</si>
  <si>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</si>
  <si>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</si>
  <si>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</si>
  <si>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</si>
  <si>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</si>
  <si>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</si>
  <si>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</si>
  <si>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</si>
  <si>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</si>
  <si>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</si>
  <si>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</si>
  <si>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</si>
  <si>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</si>
  <si>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</si>
  <si>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</si>
  <si>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</si>
  <si>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</si>
  <si>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</si>
  <si>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</si>
  <si>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</si>
  <si>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</si>
  <si>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</si>
  <si>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</si>
  <si>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</si>
  <si>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</si>
  <si>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</si>
  <si>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</si>
  <si>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</si>
  <si>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</si>
  <si>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</si>
  <si>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</si>
  <si>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</si>
  <si>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</si>
  <si>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</si>
  <si>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</si>
  <si>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</si>
  <si>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</si>
  <si>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</si>
  <si>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</si>
  <si>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</si>
  <si>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</si>
  <si>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</si>
  <si>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</si>
  <si>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</si>
  <si>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</si>
  <si>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</si>
  <si>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</si>
  <si>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</si>
  <si>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</si>
  <si>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</si>
  <si>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</si>
  <si>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</si>
  <si>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</si>
  <si>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</si>
  <si>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</si>
  <si>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</si>
  <si>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</si>
  <si>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</si>
  <si>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</si>
  <si>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</si>
  <si>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</si>
  <si>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</si>
  <si>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</si>
  <si>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</si>
  <si>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</si>
  <si>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</si>
  <si>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</si>
  <si>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</si>
  <si>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</si>
  <si>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</si>
  <si>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</si>
  <si>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</si>
  <si>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</si>
  <si>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</si>
  <si>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</si>
  <si>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</si>
  <si>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</si>
  <si>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</si>
  <si>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</si>
  <si>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</si>
  <si>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</si>
  <si>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</si>
  <si>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</si>
  <si>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</si>
  <si>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</si>
  <si>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</si>
  <si>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</si>
  <si>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</si>
  <si>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</si>
  <si>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</si>
  <si>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</si>
  <si>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</si>
  <si>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</si>
  <si>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</si>
  <si>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</si>
  <si>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</si>
  <si>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</si>
  <si>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</si>
  <si>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</si>
  <si>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</si>
  <si>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</si>
  <si>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</si>
  <si>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</si>
  <si>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</si>
  <si>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</si>
  <si>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</si>
  <si>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</si>
  <si>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</si>
  <si>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</si>
  <si>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</si>
  <si>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</si>
  <si>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</si>
  <si>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</si>
  <si>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</si>
  <si>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</si>
  <si>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</si>
  <si>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</si>
  <si>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</si>
  <si>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</si>
  <si>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</si>
  <si>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</si>
  <si>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</si>
  <si>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</si>
  <si>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</si>
  <si>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</si>
  <si>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</si>
  <si>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</si>
  <si>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</si>
  <si>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</si>
  <si>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</si>
  <si>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</si>
  <si>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</si>
  <si>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</si>
  <si>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</si>
  <si>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</si>
  <si>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</si>
  <si>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</si>
  <si>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</si>
  <si>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</si>
  <si>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</si>
  <si>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</si>
  <si>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</si>
  <si>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</si>
  <si>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</si>
  <si>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</si>
  <si>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</si>
  <si>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</si>
  <si>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</si>
  <si>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</si>
  <si>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</si>
  <si>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</si>
  <si>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</si>
  <si>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</si>
  <si>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</si>
  <si>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</si>
  <si>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</si>
  <si>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</si>
  <si>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</si>
  <si>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</si>
  <si>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</si>
  <si>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</si>
  <si>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</si>
  <si>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</si>
  <si>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</si>
  <si>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</si>
  <si>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</si>
  <si>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</si>
  <si>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</si>
  <si>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</si>
  <si>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</si>
  <si>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</si>
  <si>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</si>
  <si>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</si>
  <si>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</si>
  <si>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</si>
  <si>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</si>
  <si>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</si>
  <si>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</si>
  <si>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</si>
  <si>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</si>
  <si>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</si>
  <si>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</si>
  <si>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</si>
  <si>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</si>
  <si>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</si>
  <si>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</si>
  <si>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</si>
  <si>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</si>
  <si>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</si>
  <si>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</si>
  <si>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</si>
  <si>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</si>
  <si>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</si>
  <si>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</si>
  <si>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</si>
  <si>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</si>
  <si>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</si>
  <si>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</si>
  <si>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</si>
  <si>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</si>
  <si>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</si>
  <si>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</si>
  <si>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</si>
  <si>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</si>
  <si>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</si>
  <si>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</si>
  <si>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</si>
  <si>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</si>
  <si>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</si>
  <si>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</si>
  <si>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</si>
  <si>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</si>
  <si>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</si>
  <si>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</si>
  <si>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</si>
  <si>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</si>
  <si>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</si>
  <si>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</si>
  <si>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</si>
  <si>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</si>
  <si>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</si>
  <si>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</si>
  <si>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</si>
  <si>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</si>
  <si>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</si>
  <si>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</si>
  <si>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</si>
  <si>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</si>
  <si>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</si>
  <si>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</si>
  <si>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</si>
  <si>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</si>
  <si>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</si>
  <si>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</si>
  <si>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</si>
  <si>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</si>
  <si>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</si>
  <si>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</si>
  <si>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</si>
  <si>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</si>
  <si>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</si>
  <si>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</si>
  <si>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</si>
  <si>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</si>
  <si>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</si>
  <si>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</si>
  <si>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</si>
  <si>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</si>
  <si>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</si>
  <si>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</si>
  <si>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</si>
  <si>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</si>
  <si>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</si>
  <si>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</si>
  <si>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</si>
  <si>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</si>
  <si>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</si>
  <si>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</si>
  <si>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</si>
  <si>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</si>
  <si>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</si>
  <si>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</si>
  <si>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</si>
  <si>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</si>
  <si>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</si>
  <si>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</si>
  <si>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</si>
  <si>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</si>
  <si>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</si>
  <si>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</si>
  <si>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</si>
  <si>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</si>
  <si>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</si>
  <si>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</si>
  <si>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</si>
  <si>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</si>
  <si>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</si>
  <si>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</si>
  <si>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</si>
  <si>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</si>
  <si>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</si>
  <si>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</si>
  <si>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</si>
  <si>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</si>
  <si>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</si>
  <si>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</si>
  <si>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</si>
  <si>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</si>
  <si>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</si>
  <si>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</si>
  <si>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</si>
  <si>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</si>
  <si>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</si>
  <si>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</si>
  <si>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</si>
  <si>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</si>
  <si>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</si>
  <si>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</si>
  <si>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</si>
  <si>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</si>
  <si>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</si>
  <si>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</si>
  <si>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</si>
  <si>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</si>
  <si>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</si>
  <si>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</si>
  <si>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</si>
  <si>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</si>
  <si>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</si>
  <si>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</si>
  <si>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</si>
  <si>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</si>
  <si>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</si>
  <si>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</si>
  <si>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</si>
  <si>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</si>
  <si>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</si>
  <si>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</si>
  <si>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</si>
  <si>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</si>
  <si>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</si>
  <si>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</si>
  <si>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</si>
  <si>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</si>
  <si>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</si>
  <si>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</si>
  <si>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</si>
  <si>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</si>
  <si>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</si>
  <si>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</si>
  <si>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</si>
  <si>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</si>
  <si>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</si>
  <si>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</si>
  <si>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</si>
  <si>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</si>
  <si>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</si>
  <si>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</si>
  <si>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</si>
  <si>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</si>
  <si>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</si>
  <si>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</si>
  <si>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</si>
  <si>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</si>
  <si>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</si>
  <si>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</si>
  <si>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</si>
  <si>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</si>
  <si>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</si>
  <si>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</si>
  <si>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</si>
  <si>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</si>
  <si>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</si>
  <si>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</si>
  <si>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</si>
  <si>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</si>
  <si>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</si>
  <si>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</si>
  <si>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</si>
  <si>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</si>
  <si>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</si>
  <si>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</si>
  <si>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</si>
  <si>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</si>
  <si>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</si>
  <si>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</si>
  <si>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</si>
  <si>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</si>
  <si>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</si>
  <si>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</si>
  <si>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</si>
  <si>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</si>
  <si>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</si>
  <si>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</si>
  <si>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</si>
  <si>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</si>
  <si>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</si>
  <si>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</si>
  <si>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</si>
  <si>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</si>
  <si>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</si>
  <si>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</si>
  <si>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</si>
  <si>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</si>
  <si>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</si>
  <si>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</si>
  <si>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</si>
  <si>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</si>
  <si>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</si>
  <si>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</si>
  <si>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</si>
  <si>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</si>
  <si>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</si>
  <si>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</si>
  <si>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</si>
  <si>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</si>
  <si>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</si>
  <si>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</si>
  <si>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</si>
  <si>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</si>
  <si>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</si>
  <si>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</si>
  <si>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</si>
  <si>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</si>
  <si>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</si>
  <si>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</si>
  <si>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</si>
  <si>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</si>
  <si>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</si>
  <si>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</si>
  <si>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</si>
  <si>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</si>
  <si>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</si>
  <si>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</si>
  <si>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</si>
  <si>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</si>
  <si>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</si>
  <si>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</si>
  <si>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</si>
  <si>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</si>
  <si>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</si>
  <si>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</si>
  <si>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</si>
  <si>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</si>
  <si>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</si>
  <si>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</si>
  <si>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</si>
  <si>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</si>
  <si>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</si>
  <si>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</si>
  <si>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</si>
  <si>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</si>
  <si>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</si>
  <si>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</si>
  <si>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</si>
  <si>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</si>
  <si>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</si>
  <si>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</si>
  <si>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</si>
  <si>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</si>
  <si>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</si>
  <si>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</si>
  <si>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</si>
  <si>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</si>
  <si>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</si>
  <si>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</si>
  <si>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</si>
  <si>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</si>
  <si>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</si>
  <si>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</si>
  <si>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</si>
  <si>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</si>
  <si>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</si>
  <si>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</si>
  <si>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</si>
  <si>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</si>
  <si>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</si>
  <si>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</si>
  <si>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</si>
  <si>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</si>
  <si>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</si>
  <si>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</si>
  <si>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</si>
  <si>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</si>
  <si>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</si>
  <si>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</si>
  <si>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</si>
  <si>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</si>
  <si>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</si>
  <si>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</si>
  <si>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</si>
  <si>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</si>
  <si>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</si>
  <si>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</si>
  <si>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</si>
  <si>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</si>
  <si>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</si>
  <si>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</si>
  <si>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</si>
  <si>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</si>
  <si>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</si>
  <si>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</si>
  <si>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</si>
  <si>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</si>
  <si>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</si>
  <si>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</si>
  <si>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</si>
  <si>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</si>
  <si>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</si>
  <si>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</si>
  <si>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</si>
  <si>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</si>
  <si>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</si>
  <si>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</si>
  <si>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</si>
  <si>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</si>
  <si>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</si>
  <si>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</si>
  <si>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</si>
  <si>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</si>
  <si>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</si>
  <si>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</si>
  <si>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</si>
  <si>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</si>
  <si>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</si>
  <si>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</si>
  <si>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</si>
  <si>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</si>
  <si>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</si>
  <si>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</si>
  <si>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</si>
  <si>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</si>
  <si>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</si>
  <si>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</si>
  <si>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</si>
  <si>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</si>
  <si>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</si>
  <si>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</si>
  <si>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</si>
  <si>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</si>
  <si>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</si>
  <si>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</si>
  <si>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</si>
  <si>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</si>
  <si>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</si>
  <si>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</si>
  <si>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</si>
  <si>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</si>
  <si>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</si>
  <si>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</si>
  <si>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</si>
  <si>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</si>
  <si>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</si>
  <si>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</si>
  <si>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</si>
  <si>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</si>
  <si>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</si>
  <si>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</si>
  <si>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</si>
  <si>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</si>
  <si>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</si>
  <si>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</si>
  <si>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</si>
  <si>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</si>
  <si>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</si>
  <si>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</si>
  <si>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</si>
  <si>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</si>
  <si>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</si>
  <si>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</si>
  <si>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</si>
  <si>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</si>
  <si>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</si>
  <si>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</si>
  <si>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</si>
  <si>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</si>
  <si>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</si>
  <si>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</si>
  <si>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</si>
  <si>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</si>
  <si>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</si>
  <si>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</si>
  <si>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</si>
  <si>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</si>
  <si>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</si>
  <si>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</si>
  <si>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</si>
  <si>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</si>
  <si>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</si>
  <si>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</si>
  <si>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</si>
  <si>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</si>
  <si>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</si>
  <si>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</si>
  <si>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</si>
  <si>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</si>
  <si>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</si>
  <si>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</si>
  <si>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</si>
  <si>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</si>
  <si>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</si>
  <si>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</si>
  <si>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</si>
  <si>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</si>
  <si>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</si>
  <si>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</si>
  <si>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</si>
  <si>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</si>
  <si>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</si>
  <si>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</si>
  <si>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</si>
  <si>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</si>
  <si>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</si>
  <si>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</si>
  <si>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</si>
  <si>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</si>
  <si>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</si>
  <si>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</si>
  <si>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</si>
  <si>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</si>
  <si>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</si>
  <si>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</si>
  <si>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</si>
  <si>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</si>
  <si>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</si>
  <si>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</si>
  <si>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</si>
  <si>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</si>
  <si>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</si>
  <si>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</si>
  <si>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</si>
  <si>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</si>
  <si>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</si>
  <si>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</si>
  <si>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</si>
  <si>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</si>
  <si>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</si>
  <si>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</si>
  <si>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</si>
  <si>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</si>
  <si>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</si>
  <si>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</si>
  <si>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</si>
  <si>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</si>
  <si>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</si>
  <si>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</si>
  <si>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</si>
  <si>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</si>
  <si>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</si>
  <si>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</si>
  <si>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</si>
  <si>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</si>
  <si>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</si>
  <si>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</si>
  <si>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</si>
  <si>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</si>
  <si>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</si>
  <si>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</si>
  <si>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</si>
  <si>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</si>
  <si>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</si>
  <si>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</si>
  <si>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</si>
  <si>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</si>
  <si>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</si>
  <si>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</si>
  <si>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</si>
  <si>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</si>
  <si>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</si>
  <si>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</si>
  <si>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</si>
  <si>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</si>
  <si>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</si>
  <si>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</si>
  <si>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</si>
  <si>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</si>
  <si>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</si>
  <si>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</si>
  <si>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</si>
  <si>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</si>
  <si>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</si>
  <si>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</si>
  <si>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</si>
  <si>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</si>
  <si>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</si>
  <si>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</si>
  <si>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</si>
  <si>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</si>
  <si>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</si>
  <si>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</si>
  <si>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</si>
  <si>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</si>
  <si>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</si>
  <si>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</si>
  <si>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</si>
  <si>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</si>
  <si>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</si>
  <si>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</si>
  <si>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</si>
  <si>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</si>
  <si>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</si>
  <si>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</si>
  <si>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</si>
  <si>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</si>
  <si>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</si>
  <si>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</si>
  <si>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</si>
  <si>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</si>
  <si>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</si>
  <si>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</si>
  <si>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</si>
  <si>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</si>
  <si>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</si>
  <si>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</si>
  <si>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</si>
  <si>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</si>
  <si>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</si>
  <si>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</si>
  <si>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</si>
  <si>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</si>
  <si>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</si>
  <si>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</si>
  <si>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</si>
  <si>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</si>
  <si>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</si>
  <si>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</si>
  <si>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</si>
  <si>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</si>
  <si>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</si>
  <si>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</si>
  <si>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</si>
  <si>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</si>
  <si>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</si>
  <si>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</si>
  <si>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</si>
  <si>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</si>
  <si>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</si>
  <si>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</si>
  <si>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</si>
  <si>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</si>
  <si>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</si>
  <si>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</si>
  <si>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</si>
  <si>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</si>
  <si>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</si>
  <si>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</si>
  <si>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</si>
  <si>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</si>
  <si>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</si>
  <si>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</si>
  <si>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</si>
  <si>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</si>
  <si>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</si>
  <si>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</si>
  <si>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</si>
  <si>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</si>
  <si>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</si>
  <si>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</si>
  <si>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</si>
  <si>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</si>
  <si>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</si>
  <si>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</si>
  <si>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</si>
  <si>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</si>
  <si>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</si>
  <si>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</si>
  <si>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</si>
  <si>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</si>
  <si>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</si>
  <si>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</si>
  <si>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</si>
  <si>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</si>
  <si>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</si>
  <si>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</si>
  <si>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</si>
  <si>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</si>
  <si>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</si>
  <si>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</si>
  <si>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</si>
  <si>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</si>
  <si>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</si>
  <si>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</si>
  <si>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</si>
  <si>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</si>
  <si>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</si>
  <si>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</si>
  <si>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</si>
  <si>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</si>
  <si>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</si>
  <si>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</si>
  <si>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</si>
  <si>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</si>
  <si>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</si>
  <si>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</si>
  <si>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</si>
  <si>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</si>
  <si>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</si>
  <si>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</si>
  <si>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</si>
  <si>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</si>
  <si>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</si>
  <si>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</si>
  <si>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</si>
  <si>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</si>
  <si>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</si>
  <si>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</si>
  <si>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</si>
  <si>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</si>
  <si>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</si>
  <si>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</si>
  <si>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</si>
  <si>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</si>
  <si>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</si>
  <si>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</si>
  <si>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</si>
  <si>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</si>
  <si>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</si>
  <si>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</si>
  <si>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</si>
  <si>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</si>
  <si>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</si>
  <si>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</si>
  <si>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</si>
  <si>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</si>
  <si>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</si>
  <si>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</si>
  <si>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</si>
  <si>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</si>
  <si>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</si>
  <si>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</si>
  <si>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</si>
  <si>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</si>
  <si>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</si>
  <si>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</si>
  <si>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</si>
  <si>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</si>
  <si>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</si>
  <si>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</si>
  <si>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</si>
  <si>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</si>
  <si>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</si>
  <si>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</si>
  <si>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</si>
  <si>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</si>
  <si>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</si>
  <si>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</si>
  <si>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</si>
  <si>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</si>
  <si>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</si>
  <si>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</si>
  <si>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</si>
  <si>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</si>
  <si>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</si>
  <si>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</si>
  <si>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</si>
  <si>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</si>
  <si>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</si>
  <si>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</si>
  <si>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</si>
  <si>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</si>
  <si>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</si>
  <si>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</si>
  <si>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</si>
  <si>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</si>
  <si>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</si>
  <si>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</si>
  <si>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</si>
  <si>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</si>
  <si>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</si>
  <si>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</si>
  <si>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</si>
  <si>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</si>
  <si>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</si>
  <si>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</si>
  <si>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</si>
  <si>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</si>
  <si>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</si>
  <si>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</si>
  <si>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</si>
  <si>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</si>
  <si>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</si>
  <si>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</si>
  <si>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</si>
  <si>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</si>
  <si>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</si>
  <si>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</si>
  <si>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</si>
  <si>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</si>
  <si>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</si>
  <si>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</si>
  <si>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</si>
  <si>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</si>
  <si>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</si>
  <si>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</si>
  <si>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</si>
  <si>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</si>
  <si>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</si>
  <si>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</si>
  <si>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</si>
  <si>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</si>
  <si>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</si>
  <si>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</si>
  <si>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</si>
  <si>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</si>
  <si>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</si>
  <si>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</si>
  <si>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</si>
  <si>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</si>
  <si>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</si>
  <si>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</si>
  <si>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</si>
  <si>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</si>
  <si>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</si>
  <si>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</si>
  <si>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</si>
  <si>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</si>
  <si>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</si>
  <si>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</si>
  <si>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</si>
  <si>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</si>
  <si>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</si>
  <si>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</si>
  <si>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</si>
  <si>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</si>
  <si>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</si>
  <si>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</si>
  <si>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</si>
  <si>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</si>
  <si>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</si>
  <si>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</si>
  <si>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</si>
  <si>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</si>
  <si>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</si>
  <si>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</si>
  <si>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</si>
  <si>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</si>
  <si>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</si>
  <si>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</si>
  <si>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</si>
  <si>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</si>
  <si>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</si>
  <si>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</si>
  <si>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</si>
  <si>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</si>
  <si>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</si>
  <si>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</si>
  <si>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</si>
  <si>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</si>
  <si>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</si>
  <si>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</si>
  <si>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</si>
  <si>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</si>
  <si>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</si>
  <si>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</si>
  <si>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</si>
  <si>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</si>
  <si>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</si>
  <si>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</si>
  <si>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</si>
  <si>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</si>
  <si>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</si>
  <si>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</si>
  <si>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</si>
  <si>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</si>
  <si>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</si>
  <si>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</si>
  <si>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</si>
  <si>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</si>
  <si>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</si>
  <si>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</si>
  <si>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</si>
  <si>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</si>
  <si>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</si>
  <si>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</si>
  <si>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</si>
  <si>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</si>
  <si>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</si>
  <si>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</si>
  <si>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</si>
  <si>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</si>
  <si>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</si>
  <si>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</si>
  <si>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</si>
  <si>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</si>
  <si>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</si>
  <si>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</si>
  <si>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</si>
  <si>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</si>
  <si>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</si>
  <si>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</si>
  <si>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</si>
  <si>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</si>
  <si>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</si>
  <si>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</si>
  <si>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</si>
  <si>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</si>
  <si>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</si>
  <si>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</si>
  <si>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</si>
  <si>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</si>
  <si>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</si>
  <si>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</si>
  <si>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</si>
  <si>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</si>
  <si>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</si>
  <si>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</si>
  <si>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</si>
  <si>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</si>
  <si>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</si>
  <si>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</si>
  <si>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</si>
  <si>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</si>
  <si>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</si>
  <si>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</si>
  <si>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</si>
  <si>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</si>
  <si>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</si>
  <si>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</si>
  <si>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</si>
  <si>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</si>
  <si>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</si>
  <si>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</si>
  <si>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</si>
  <si>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</si>
  <si>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</si>
  <si>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</si>
  <si>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</si>
  <si>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</si>
  <si>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</si>
  <si>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</si>
  <si>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</si>
  <si>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</si>
  <si>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</si>
  <si>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</si>
  <si>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</si>
  <si>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</si>
  <si>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</si>
  <si>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</si>
  <si>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</si>
  <si>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</si>
  <si>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</si>
  <si>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</si>
  <si>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</si>
  <si>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</si>
  <si>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</si>
  <si>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</si>
  <si>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</si>
  <si>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</si>
  <si>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</si>
  <si>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</si>
  <si>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</si>
  <si>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</si>
  <si>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</si>
  <si>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</si>
  <si>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</si>
  <si>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</si>
  <si>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</si>
  <si>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</si>
  <si>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</si>
  <si>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</si>
  <si>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</si>
  <si>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</si>
  <si>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</si>
  <si>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</si>
  <si>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</si>
  <si>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</si>
  <si>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</si>
  <si>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</si>
  <si>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</si>
  <si>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</si>
  <si>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</si>
  <si>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</si>
  <si>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</si>
  <si>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</si>
  <si>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</si>
  <si>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</si>
  <si>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</si>
  <si>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</si>
  <si>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</si>
  <si>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</si>
  <si>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</si>
  <si>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</si>
  <si>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</si>
  <si>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</si>
  <si>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</si>
  <si>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</si>
  <si>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</si>
  <si>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</si>
  <si>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</si>
  <si>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</si>
  <si>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</si>
  <si>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</si>
  <si>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</si>
  <si>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</si>
  <si>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</si>
  <si>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</si>
  <si>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</si>
  <si>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</si>
  <si>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</si>
  <si>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</si>
  <si>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</si>
  <si>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</si>
  <si>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</si>
  <si>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</si>
  <si>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</si>
  <si>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</si>
  <si>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</si>
  <si>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</si>
  <si>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</si>
  <si>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</si>
  <si>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</si>
  <si>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</si>
  <si>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</si>
  <si>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</si>
  <si>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</si>
  <si>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</si>
  <si>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</si>
  <si>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</si>
  <si>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</si>
  <si>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</si>
  <si>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</si>
  <si>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</si>
  <si>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</si>
  <si>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</si>
  <si>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</si>
  <si>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</si>
  <si>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</si>
  <si>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</si>
  <si>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</si>
  <si>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</si>
  <si>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</si>
  <si>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</si>
  <si>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</si>
  <si>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</si>
  <si>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</si>
  <si>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</si>
  <si>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</si>
  <si>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</si>
  <si>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</si>
  <si>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</si>
  <si>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</si>
  <si>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</si>
  <si>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</si>
  <si>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</si>
  <si>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</si>
  <si>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</si>
  <si>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</si>
  <si>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</si>
  <si>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</si>
  <si>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</si>
  <si>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</si>
  <si>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</si>
  <si>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</si>
  <si>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</si>
  <si>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</si>
  <si>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</si>
  <si>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</si>
  <si>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</si>
  <si>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</si>
  <si>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</si>
  <si>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</si>
  <si>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</si>
  <si>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</si>
  <si>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</si>
  <si>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</si>
  <si>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</si>
  <si>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</si>
  <si>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</si>
  <si>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</si>
  <si>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</si>
  <si>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</si>
  <si>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</si>
  <si>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</si>
  <si>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</si>
  <si>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</si>
  <si>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</si>
  <si>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</si>
  <si>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</si>
  <si>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</si>
  <si>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</si>
  <si>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</si>
  <si>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</si>
  <si>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</si>
  <si>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</si>
  <si>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</si>
  <si>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</si>
  <si>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</si>
  <si>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</si>
  <si>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</si>
  <si>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</si>
  <si>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</si>
  <si>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</si>
  <si>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</si>
  <si>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</si>
  <si>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</si>
  <si>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</si>
  <si>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</si>
  <si>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</si>
  <si>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</si>
  <si>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</si>
  <si>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</si>
  <si>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</si>
  <si>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</si>
  <si>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</si>
  <si>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</si>
  <si>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</si>
  <si>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</si>
  <si>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</si>
  <si>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</si>
  <si>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</si>
  <si>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</si>
  <si>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</si>
  <si>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</si>
  <si>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</si>
  <si>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</si>
  <si>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</si>
  <si>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</si>
  <si>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</si>
  <si>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</si>
  <si>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</si>
  <si>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</si>
  <si>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</si>
  <si>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</si>
  <si>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</si>
  <si>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</si>
  <si>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</si>
  <si>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</si>
  <si>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</si>
  <si>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</si>
  <si>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</si>
  <si>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</si>
  <si>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</si>
  <si>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</si>
  <si>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</si>
  <si>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</si>
  <si>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</si>
  <si>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</si>
  <si>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</si>
  <si>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</si>
  <si>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</si>
  <si>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</si>
  <si>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</si>
  <si>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</si>
  <si>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</si>
  <si>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</si>
  <si>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</si>
  <si>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</si>
  <si>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</si>
  <si>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</si>
  <si>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</si>
  <si>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</si>
  <si>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</si>
  <si>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</si>
  <si>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</si>
  <si>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</si>
  <si>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</si>
  <si>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</si>
  <si>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</si>
  <si>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</si>
  <si>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</si>
  <si>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</si>
  <si>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</si>
  <si>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</si>
  <si>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</si>
  <si>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</si>
  <si>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</si>
  <si>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</si>
  <si>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</si>
  <si>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</si>
  <si>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</si>
  <si>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</si>
  <si>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</si>
  <si>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</si>
  <si>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</si>
  <si>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</si>
  <si>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</si>
  <si>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</si>
  <si>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</si>
  <si>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</si>
  <si>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</si>
  <si>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</si>
  <si>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</si>
  <si>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</si>
  <si>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</si>
  <si>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</si>
  <si>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</si>
  <si>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</si>
  <si>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</si>
  <si>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</si>
  <si>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</si>
  <si>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</si>
  <si>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</si>
  <si>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</si>
  <si>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</si>
  <si>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</si>
  <si>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</si>
  <si>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</si>
  <si>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</si>
  <si>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</si>
  <si>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</si>
  <si>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</si>
  <si>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</si>
  <si>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</si>
  <si>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</si>
  <si>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</si>
  <si>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</si>
  <si>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</si>
  <si>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</si>
  <si>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</si>
  <si>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</si>
  <si>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</si>
  <si>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</si>
  <si>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</si>
  <si>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</si>
  <si>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</si>
  <si>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</si>
  <si>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</si>
  <si>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</si>
  <si>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</si>
  <si>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</si>
  <si>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</si>
  <si>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</si>
  <si>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</si>
  <si>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</si>
  <si>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</si>
  <si>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</si>
  <si>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</si>
  <si>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</si>
  <si>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</si>
  <si>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</si>
  <si>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</si>
  <si>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</si>
  <si>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</si>
  <si>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</si>
  <si>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</si>
  <si>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</si>
  <si>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</si>
  <si>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</si>
  <si>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</si>
  <si>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</si>
  <si>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</si>
  <si>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</si>
  <si>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</si>
  <si>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</si>
  <si>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</si>
  <si>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</si>
  <si>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</si>
  <si>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</si>
  <si>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</si>
  <si>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</si>
  <si>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</si>
  <si>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</si>
  <si>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</si>
  <si>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</si>
  <si>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</si>
  <si>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</si>
  <si>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</si>
  <si>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</si>
  <si>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</si>
  <si>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</si>
  <si>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</si>
  <si>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</si>
  <si>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</si>
  <si>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</si>
  <si>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</si>
  <si>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</si>
  <si>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</si>
  <si>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</si>
  <si>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</si>
  <si>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</si>
  <si>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</si>
  <si>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</si>
  <si>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</si>
  <si>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</si>
  <si>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</si>
  <si>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</si>
  <si>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</si>
  <si>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</si>
  <si>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</si>
  <si>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</si>
  <si>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</si>
  <si>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</si>
  <si>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</si>
  <si>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</si>
  <si>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</si>
  <si>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</si>
  <si>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</si>
  <si>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</si>
  <si>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</si>
  <si>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</si>
  <si>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</si>
  <si>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</si>
  <si>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</si>
  <si>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</si>
  <si>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</si>
  <si>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</si>
  <si>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</si>
  <si>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</si>
  <si>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</si>
  <si>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</si>
  <si>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</si>
  <si>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</si>
  <si>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</si>
  <si>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</si>
  <si>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</si>
  <si>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</si>
  <si>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</si>
  <si>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</si>
  <si>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</si>
  <si>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</si>
  <si>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</si>
  <si>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</si>
  <si>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</si>
  <si>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</si>
  <si>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</si>
  <si>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</si>
  <si>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</si>
  <si>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</si>
  <si>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</si>
  <si>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</si>
  <si>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</si>
  <si>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</si>
  <si>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</si>
  <si>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</si>
  <si>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</si>
  <si>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</si>
  <si>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</si>
  <si>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</si>
  <si>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</si>
  <si>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</si>
  <si>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</si>
  <si>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</si>
  <si>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</si>
  <si>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</si>
  <si>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</si>
  <si>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</si>
  <si>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</si>
  <si>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</si>
  <si>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</si>
  <si>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</si>
  <si>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</si>
  <si>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</si>
  <si>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</si>
  <si>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</si>
  <si>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</si>
  <si>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</si>
  <si>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</si>
  <si>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</si>
  <si>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</si>
  <si>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</si>
  <si>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</si>
  <si>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</si>
  <si>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</si>
  <si>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</si>
  <si>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</si>
  <si>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</si>
  <si>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</si>
  <si>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</si>
  <si>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</si>
  <si>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</si>
  <si>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</si>
  <si>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</si>
  <si>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</si>
  <si>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</si>
  <si>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</si>
  <si>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</si>
  <si>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</si>
  <si>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</si>
  <si>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</si>
  <si>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</si>
  <si>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</si>
  <si>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</si>
  <si>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</si>
  <si>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</si>
  <si>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</si>
  <si>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</si>
  <si>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</si>
  <si>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</si>
  <si>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</si>
  <si>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</si>
  <si>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</si>
  <si>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</si>
  <si>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</si>
  <si>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</si>
  <si>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</si>
  <si>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</si>
  <si>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</si>
  <si>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</si>
  <si>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</si>
  <si>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</si>
  <si>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</si>
  <si>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</si>
  <si>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</si>
  <si>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</si>
  <si>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</si>
  <si>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</si>
  <si>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</si>
  <si>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</si>
  <si>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</si>
  <si>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</si>
  <si>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</si>
  <si>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</si>
  <si>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</si>
  <si>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</si>
  <si>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</si>
  <si>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</si>
  <si>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</si>
  <si>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</si>
  <si>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</si>
  <si>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</si>
  <si>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</si>
  <si>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</si>
  <si>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</si>
  <si>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</si>
  <si>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</si>
  <si>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</si>
  <si>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</si>
  <si>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</si>
  <si>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</si>
  <si>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</si>
  <si>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</si>
  <si>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</si>
  <si>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</si>
  <si>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</si>
  <si>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</si>
  <si>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</si>
  <si>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</si>
  <si>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</si>
  <si>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</si>
  <si>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</si>
  <si>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</si>
  <si>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</si>
  <si>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</si>
  <si>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</si>
  <si>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</si>
  <si>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</si>
  <si>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</si>
  <si>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</si>
  <si>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</si>
  <si>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</si>
  <si>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</si>
  <si>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</si>
  <si>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</si>
  <si>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</si>
  <si>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</si>
  <si>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</si>
  <si>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</si>
  <si>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</si>
  <si>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</si>
  <si>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</si>
  <si>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</si>
  <si>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</si>
  <si>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</si>
  <si>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</si>
  <si>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</si>
  <si>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</si>
  <si>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</si>
  <si>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</si>
  <si>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</si>
  <si>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</si>
  <si>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</si>
  <si>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</si>
  <si>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</si>
  <si>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</si>
  <si>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</si>
  <si>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</si>
  <si>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</si>
  <si>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</si>
  <si>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</si>
  <si>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</si>
  <si>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</si>
  <si>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</si>
  <si>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</si>
  <si>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</si>
  <si>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</si>
  <si>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</si>
  <si>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</si>
  <si>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</si>
  <si>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</si>
  <si>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</si>
  <si>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</si>
  <si>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</si>
  <si>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</si>
  <si>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</si>
  <si>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</si>
  <si>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</si>
  <si>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</si>
  <si>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</si>
  <si>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</si>
  <si>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</si>
  <si>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</si>
  <si>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</si>
  <si>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</si>
  <si>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</si>
  <si>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</si>
  <si>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</si>
  <si>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</si>
  <si>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</si>
  <si>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</si>
  <si>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</si>
  <si>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</si>
  <si>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</si>
  <si>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</si>
  <si>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</si>
  <si>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</si>
  <si>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</si>
  <si>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</si>
  <si>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</si>
  <si>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</si>
  <si>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</si>
  <si>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</si>
  <si>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</si>
  <si>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</si>
  <si>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</si>
  <si>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</si>
  <si>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</si>
  <si>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</si>
  <si>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</si>
  <si>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</si>
  <si>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</si>
  <si>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</si>
  <si>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</si>
  <si>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</si>
  <si>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</si>
  <si>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</si>
  <si>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</si>
  <si>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</si>
  <si>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</si>
  <si>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</si>
  <si>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</si>
  <si>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</si>
  <si>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</si>
  <si>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</si>
  <si>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</si>
  <si>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</si>
  <si>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</si>
  <si>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</si>
  <si>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</si>
  <si>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</si>
  <si>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</si>
  <si>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</si>
  <si>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</si>
  <si>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</si>
  <si>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</si>
  <si>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</si>
  <si>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</si>
  <si>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</si>
  <si>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</si>
  <si>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</si>
  <si>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</si>
  <si>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</si>
  <si>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</si>
  <si>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</si>
  <si>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</si>
  <si>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</si>
  <si>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</si>
  <si>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</si>
  <si>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</si>
  <si>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</si>
  <si>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</si>
  <si>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</si>
  <si>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</si>
  <si>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</si>
  <si>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</si>
  <si>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</si>
  <si>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</si>
  <si>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</si>
  <si>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</si>
  <si>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</si>
  <si>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</si>
  <si>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</si>
  <si>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</si>
  <si>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</si>
  <si>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</si>
  <si>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</si>
  <si>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</si>
  <si>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</si>
  <si>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</si>
  <si>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</si>
  <si>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</si>
  <si>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</si>
  <si>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</si>
  <si>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</si>
  <si>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</si>
  <si>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</si>
  <si>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</si>
  <si>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</si>
  <si>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</si>
  <si>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</si>
  <si>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</si>
  <si>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</si>
  <si>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</si>
  <si>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</si>
  <si>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</si>
  <si>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</si>
  <si>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</si>
  <si>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</si>
  <si>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</si>
  <si>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</si>
  <si>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</si>
  <si>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</si>
  <si>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</si>
  <si>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</si>
  <si>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</si>
  <si>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</si>
  <si>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</si>
  <si>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</si>
  <si>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</si>
  <si>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</si>
  <si>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</si>
  <si>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</si>
  <si>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</si>
  <si>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</si>
  <si>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</si>
  <si>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</si>
  <si>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</si>
  <si>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</si>
  <si>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</si>
  <si>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</si>
  <si>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</si>
  <si>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</si>
  <si>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</si>
  <si>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</si>
  <si>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</si>
  <si>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</si>
  <si>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</si>
  <si>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</si>
  <si>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</si>
  <si>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</si>
  <si>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</si>
  <si>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</si>
  <si>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</si>
  <si>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</si>
  <si>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</si>
  <si>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</si>
  <si>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</si>
  <si>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</si>
  <si>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</si>
  <si>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</si>
  <si>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</si>
  <si>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</si>
  <si>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</si>
  <si>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</si>
  <si>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</si>
  <si>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</si>
  <si>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</si>
  <si>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</si>
  <si>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</si>
  <si>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</si>
  <si>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</si>
  <si>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</si>
  <si>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</si>
  <si>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</si>
  <si>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</si>
  <si>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</si>
  <si>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</si>
  <si>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</si>
  <si>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</si>
  <si>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</si>
  <si>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</si>
  <si>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</si>
  <si>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</si>
  <si>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</si>
  <si>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</si>
  <si>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</si>
  <si>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</si>
  <si>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</si>
  <si>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</si>
  <si>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</si>
  <si>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</si>
  <si>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</si>
  <si>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</si>
  <si>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</si>
  <si>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</si>
  <si>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</si>
  <si>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</si>
  <si>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</si>
  <si>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</si>
  <si>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</si>
  <si>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</si>
  <si>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</si>
  <si>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</si>
  <si>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</si>
  <si>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</si>
  <si>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</si>
  <si>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</si>
  <si>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</si>
  <si>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</si>
  <si>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</si>
  <si>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</si>
  <si>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</si>
  <si>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</si>
  <si>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</si>
  <si>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</si>
  <si>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</si>
  <si>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</si>
  <si>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</si>
  <si>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</si>
  <si>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</si>
  <si>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</si>
  <si>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</si>
  <si>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</si>
  <si>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</si>
  <si>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</si>
  <si>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</si>
  <si>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</si>
  <si>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</si>
  <si>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</si>
  <si>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</si>
  <si>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</si>
  <si>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</si>
  <si>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</si>
  <si>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</si>
  <si>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</si>
  <si>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</si>
  <si>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</si>
  <si>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</si>
  <si>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</si>
  <si>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</si>
  <si>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</si>
  <si>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</si>
  <si>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</si>
  <si>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</si>
  <si>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</si>
  <si>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</si>
  <si>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</si>
  <si>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</si>
  <si>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</si>
  <si>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</si>
  <si>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</si>
  <si>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</si>
  <si>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</si>
  <si>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</si>
  <si>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</si>
  <si>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</si>
  <si>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</si>
  <si>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</si>
  <si>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</si>
  <si>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</si>
  <si>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</si>
  <si>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</si>
  <si>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</si>
  <si>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</si>
  <si>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</si>
  <si>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</si>
  <si>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</si>
  <si>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</si>
  <si>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</si>
  <si>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</si>
  <si>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</si>
  <si>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</si>
  <si>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</si>
  <si>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</si>
  <si>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</si>
  <si>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</si>
  <si>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</si>
  <si>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</si>
  <si>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</si>
  <si>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</si>
  <si>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</si>
  <si>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</si>
  <si>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</si>
  <si>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</si>
  <si>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</si>
  <si>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</si>
  <si>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</si>
  <si>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</si>
  <si>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</si>
  <si>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</si>
  <si>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</si>
  <si>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</si>
  <si>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</si>
  <si>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</si>
  <si>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</si>
  <si>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</si>
  <si>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</si>
  <si>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</si>
  <si>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</si>
  <si>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</si>
  <si>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</si>
  <si>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</si>
  <si>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</si>
  <si>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</si>
  <si>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</si>
  <si>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</si>
  <si>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</si>
  <si>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</si>
  <si>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</si>
  <si>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</si>
  <si>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</si>
  <si>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</si>
  <si>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</si>
  <si>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</si>
  <si>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</si>
  <si>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</si>
  <si>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</si>
  <si>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</si>
  <si>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</si>
  <si>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</si>
  <si>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</si>
  <si>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</si>
  <si>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</si>
  <si>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</si>
  <si>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</si>
  <si>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</si>
  <si>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</si>
  <si>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</si>
  <si>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</si>
  <si>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</si>
  <si>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</si>
  <si>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</si>
  <si>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</si>
  <si>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</si>
  <si>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</si>
  <si>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</si>
  <si>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</si>
  <si>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</si>
  <si>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</si>
  <si>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</si>
  <si>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</si>
  <si>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</si>
  <si>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</si>
  <si>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</si>
  <si>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</si>
  <si>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</si>
  <si>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</si>
  <si>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</si>
  <si>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</si>
  <si>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</si>
  <si>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</si>
  <si>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</si>
  <si>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</si>
  <si>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</si>
  <si>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</si>
  <si>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</si>
  <si>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</si>
  <si>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</si>
  <si>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</si>
  <si>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</si>
  <si>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</si>
  <si>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</si>
  <si>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</si>
  <si>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</si>
  <si>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</si>
  <si>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</si>
  <si>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</si>
  <si>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</si>
  <si>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</si>
  <si>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</si>
  <si>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</si>
  <si>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</si>
  <si>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</si>
  <si>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</si>
  <si>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</si>
  <si>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</si>
  <si>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</si>
  <si>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</si>
  <si>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</si>
  <si>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</si>
  <si>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</si>
  <si>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</si>
  <si>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</si>
  <si>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</si>
  <si>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</si>
  <si>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</si>
  <si>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</si>
  <si>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</si>
  <si>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</si>
  <si>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</si>
  <si>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</si>
  <si>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</si>
  <si>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</si>
  <si>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</si>
  <si>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</si>
  <si>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</si>
  <si>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</si>
  <si>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</si>
  <si>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</si>
  <si>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</si>
  <si>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</si>
  <si>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</si>
  <si>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</si>
  <si>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</si>
  <si>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</si>
  <si>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</si>
  <si>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</si>
  <si>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</si>
  <si>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</si>
  <si>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</si>
  <si>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</si>
  <si>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</si>
  <si>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</si>
  <si>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</si>
  <si>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</si>
  <si>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</si>
  <si>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</si>
  <si>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</si>
  <si>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</si>
  <si>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</si>
  <si>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</si>
  <si>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</si>
  <si>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</si>
  <si>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</si>
  <si>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</si>
  <si>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</si>
  <si>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</si>
  <si>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</si>
  <si>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</si>
  <si>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</si>
  <si>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</si>
  <si>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</si>
  <si>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</si>
  <si>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</si>
  <si>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</si>
  <si>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</si>
  <si>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</si>
  <si>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</si>
  <si>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</si>
  <si>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</si>
  <si>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</si>
  <si>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</si>
  <si>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</si>
  <si>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</si>
  <si>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</si>
  <si>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</si>
  <si>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</si>
  <si>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</si>
  <si>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</si>
  <si>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</si>
  <si>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</si>
  <si>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</si>
  <si>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</si>
  <si>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</si>
  <si>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</si>
  <si>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</si>
  <si>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</si>
  <si>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</si>
  <si>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</si>
  <si>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</si>
  <si>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</si>
  <si>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</si>
  <si>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</si>
  <si>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</si>
  <si>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</si>
  <si>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</si>
  <si>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</si>
  <si>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</si>
  <si>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</si>
  <si>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</si>
  <si>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</si>
  <si>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</si>
  <si>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</si>
  <si>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</si>
  <si>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</si>
  <si>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</si>
  <si>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</si>
  <si>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</si>
  <si>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</si>
  <si>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</si>
  <si>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</si>
  <si>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</si>
  <si>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</si>
  <si>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</si>
  <si>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</si>
  <si>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</si>
  <si>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</si>
  <si>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</si>
  <si>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</si>
  <si>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</si>
  <si>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</si>
  <si>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</si>
  <si>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</si>
  <si>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</si>
  <si>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</si>
  <si>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</si>
  <si>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</si>
  <si>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</si>
  <si>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</si>
  <si>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</si>
  <si>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</si>
  <si>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</si>
  <si>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</si>
  <si>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</si>
  <si>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</si>
  <si>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</si>
  <si>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</si>
  <si>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</si>
  <si>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</si>
  <si>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</si>
  <si>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</si>
  <si>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</si>
  <si>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</si>
  <si>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</si>
  <si>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</si>
  <si>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</si>
  <si>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</si>
  <si>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</si>
  <si>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</si>
  <si>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</si>
  <si>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</si>
  <si>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</si>
  <si>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</si>
  <si>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</si>
  <si>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</si>
  <si>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</si>
  <si>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</si>
  <si>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</si>
  <si>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</si>
  <si>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</si>
  <si>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</si>
  <si>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</si>
  <si>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</si>
  <si>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</si>
  <si>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</si>
  <si>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</si>
  <si>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</si>
  <si>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</si>
  <si>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</si>
  <si>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</si>
  <si>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</si>
  <si>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</si>
  <si>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</si>
  <si>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</si>
  <si>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</si>
  <si>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</si>
  <si>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</si>
  <si>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</si>
  <si>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</si>
  <si>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</si>
  <si>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</si>
  <si>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</si>
  <si>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</si>
  <si>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</si>
  <si>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</si>
  <si>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</si>
  <si>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</si>
  <si>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</si>
  <si>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</si>
  <si>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</si>
  <si>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</si>
  <si>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</si>
  <si>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</si>
  <si>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</si>
  <si>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</si>
  <si>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</si>
  <si>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</si>
  <si>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</si>
  <si>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</si>
  <si>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</si>
  <si>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</si>
  <si>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</si>
  <si>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</si>
  <si>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</si>
  <si>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</si>
  <si>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</si>
  <si>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</si>
  <si>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</si>
  <si>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</si>
  <si>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</si>
  <si>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</si>
  <si>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</si>
  <si>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</si>
  <si>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</si>
  <si>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</si>
  <si>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</si>
  <si>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</si>
  <si>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</si>
  <si>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</si>
  <si>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</si>
  <si>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</si>
  <si>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</si>
  <si>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</si>
  <si>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</si>
  <si>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</si>
  <si>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</si>
  <si>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</si>
  <si>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</si>
  <si>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</si>
  <si>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</si>
  <si>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</si>
  <si>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</si>
  <si>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</si>
  <si>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</si>
  <si>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</si>
  <si>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</si>
  <si>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</si>
  <si>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</si>
  <si>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</si>
  <si>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</si>
  <si>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</si>
  <si>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</si>
  <si>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</si>
  <si>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</si>
  <si>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</si>
  <si>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</si>
  <si>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</si>
  <si>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</si>
  <si>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</si>
  <si>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</si>
  <si>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</si>
  <si>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</si>
  <si>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</si>
  <si>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</si>
  <si>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</si>
  <si>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</si>
  <si>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</si>
  <si>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</si>
  <si>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</si>
  <si>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</si>
  <si>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</si>
  <si>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</si>
  <si>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</si>
  <si>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</si>
  <si>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</si>
  <si>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</si>
  <si>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</si>
  <si>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</si>
  <si>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</si>
  <si>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</si>
  <si>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</si>
  <si>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</si>
  <si>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</si>
  <si>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</si>
  <si>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</si>
  <si>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</si>
  <si>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</si>
  <si>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</si>
  <si>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</si>
  <si>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</si>
  <si>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</si>
  <si>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</si>
  <si>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</si>
  <si>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</si>
  <si>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</si>
  <si>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</si>
  <si>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</si>
  <si>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</si>
  <si>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</si>
  <si>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</si>
  <si>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</si>
  <si>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</si>
  <si>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</si>
  <si>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</si>
  <si>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</si>
  <si>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</si>
  <si>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</si>
  <si>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</si>
  <si>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</si>
  <si>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</si>
  <si>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</si>
  <si>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</si>
  <si>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</si>
  <si>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</si>
  <si>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</si>
  <si>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</si>
  <si>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</si>
  <si>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</si>
  <si>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</si>
  <si>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</si>
  <si>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</si>
  <si>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</si>
  <si>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</si>
  <si>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</si>
  <si>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</si>
  <si>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</si>
  <si>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</si>
  <si>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</si>
  <si>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</si>
  <si>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</si>
  <si>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</si>
  <si>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</si>
  <si>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</si>
  <si>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</si>
  <si>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</si>
  <si>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</si>
  <si>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</si>
  <si>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</si>
  <si>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</si>
  <si>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</si>
  <si>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</si>
  <si>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</si>
  <si>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</si>
  <si>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</si>
  <si>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</si>
  <si>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</si>
  <si>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</si>
  <si>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</si>
  <si>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</si>
  <si>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</si>
  <si>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</si>
  <si>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</si>
  <si>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</si>
  <si>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</si>
  <si>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</si>
  <si>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</si>
  <si>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</si>
  <si>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</si>
  <si>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</si>
  <si>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</si>
  <si>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</si>
  <si>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</si>
  <si>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</si>
  <si>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</si>
  <si>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</si>
  <si>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</si>
  <si>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</si>
  <si>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</si>
  <si>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</si>
  <si>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</si>
  <si>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</si>
  <si>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</si>
  <si>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</si>
  <si>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</si>
  <si>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</si>
  <si>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</si>
  <si>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</si>
  <si>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</si>
  <si>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</si>
  <si>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</si>
  <si>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</si>
  <si>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</si>
  <si>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</si>
  <si>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</si>
  <si>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</si>
  <si>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</si>
  <si>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</si>
  <si>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</si>
  <si>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</si>
  <si>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</si>
  <si>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</si>
  <si>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</si>
  <si>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</si>
  <si>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</si>
  <si>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</si>
  <si>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</si>
  <si>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</si>
  <si>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</si>
  <si>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</si>
  <si>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</si>
  <si>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</si>
  <si>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</si>
  <si>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</si>
  <si>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</si>
  <si>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</si>
  <si>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</si>
  <si>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</si>
  <si>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</si>
  <si>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</si>
  <si>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</si>
  <si>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</si>
  <si>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</si>
  <si>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</si>
  <si>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</si>
  <si>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</si>
  <si>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</si>
  <si>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</si>
  <si>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</si>
  <si>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</si>
  <si>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</si>
  <si>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</si>
  <si>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</si>
  <si>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</si>
  <si>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</si>
  <si>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</si>
  <si>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</si>
  <si>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</si>
  <si>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</si>
  <si>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</si>
  <si>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</si>
  <si>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</si>
  <si>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</si>
  <si>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</si>
  <si>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</si>
  <si>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</si>
  <si>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</si>
  <si>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</si>
  <si>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</si>
  <si>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</si>
  <si>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</si>
  <si>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</si>
  <si>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</si>
  <si>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</si>
  <si>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</si>
  <si>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</si>
  <si>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</si>
  <si>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</si>
  <si>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</si>
  <si>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</si>
  <si>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</si>
  <si>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</si>
  <si>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</si>
  <si>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</si>
  <si>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</si>
  <si>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</si>
  <si>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</si>
  <si>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</si>
  <si>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</si>
  <si>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</si>
  <si>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</si>
  <si>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</si>
  <si>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</si>
  <si>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</si>
  <si>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</si>
  <si>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</si>
  <si>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</si>
  <si>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</si>
  <si>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</si>
  <si>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</si>
  <si>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</si>
  <si>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</si>
  <si>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</si>
  <si>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</si>
  <si>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</si>
  <si>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</si>
  <si>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</si>
  <si>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</si>
  <si>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</si>
  <si>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</si>
  <si>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</si>
  <si>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</si>
  <si>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</si>
  <si>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</si>
  <si>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</si>
  <si>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</si>
  <si>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</si>
  <si>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</si>
  <si>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</si>
  <si>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</si>
  <si>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</si>
  <si>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</si>
  <si>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</si>
  <si>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</si>
  <si>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</si>
  <si>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</si>
  <si>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</si>
  <si>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</si>
  <si>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</si>
  <si>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</si>
  <si>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</si>
  <si>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</si>
  <si>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</si>
  <si>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</si>
  <si>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</si>
  <si>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</si>
  <si>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</si>
  <si>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</si>
  <si>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</si>
  <si>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</si>
  <si>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</si>
  <si>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</si>
  <si>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</si>
  <si>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</si>
  <si>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</si>
  <si>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</si>
  <si>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</si>
  <si>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</si>
  <si>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</si>
  <si>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</si>
  <si>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</si>
  <si>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</si>
  <si>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</si>
  <si>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</si>
  <si>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</si>
  <si>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</si>
  <si>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</si>
  <si>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</si>
  <si>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</si>
  <si>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</si>
  <si>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</si>
  <si>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</si>
  <si>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</si>
  <si>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</si>
  <si>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</si>
  <si>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</si>
  <si>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</si>
  <si>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</si>
  <si>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</si>
  <si>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</si>
  <si>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</si>
  <si>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</si>
  <si>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</si>
  <si>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</si>
  <si>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</si>
  <si>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</si>
  <si>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</si>
  <si>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</si>
  <si>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</si>
  <si>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</si>
  <si>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</si>
  <si>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</si>
  <si>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</si>
  <si>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</si>
  <si>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</si>
  <si>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</si>
  <si>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</si>
  <si>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</si>
  <si>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</si>
  <si>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</si>
  <si>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</si>
  <si>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</si>
  <si>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</si>
  <si>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</si>
  <si>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</si>
  <si>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</si>
  <si>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</si>
  <si>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</si>
  <si>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</si>
  <si>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</si>
  <si>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</si>
  <si>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</si>
  <si>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</si>
  <si>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</si>
  <si>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</si>
  <si>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</si>
  <si>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</si>
  <si>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</si>
  <si>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</si>
  <si>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</si>
  <si>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</si>
  <si>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</si>
  <si>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</si>
  <si>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</si>
  <si>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</si>
  <si>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</si>
  <si>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</si>
  <si>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</si>
  <si>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</si>
  <si>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</si>
  <si>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</si>
  <si>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</si>
  <si>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</si>
  <si>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</si>
  <si>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</si>
  <si>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</si>
  <si>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</si>
  <si>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</si>
  <si>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</si>
  <si>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</si>
  <si>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</si>
  <si>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</si>
  <si>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</si>
  <si>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</si>
  <si>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</si>
  <si>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</si>
  <si>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</si>
  <si>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</si>
  <si>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</si>
  <si>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</si>
  <si>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</si>
  <si>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</si>
  <si>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</si>
  <si>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</si>
  <si>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</si>
  <si>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</si>
  <si>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</si>
  <si>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</si>
  <si>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</si>
  <si>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</si>
  <si>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</si>
  <si>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</si>
  <si>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</si>
  <si>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</si>
  <si>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</si>
  <si>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</si>
  <si>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</si>
  <si>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</si>
  <si>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</si>
  <si>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</si>
  <si>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</si>
  <si>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</si>
  <si>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</si>
  <si>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</si>
  <si>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</si>
  <si>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</si>
  <si>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</si>
  <si>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</si>
  <si>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</si>
  <si>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</si>
  <si>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</si>
  <si>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</si>
  <si>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</si>
  <si>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</si>
  <si>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</si>
  <si>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</si>
  <si>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</si>
  <si>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</si>
  <si>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</si>
  <si>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</si>
  <si>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</si>
  <si>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</si>
  <si>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</si>
  <si>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</si>
  <si>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</si>
  <si>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</si>
  <si>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</si>
  <si>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</si>
  <si>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</si>
  <si>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</si>
  <si>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</si>
  <si>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</si>
  <si>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</si>
  <si>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</si>
  <si>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</si>
  <si>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</si>
  <si>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</si>
  <si>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</si>
  <si>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</si>
  <si>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</si>
  <si>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</si>
  <si>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</si>
  <si>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</si>
  <si>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</si>
  <si>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</si>
  <si>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</si>
  <si>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</si>
  <si>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</si>
  <si>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</si>
  <si>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</si>
  <si>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</si>
  <si>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</si>
  <si>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</si>
  <si>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</si>
  <si>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</si>
  <si>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</si>
  <si>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</si>
  <si>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</si>
  <si>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</si>
  <si>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</si>
  <si>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</si>
  <si>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</si>
  <si>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</si>
  <si>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</si>
  <si>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</si>
  <si>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</si>
  <si>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</si>
  <si>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</si>
  <si>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</si>
  <si>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</si>
  <si>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</si>
  <si>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</si>
  <si>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</si>
  <si>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</si>
  <si>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</si>
  <si>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</si>
  <si>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</si>
  <si>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</si>
  <si>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</si>
  <si>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</si>
  <si>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</si>
  <si>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</si>
  <si>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</si>
  <si>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</si>
  <si>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</si>
  <si>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</si>
  <si>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</si>
  <si>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</si>
  <si>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</si>
  <si>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</si>
  <si>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</si>
  <si>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</si>
  <si>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</si>
  <si>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</si>
  <si>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</si>
  <si>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</si>
  <si>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</si>
  <si>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</si>
  <si>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</si>
  <si>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</si>
  <si>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</si>
  <si>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</si>
  <si>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</si>
  <si>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</si>
  <si>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</si>
  <si>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</si>
  <si>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</si>
  <si>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</si>
  <si>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</si>
  <si>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</si>
  <si>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</si>
  <si>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</si>
  <si>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</si>
  <si>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</si>
  <si>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</si>
  <si>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</si>
  <si>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</si>
  <si>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</si>
  <si>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</si>
  <si>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</si>
  <si>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</si>
  <si>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</si>
  <si>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</si>
  <si>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</si>
  <si>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</si>
  <si>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</si>
  <si>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</si>
  <si>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</si>
  <si>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</si>
  <si>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</si>
  <si>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</si>
  <si>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</si>
  <si>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</si>
  <si>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</si>
  <si>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</si>
  <si>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</si>
  <si>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</si>
  <si>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</si>
  <si>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</si>
  <si>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</si>
  <si>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</si>
  <si>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</si>
  <si>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</si>
  <si>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</si>
  <si>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</si>
  <si>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</si>
  <si>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</si>
  <si>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</si>
  <si>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</si>
  <si>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</si>
  <si>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</si>
  <si>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</si>
  <si>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</si>
  <si>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</si>
  <si>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</si>
  <si>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</si>
  <si>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</si>
  <si>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</si>
  <si>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</si>
  <si>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</si>
  <si>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</si>
  <si>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</si>
  <si>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</si>
  <si>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</si>
  <si>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</si>
  <si>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</si>
  <si>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</si>
  <si>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</si>
  <si>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</si>
  <si>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</si>
  <si>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</si>
  <si>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</si>
  <si>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</si>
  <si>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</si>
  <si>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</si>
  <si>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</si>
  <si>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</si>
  <si>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</si>
  <si>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</si>
  <si>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</si>
  <si>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</si>
  <si>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</si>
  <si>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</si>
  <si>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</si>
  <si>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</si>
  <si>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</si>
  <si>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</si>
  <si>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</si>
  <si>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</si>
  <si>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</si>
  <si>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</si>
  <si>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</si>
  <si>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</si>
  <si>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</si>
  <si>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</si>
  <si>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</si>
  <si>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</si>
  <si>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</si>
  <si>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</si>
  <si>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</si>
  <si>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</si>
  <si>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</si>
  <si>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</si>
  <si>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</si>
  <si>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</si>
  <si>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</si>
  <si>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</si>
  <si>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</si>
  <si>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</si>
  <si>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</si>
  <si>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</si>
  <si>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</si>
  <si>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</si>
  <si>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</si>
  <si>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</si>
  <si>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</si>
  <si>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</si>
  <si>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</si>
  <si>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</si>
  <si>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</si>
  <si>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</si>
  <si>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</si>
  <si>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</si>
  <si>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</si>
  <si>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</si>
  <si>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</si>
  <si>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</si>
  <si>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</si>
  <si>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</si>
  <si>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</si>
  <si>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</si>
  <si>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</si>
  <si>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</si>
  <si>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</si>
  <si>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</si>
  <si>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</si>
  <si>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</si>
  <si>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</si>
  <si>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</si>
  <si>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</si>
  <si>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</si>
  <si>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</si>
  <si>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</si>
  <si>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</si>
  <si>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</si>
  <si>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</si>
  <si>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</si>
  <si>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</si>
  <si>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</si>
  <si>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</si>
  <si>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</si>
  <si>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</si>
  <si>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</si>
  <si>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</si>
  <si>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</si>
  <si>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</si>
  <si>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</si>
  <si>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</si>
  <si>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</si>
  <si>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</si>
  <si>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</si>
  <si>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</si>
  <si>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</si>
  <si>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</si>
  <si>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</si>
  <si>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</si>
  <si>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</si>
  <si>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</si>
  <si>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</si>
  <si>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</si>
  <si>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</si>
  <si>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</si>
  <si>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</si>
  <si>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</si>
  <si>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</si>
  <si>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</si>
  <si>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</si>
  <si>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</si>
  <si>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</si>
  <si>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</si>
  <si>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</si>
  <si>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</si>
  <si>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</si>
  <si>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</si>
  <si>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</si>
  <si>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</si>
  <si>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</si>
  <si>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</si>
  <si>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</si>
  <si>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</si>
  <si>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</si>
  <si>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</si>
  <si>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</si>
  <si>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</si>
  <si>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</si>
  <si>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</si>
  <si>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</si>
  <si>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</si>
  <si>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</si>
  <si>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</si>
  <si>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</si>
  <si>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</si>
  <si>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</si>
  <si>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</si>
  <si>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</si>
  <si>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</si>
  <si>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</si>
  <si>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</si>
  <si>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</si>
  <si>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 xml:space="preserve"> </t>
    <phoneticPr fontId="20" type="noConversion"/>
  </si>
  <si>
    <t>毛坯</t>
    <phoneticPr fontId="20" type="noConversion"/>
  </si>
  <si>
    <t>出让国有建设用地使用权价值</t>
  </si>
  <si>
    <t>512-516</t>
  </si>
  <si>
    <t>2016年</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</si>
</sst>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53"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41" xfId="1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6.2" thickBot="1">
      <c r="A5" s="1685" t="s">
        <v>1105</v>
      </c>
      <c r="B5" s="1670" t="str">
        <f>'预评函-封皮'!B21</f>
        <v>康正预评字号</v>
      </c>
    </row>
    <row r="6" spans="1:2" s="1683" customFormat="1" ht="16.2"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估价对象为北京市房地产，为北京丰联广场大厦有限公司所有。根据《不动产权证书》[]，估价对象建筑面积为1763.41平方米，（分摊）出让国有建设用地使用权面积为202.08平方米。估价对象用途为办公。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本次评估采用的主估价方法为基准地价系数修正法和成本法。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1763.4099999999999</v>
      </c>
    </row>
    <row r="19" spans="1:2">
      <c r="A19" s="1684" t="s">
        <v>1119</v>
      </c>
      <c r="B19" s="1671">
        <f ca="1">'预评函-2（1）'!D7</f>
        <v>6078</v>
      </c>
    </row>
    <row r="20" spans="1:2">
      <c r="A20" s="1684" t="s">
        <v>1157</v>
      </c>
      <c r="B20" s="1671" t="str">
        <f>'预评函-2（1）'!C7</f>
        <v>总价（万元）</v>
      </c>
    </row>
    <row r="21" spans="1:2">
      <c r="A21" s="1684" t="s">
        <v>1120</v>
      </c>
      <c r="B21" s="1671">
        <f ca="1">'预评函-2（1）'!D9</f>
        <v>34467</v>
      </c>
    </row>
    <row r="22" spans="1:2">
      <c r="A22" s="1684" t="s">
        <v>1121</v>
      </c>
      <c r="B22" s="1671" t="str">
        <f ca="1">'预评函-2（1）'!D8</f>
        <v>陆仟零柒拾捌万元整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6078</v>
      </c>
    </row>
    <row r="30" spans="1:2">
      <c r="A30" s="1684" t="s">
        <v>1127</v>
      </c>
      <c r="B30" s="1671" t="str">
        <f ca="1">'预评函-2（1）'!D16</f>
        <v>陆仟零柒拾捌万元整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202.08</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6.2" thickBot="1">
      <c r="A55" s="1685" t="s">
        <v>1151</v>
      </c>
      <c r="B55" s="1673">
        <f ca="1">'预评函-3'!B5</f>
        <v>1120070131</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1251</v>
      </c>
      <c r="B62" s="1671">
        <f ca="1">'预评函-2（1）'!D38</f>
        <v>34467</v>
      </c>
    </row>
    <row r="63" spans="1:2" s="1683" customFormat="1" ht="31.2">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E3" sqref="E3"/>
    </sheetView>
  </sheetViews>
  <sheetFormatPr defaultColWidth="10" defaultRowHeight="13.2"/>
  <cols>
    <col min="1" max="1" width="18.6640625" style="1054" customWidth="1"/>
    <col min="2" max="2" width="15" style="1054" customWidth="1"/>
    <col min="3" max="3" width="14.109375" style="1054" customWidth="1"/>
    <col min="4" max="4" width="12.44140625" style="1054" customWidth="1"/>
    <col min="5" max="5" width="13.88671875" style="1054" customWidth="1"/>
    <col min="6" max="6" width="15" style="1054" customWidth="1"/>
    <col min="7" max="7" width="14.88671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8"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8" thickTop="1">
      <c r="A2" s="1978" t="s">
        <v>1539</v>
      </c>
      <c r="B2" s="1071">
        <v>43874</v>
      </c>
      <c r="C2" s="1979" t="s">
        <v>1540</v>
      </c>
      <c r="D2" s="1071">
        <f>B2</f>
        <v>43874</v>
      </c>
      <c r="E2" s="1047"/>
      <c r="F2" s="1047"/>
      <c r="G2" s="1665"/>
      <c r="H2" s="1004"/>
    </row>
    <row r="3" spans="1:10" ht="13.8"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ht="24">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7" thickBot="1">
      <c r="A7" s="1980" t="s">
        <v>1549</v>
      </c>
      <c r="B7" s="1995" t="s">
        <v>2833</v>
      </c>
      <c r="C7" s="1996" t="str">
        <f>IF(B7="自然人","姓名","名称")</f>
        <v>名称</v>
      </c>
      <c r="D7" s="1997" t="str">
        <f>B4</f>
        <v>北京丰联广场大厦有限公司</v>
      </c>
      <c r="E7" s="1051"/>
      <c r="F7" s="1050"/>
      <c r="G7" s="1666"/>
    </row>
    <row r="8" spans="1:10" ht="13.8" thickTop="1">
      <c r="A8" s="2857" t="s">
        <v>1550</v>
      </c>
      <c r="B8" s="1998" t="s">
        <v>1551</v>
      </c>
      <c r="C8" s="2869" t="s">
        <v>2834</v>
      </c>
      <c r="D8" s="2870"/>
      <c r="E8" s="1999" t="s">
        <v>1552</v>
      </c>
      <c r="F8" s="2000" t="s">
        <v>1553</v>
      </c>
      <c r="G8" s="686" t="str">
        <f>C6</f>
        <v>XX</v>
      </c>
    </row>
    <row r="9" spans="1:10" ht="26.4">
      <c r="A9" s="2857"/>
      <c r="B9" s="340" t="s">
        <v>1554</v>
      </c>
      <c r="C9" s="2737" t="s">
        <v>2836</v>
      </c>
      <c r="D9" s="2001" t="s">
        <v>2837</v>
      </c>
      <c r="E9" s="996" t="s">
        <v>1555</v>
      </c>
      <c r="F9" s="983" t="s">
        <v>161</v>
      </c>
      <c r="G9" s="998"/>
    </row>
    <row r="10" spans="1:10" ht="13.8" thickBot="1">
      <c r="A10" s="2857"/>
      <c r="B10" s="340" t="s">
        <v>1556</v>
      </c>
      <c r="C10" s="2871" t="s">
        <v>2838</v>
      </c>
      <c r="D10" s="2872"/>
      <c r="E10" s="2002" t="s">
        <v>1557</v>
      </c>
      <c r="F10" s="999"/>
      <c r="G10" s="1000"/>
    </row>
    <row r="11" spans="1:10" ht="13.8" thickBot="1">
      <c r="A11" s="2857"/>
      <c r="B11" s="2003" t="s">
        <v>1558</v>
      </c>
      <c r="C11" s="2873" t="s">
        <v>2840</v>
      </c>
      <c r="D11" s="2874"/>
      <c r="E11" s="1006"/>
      <c r="F11" s="1005"/>
      <c r="G11" s="1057"/>
    </row>
    <row r="12" spans="1:10" ht="24.6" thickBot="1">
      <c r="A12" s="2860" t="s">
        <v>1559</v>
      </c>
      <c r="B12" s="2004" t="s">
        <v>1560</v>
      </c>
      <c r="C12" s="2738">
        <f>B35</f>
        <v>1763.4099999999999</v>
      </c>
      <c r="D12" s="2004" t="s">
        <v>1561</v>
      </c>
      <c r="E12" s="2005" t="s">
        <v>1562</v>
      </c>
      <c r="F12" s="2006" t="s">
        <v>1563</v>
      </c>
      <c r="G12" s="1057"/>
    </row>
    <row r="13" spans="1:10" ht="21" customHeight="1" thickBot="1">
      <c r="A13" s="2861"/>
      <c r="B13" s="2007" t="s">
        <v>1564</v>
      </c>
      <c r="C13" s="2739">
        <f>ROUND(C12/93222.79*10682.89,2)</f>
        <v>202.08</v>
      </c>
      <c r="D13" s="2007" t="s">
        <v>1565</v>
      </c>
      <c r="E13" s="2008" t="s">
        <v>1562</v>
      </c>
      <c r="F13" s="1005"/>
      <c r="G13" s="1057"/>
      <c r="I13" s="2847"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0"/>
      <c r="B14" s="2011" t="s">
        <v>1567</v>
      </c>
      <c r="C14" s="2740" t="str">
        <f>C9</f>
        <v>办公</v>
      </c>
      <c r="D14" s="1005"/>
      <c r="E14" s="1005"/>
      <c r="F14" s="1005"/>
      <c r="G14" s="1057"/>
      <c r="I14" s="2847"/>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2"/>
      <c r="B15" s="2013" t="s">
        <v>1568</v>
      </c>
      <c r="C15" s="1052"/>
      <c r="D15" s="1050"/>
      <c r="E15" s="1050"/>
      <c r="F15" s="1050"/>
      <c r="G15" s="1666"/>
      <c r="I15" s="2847"/>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75" t="s">
        <v>1573</v>
      </c>
      <c r="C17" s="2876"/>
      <c r="D17" s="2877" t="s">
        <v>1574</v>
      </c>
      <c r="E17" s="2878"/>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6" thickBot="1">
      <c r="A23" s="2038"/>
      <c r="B23" s="2039" t="s">
        <v>1583</v>
      </c>
      <c r="C23" s="2040"/>
      <c r="D23" s="2039" t="s">
        <v>1584</v>
      </c>
      <c r="E23" s="2041"/>
      <c r="F23" s="1005"/>
      <c r="G23" s="1849"/>
      <c r="H23" s="2042"/>
      <c r="I23" s="1848"/>
      <c r="K23" s="1846"/>
      <c r="L23" s="1846"/>
      <c r="M23" s="1846"/>
      <c r="O23" s="1848"/>
    </row>
    <row r="24" spans="1:15" ht="13.8" thickBot="1">
      <c r="A24" s="1055" t="s">
        <v>1585</v>
      </c>
      <c r="B24" s="1005"/>
      <c r="C24" s="1005"/>
      <c r="D24" s="1005"/>
      <c r="E24" s="1005"/>
      <c r="F24" s="1005"/>
      <c r="G24" s="1850"/>
      <c r="I24" s="1054"/>
      <c r="K24" s="1054"/>
    </row>
    <row r="25" spans="1:15" s="1064" customFormat="1" ht="13.8" thickBot="1">
      <c r="A25" s="982"/>
      <c r="B25" s="2043" t="s">
        <v>1586</v>
      </c>
      <c r="C25" s="982"/>
      <c r="D25" s="1001"/>
      <c r="E25" s="1002" t="s">
        <v>1587</v>
      </c>
      <c r="F25" s="982"/>
      <c r="G25" s="2044" t="s">
        <v>1588</v>
      </c>
      <c r="L25" s="1065"/>
      <c r="M25" s="1065"/>
      <c r="O25" s="1066"/>
    </row>
    <row r="26" spans="1:15" s="1064" customFormat="1" ht="13.8" thickBot="1">
      <c r="A26" s="982"/>
      <c r="B26" s="1072" t="s">
        <v>2847</v>
      </c>
      <c r="C26" s="982"/>
      <c r="D26" s="1001"/>
      <c r="E26" s="1072"/>
      <c r="F26" s="982"/>
      <c r="G26" s="1667"/>
      <c r="L26" s="1065"/>
      <c r="M26" s="1065"/>
      <c r="O26" s="1066"/>
    </row>
    <row r="27" spans="1:15" ht="37.200000000000003">
      <c r="A27" s="993" t="s">
        <v>1589</v>
      </c>
      <c r="B27" s="990" t="s">
        <v>2842</v>
      </c>
      <c r="C27" s="2863" t="s">
        <v>1589</v>
      </c>
      <c r="D27" s="2864"/>
      <c r="E27" s="990"/>
      <c r="F27" s="997" t="s">
        <v>1589</v>
      </c>
      <c r="G27" s="990"/>
      <c r="I27" s="1054"/>
      <c r="K27" s="1054"/>
    </row>
    <row r="28" spans="1:15" ht="24">
      <c r="A28" s="994" t="s">
        <v>1590</v>
      </c>
      <c r="B28" s="2741" t="s">
        <v>2843</v>
      </c>
      <c r="C28" s="2865" t="s">
        <v>1591</v>
      </c>
      <c r="D28" s="2866"/>
      <c r="E28" s="966"/>
      <c r="F28" s="1874" t="s">
        <v>1591</v>
      </c>
      <c r="G28" s="966"/>
      <c r="I28" s="1054"/>
      <c r="K28" s="1054"/>
    </row>
    <row r="29" spans="1:15">
      <c r="A29" s="994" t="s">
        <v>1592</v>
      </c>
      <c r="B29" s="966"/>
      <c r="C29" s="2865" t="s">
        <v>1592</v>
      </c>
      <c r="D29" s="2866"/>
      <c r="E29" s="966"/>
      <c r="F29" s="1874" t="s">
        <v>1593</v>
      </c>
      <c r="G29" s="966"/>
      <c r="I29" s="1054"/>
      <c r="K29" s="1054"/>
    </row>
    <row r="30" spans="1:15" ht="24">
      <c r="A30" s="994" t="s">
        <v>1594</v>
      </c>
      <c r="B30" s="2741" t="s">
        <v>2844</v>
      </c>
      <c r="C30" s="2854" t="s">
        <v>1595</v>
      </c>
      <c r="D30" s="2045"/>
      <c r="E30" s="1007" t="str">
        <f>E31&amp;" "&amp;E32&amp;" "&amp;E33&amp;" "&amp;E34</f>
        <v xml:space="preserve">   </v>
      </c>
      <c r="F30" s="1874" t="s">
        <v>1596</v>
      </c>
      <c r="G30" s="966"/>
    </row>
    <row r="31" spans="1:15">
      <c r="A31" s="994" t="s">
        <v>1597</v>
      </c>
      <c r="B31" s="966"/>
      <c r="C31" s="2855"/>
      <c r="D31" s="1873" t="s">
        <v>1598</v>
      </c>
      <c r="E31" s="966"/>
      <c r="F31" s="1874" t="s">
        <v>1599</v>
      </c>
      <c r="G31" s="966"/>
    </row>
    <row r="32" spans="1:15" ht="24.6" thickBot="1">
      <c r="A32" s="995" t="s">
        <v>1600</v>
      </c>
      <c r="B32" s="2742" t="s">
        <v>2845</v>
      </c>
      <c r="C32" s="2855"/>
      <c r="D32" s="1873" t="s">
        <v>1601</v>
      </c>
      <c r="E32" s="966"/>
      <c r="F32" s="1874" t="s">
        <v>1602</v>
      </c>
      <c r="G32" s="966"/>
    </row>
    <row r="33" spans="1:7">
      <c r="A33" s="993" t="s">
        <v>1603</v>
      </c>
      <c r="B33" s="990"/>
      <c r="C33" s="2855"/>
      <c r="D33" s="1873" t="s">
        <v>1604</v>
      </c>
      <c r="E33" s="966"/>
      <c r="F33" s="1874" t="s">
        <v>1605</v>
      </c>
      <c r="G33" s="966"/>
    </row>
    <row r="34" spans="1:7" ht="13.8" thickBot="1">
      <c r="A34" s="994" t="s">
        <v>1606</v>
      </c>
      <c r="B34" s="2741" t="s">
        <v>2846</v>
      </c>
      <c r="C34" s="2856"/>
      <c r="D34" s="1873" t="s">
        <v>1607</v>
      </c>
      <c r="E34" s="966"/>
      <c r="F34" s="1875" t="s">
        <v>1608</v>
      </c>
      <c r="G34" s="992"/>
    </row>
    <row r="35" spans="1:7">
      <c r="A35" s="994" t="s">
        <v>1560</v>
      </c>
      <c r="B35" s="966">
        <f>典型户型修正!B25</f>
        <v>1763.4099999999999</v>
      </c>
      <c r="C35" s="2865" t="s">
        <v>1609</v>
      </c>
      <c r="D35" s="2866"/>
      <c r="E35" s="966"/>
      <c r="F35" s="1003" t="s">
        <v>1610</v>
      </c>
      <c r="G35" s="990"/>
    </row>
    <row r="36" spans="1:7" ht="24.6" thickBot="1">
      <c r="A36" s="994" t="s">
        <v>1611</v>
      </c>
      <c r="B36" s="966"/>
      <c r="C36" s="2867" t="s">
        <v>1612</v>
      </c>
      <c r="D36" s="2868"/>
      <c r="E36" s="991"/>
      <c r="F36" s="1871" t="s">
        <v>1613</v>
      </c>
      <c r="G36" s="966"/>
    </row>
    <row r="37" spans="1:7" ht="13.8" thickBot="1">
      <c r="A37" s="994" t="s">
        <v>1614</v>
      </c>
      <c r="B37" s="966"/>
      <c r="C37" s="2852" t="s">
        <v>1615</v>
      </c>
      <c r="D37" s="2046" t="s">
        <v>1599</v>
      </c>
      <c r="E37" s="990"/>
      <c r="F37" s="1875" t="s">
        <v>1616</v>
      </c>
      <c r="G37" s="991"/>
    </row>
    <row r="38" spans="1:7">
      <c r="A38" s="994" t="s">
        <v>1617</v>
      </c>
      <c r="B38" s="966">
        <v>36</v>
      </c>
      <c r="C38" s="2858"/>
      <c r="D38" s="1873" t="s">
        <v>1606</v>
      </c>
      <c r="E38" s="966"/>
      <c r="F38" s="997" t="s">
        <v>1618</v>
      </c>
      <c r="G38" s="990"/>
    </row>
    <row r="39" spans="1:7">
      <c r="A39" s="994" t="s">
        <v>1619</v>
      </c>
      <c r="B39" s="966">
        <v>5</v>
      </c>
      <c r="C39" s="2858" t="s">
        <v>1620</v>
      </c>
      <c r="D39" s="1873" t="s">
        <v>1560</v>
      </c>
      <c r="E39" s="966"/>
      <c r="F39" s="1874" t="s">
        <v>1621</v>
      </c>
      <c r="G39" s="966"/>
    </row>
    <row r="40" spans="1:7" ht="24.75" customHeight="1" thickBot="1">
      <c r="A40" s="995" t="s">
        <v>1622</v>
      </c>
      <c r="B40" s="991">
        <v>1996</v>
      </c>
      <c r="C40" s="2859"/>
      <c r="D40" s="1876" t="s">
        <v>1564</v>
      </c>
      <c r="E40" s="991"/>
      <c r="F40" s="1875" t="s">
        <v>1623</v>
      </c>
      <c r="G40" s="991"/>
    </row>
    <row r="41" spans="1:7" ht="24">
      <c r="A41" s="996" t="s">
        <v>1624</v>
      </c>
      <c r="B41" s="1043"/>
      <c r="C41" s="2848" t="s">
        <v>1624</v>
      </c>
      <c r="D41" s="2849"/>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8" thickBot="1">
      <c r="A48" s="995" t="s">
        <v>1627</v>
      </c>
      <c r="B48" s="991"/>
      <c r="C48" s="2850" t="s">
        <v>1627</v>
      </c>
      <c r="D48" s="2851"/>
      <c r="E48" s="1039"/>
      <c r="F48" s="1875" t="s">
        <v>1628</v>
      </c>
      <c r="G48" s="991"/>
    </row>
    <row r="49" spans="1:15">
      <c r="A49" s="994" t="s">
        <v>1629</v>
      </c>
      <c r="B49" s="1038"/>
      <c r="C49" s="2852" t="s">
        <v>1630</v>
      </c>
      <c r="D49" s="2853"/>
      <c r="E49" s="2744">
        <v>52629</v>
      </c>
      <c r="F49" s="1067"/>
      <c r="G49" s="1068"/>
    </row>
    <row r="50" spans="1:15" ht="13.8" thickBot="1">
      <c r="A50" s="994" t="s">
        <v>1631</v>
      </c>
      <c r="B50" s="1038"/>
      <c r="C50" s="2859" t="s">
        <v>1632</v>
      </c>
      <c r="D50" s="2862"/>
      <c r="E50" s="991"/>
      <c r="F50" s="1005"/>
      <c r="G50" s="1057"/>
    </row>
    <row r="51" spans="1:15" ht="13.8" thickBot="1">
      <c r="A51" s="994" t="s">
        <v>1610</v>
      </c>
      <c r="B51" s="966"/>
      <c r="C51" s="1005"/>
      <c r="D51" s="1005"/>
      <c r="E51" s="1005"/>
      <c r="F51" s="1005"/>
      <c r="G51" s="1057"/>
    </row>
    <row r="52" spans="1:15" ht="24.6"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46.8">
      <c r="A3" s="2879"/>
      <c r="B3" s="2879"/>
      <c r="C3" s="2879"/>
      <c r="D3" s="2880"/>
      <c r="E3" s="288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D44" sqref="D44"/>
    </sheetView>
  </sheetViews>
  <sheetFormatPr defaultColWidth="13.77734375" defaultRowHeight="13.2"/>
  <cols>
    <col min="1" max="1" width="20.88671875" style="2103" customWidth="1"/>
    <col min="2" max="2" width="16.77734375" style="2051" customWidth="1"/>
    <col min="3" max="3" width="10.77734375" style="2051" customWidth="1"/>
    <col min="4" max="4" width="34.109375" style="2104" customWidth="1"/>
    <col min="5" max="5" width="17.6640625" style="2104" customWidth="1"/>
    <col min="6" max="8" width="9.109375" style="1834" customWidth="1"/>
    <col min="9" max="9" width="15" style="1219" bestFit="1" customWidth="1"/>
    <col min="10" max="14" width="8.88671875" style="1219" customWidth="1"/>
    <col min="15" max="16" width="12.33203125" style="80" customWidth="1"/>
    <col min="17" max="17" width="8.6640625" style="1219" customWidth="1"/>
    <col min="18" max="18" width="12.44140625" style="1219" customWidth="1"/>
    <col min="19" max="19" width="8.44140625" style="1219" customWidth="1"/>
    <col min="20" max="21" width="10.88671875" style="1219" customWidth="1"/>
    <col min="22" max="23" width="12.44140625" style="1219" customWidth="1"/>
    <col min="24" max="24" width="12.109375" style="1219" customWidth="1"/>
    <col min="25" max="25" width="7.44140625" style="1219" customWidth="1"/>
    <col min="26" max="26" width="6.33203125" style="1219" customWidth="1"/>
    <col min="27" max="30" width="6.77734375" style="1219" customWidth="1"/>
    <col min="31" max="32" width="6.77734375" style="2051" customWidth="1"/>
    <col min="33" max="33" width="6.44140625" style="2051" customWidth="1"/>
    <col min="34" max="36" width="7.21875" style="2051" customWidth="1"/>
    <col min="37" max="41" width="8" style="2051" customWidth="1"/>
    <col min="42" max="16384" width="13.77734375" style="2051"/>
  </cols>
  <sheetData>
    <row r="1" spans="1:41" ht="18" thickBot="1">
      <c r="A1" s="2050" t="s">
        <v>1634</v>
      </c>
      <c r="B1" s="1219"/>
      <c r="C1" s="1219"/>
      <c r="D1" s="1834"/>
      <c r="E1" s="1834"/>
      <c r="AE1" s="1219"/>
      <c r="AF1" s="1219"/>
      <c r="AG1" s="1219"/>
      <c r="AH1" s="1219"/>
      <c r="AI1" s="1219"/>
      <c r="AJ1" s="1219"/>
      <c r="AK1" s="1219"/>
      <c r="AL1" s="1219"/>
      <c r="AM1" s="1219"/>
      <c r="AN1" s="1219"/>
      <c r="AO1" s="1219"/>
    </row>
    <row r="2" spans="1:41" s="2055" customFormat="1" ht="15" thickBot="1">
      <c r="A2" s="2052" t="s">
        <v>1635</v>
      </c>
      <c r="B2" s="1191">
        <f>项目基本情况!D2</f>
        <v>43874</v>
      </c>
      <c r="C2" s="1836"/>
      <c r="D2" s="2881"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82"/>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82"/>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 thickBot="1">
      <c r="A5" s="2057" t="s">
        <v>1639</v>
      </c>
      <c r="B5" s="1300">
        <f>项目基本情况!C12</f>
        <v>1763.4099999999999</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 thickBot="1">
      <c r="A6" s="2059" t="s">
        <v>1641</v>
      </c>
      <c r="B6" s="1301">
        <f>项目基本情况!C13</f>
        <v>202.08</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3.8">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3.8">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4.4"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4">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4">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4">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4">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4.4" thickBot="1">
      <c r="A18" s="1836"/>
      <c r="B18" s="1836"/>
      <c r="C18" s="1836"/>
      <c r="D18" s="2077" t="str">
        <f>IF(B25=0,"建安总额","在建建安")</f>
        <v>建安总额</v>
      </c>
      <c r="E18" s="974">
        <f>ROUND(B5*E17*IF(B25=0,1,E20),0)</f>
        <v>6171935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4">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4">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4">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0.02</v>
      </c>
      <c r="F25" s="1833" t="s">
        <v>1679</v>
      </c>
      <c r="I25" s="1834"/>
      <c r="AE25" s="1219"/>
      <c r="AF25" s="1219"/>
      <c r="AG25" s="1219"/>
      <c r="AH25" s="1219"/>
      <c r="AI25" s="1219"/>
      <c r="AJ25" s="1219"/>
      <c r="AK25" s="1219"/>
      <c r="AL25" s="1219"/>
      <c r="AM25" s="1219"/>
      <c r="AN25" s="1219"/>
      <c r="AO25" s="1219"/>
    </row>
    <row r="26" spans="1:41" ht="15" thickBot="1">
      <c r="A26" s="2084" t="s">
        <v>1680</v>
      </c>
      <c r="B26" s="1077">
        <v>1996</v>
      </c>
      <c r="C26" s="1836"/>
      <c r="D26" s="2070" t="s">
        <v>1681</v>
      </c>
      <c r="E26" s="2749">
        <v>0.02</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v>0.1</v>
      </c>
      <c r="G28" s="2054"/>
      <c r="H28" s="2054"/>
      <c r="K28" s="1836"/>
      <c r="N28" s="1836"/>
      <c r="AE28" s="1219"/>
      <c r="AF28" s="1219"/>
      <c r="AG28" s="1219"/>
      <c r="AH28" s="1219"/>
      <c r="AI28" s="1219"/>
      <c r="AJ28" s="1219"/>
      <c r="AK28" s="1219"/>
      <c r="AL28" s="1219"/>
      <c r="AM28" s="1219"/>
      <c r="AN28" s="1219"/>
      <c r="AO28" s="1219"/>
    </row>
    <row r="29" spans="1:41" ht="14.4">
      <c r="A29" s="2069" t="str">
        <f>IF(B28="租赁期内按合同租金","合同租金","市场租金")</f>
        <v>市场租金</v>
      </c>
      <c r="B29" s="29">
        <f>'比较法-办公租金'!C49</f>
        <v>6.8</v>
      </c>
      <c r="C29" s="1219"/>
      <c r="D29" s="2074" t="s">
        <v>1686</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4">
      <c r="A30" s="2069" t="s">
        <v>1687</v>
      </c>
      <c r="B30" s="1401">
        <f ca="1">存贷款利率!I1</f>
        <v>1.4999999999999999E-2</v>
      </c>
      <c r="C30" s="1219"/>
      <c r="D30" s="2088" t="s">
        <v>1688</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4">
      <c r="A31" s="2069" t="s">
        <v>1689</v>
      </c>
      <c r="B31" s="30">
        <v>0.03</v>
      </c>
      <c r="C31" s="1219"/>
      <c r="D31" s="2088" t="s">
        <v>1690</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4">
      <c r="A32" s="2069" t="s">
        <v>1691</v>
      </c>
      <c r="B32" s="30">
        <v>0.1</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4">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4">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4">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4">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4">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4">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4">
      <c r="A44" s="2069" t="s">
        <v>1717</v>
      </c>
      <c r="B44" s="987">
        <v>0.01</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4">
      <c r="A45" s="2069" t="s">
        <v>1719</v>
      </c>
      <c r="B45" s="988">
        <v>2E-3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1.4999999999999999E-2</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4">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4">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4">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4">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3.8">
      <c r="D52" s="2054"/>
      <c r="E52" s="2054"/>
      <c r="F52" s="2054"/>
      <c r="G52" s="2054"/>
      <c r="H52" s="2054"/>
      <c r="I52" s="1836"/>
      <c r="J52" s="1836"/>
      <c r="K52" s="1836"/>
      <c r="L52" s="1836"/>
      <c r="M52" s="1836"/>
      <c r="N52" s="1836"/>
      <c r="O52" s="80"/>
      <c r="P52" s="80"/>
    </row>
    <row r="53" spans="1:41" s="1219" customFormat="1" ht="13.8">
      <c r="D53" s="2054"/>
      <c r="E53" s="2054"/>
      <c r="F53" s="2054"/>
      <c r="G53" s="2054"/>
      <c r="H53" s="2054"/>
      <c r="I53" s="1836"/>
      <c r="J53" s="1836"/>
      <c r="K53" s="1836"/>
      <c r="L53" s="1836"/>
      <c r="M53" s="1836"/>
      <c r="N53" s="1836"/>
      <c r="O53" s="80"/>
      <c r="P53" s="80"/>
    </row>
    <row r="54" spans="1:41" s="1219" customFormat="1" ht="13.8">
      <c r="D54" s="2054"/>
      <c r="E54" s="2054"/>
      <c r="F54" s="2054"/>
      <c r="G54" s="2054"/>
      <c r="H54" s="2054"/>
      <c r="I54" s="1836"/>
      <c r="J54" s="1836"/>
      <c r="K54" s="1836"/>
      <c r="L54" s="1836"/>
      <c r="M54" s="1836"/>
      <c r="N54" s="1836"/>
      <c r="O54" s="80"/>
      <c r="P54" s="80"/>
    </row>
    <row r="55" spans="1:41" s="1219" customFormat="1" ht="13.8">
      <c r="D55" s="2054"/>
      <c r="E55" s="2054"/>
      <c r="F55" s="2054"/>
      <c r="G55" s="2054"/>
      <c r="H55" s="2054"/>
      <c r="I55" s="1836"/>
      <c r="J55" s="1836"/>
      <c r="K55" s="1836"/>
      <c r="L55" s="1836"/>
      <c r="M55" s="1836"/>
      <c r="N55" s="1836"/>
      <c r="O55" s="80"/>
      <c r="P55" s="80"/>
    </row>
    <row r="56" spans="1:41" s="1219" customFormat="1" ht="13.8">
      <c r="D56" s="2054"/>
      <c r="E56" s="2054"/>
      <c r="F56" s="2054"/>
      <c r="G56" s="2054"/>
      <c r="H56" s="2054"/>
      <c r="I56" s="1836"/>
      <c r="J56" s="1836"/>
      <c r="K56" s="1836"/>
      <c r="L56" s="1836"/>
      <c r="M56" s="1836"/>
      <c r="N56" s="1836"/>
      <c r="O56" s="80"/>
      <c r="P56" s="80"/>
    </row>
    <row r="57" spans="1:41" s="1219" customFormat="1" ht="13.8">
      <c r="D57" s="2054"/>
      <c r="E57" s="2054"/>
      <c r="F57" s="2054"/>
      <c r="G57" s="2054"/>
      <c r="H57" s="2054"/>
      <c r="I57" s="1836"/>
      <c r="J57" s="1836"/>
      <c r="K57" s="1836"/>
      <c r="L57" s="1836"/>
      <c r="M57" s="1836"/>
      <c r="N57" s="1836"/>
      <c r="O57" s="80"/>
      <c r="P57" s="80"/>
    </row>
    <row r="58" spans="1:41" s="1219" customFormat="1" ht="13.8">
      <c r="D58" s="2054"/>
      <c r="E58" s="2054"/>
      <c r="F58" s="2054"/>
      <c r="G58" s="2054"/>
      <c r="H58" s="2054"/>
      <c r="I58" s="1836"/>
      <c r="J58" s="1836"/>
      <c r="K58" s="1836"/>
      <c r="L58" s="1836"/>
      <c r="M58" s="1836"/>
      <c r="N58" s="1836"/>
      <c r="O58" s="80"/>
      <c r="P58" s="80"/>
    </row>
    <row r="59" spans="1:41" s="1219" customFormat="1" ht="13.8">
      <c r="D59" s="2054"/>
      <c r="E59" s="2054"/>
      <c r="F59" s="2054"/>
      <c r="G59" s="2054"/>
      <c r="H59" s="2054"/>
      <c r="I59" s="1836"/>
      <c r="J59" s="1836"/>
      <c r="K59" s="1836"/>
      <c r="L59" s="1836"/>
      <c r="M59" s="2101"/>
      <c r="N59" s="1836"/>
      <c r="O59" s="80"/>
      <c r="P59" s="80"/>
    </row>
    <row r="60" spans="1:41" s="1219" customFormat="1" ht="13.8">
      <c r="D60" s="2054"/>
      <c r="E60" s="2054"/>
      <c r="F60" s="2054"/>
      <c r="G60" s="2054"/>
      <c r="H60" s="2054"/>
      <c r="I60" s="1836"/>
      <c r="J60" s="1836"/>
      <c r="K60" s="1836"/>
      <c r="L60" s="1836"/>
      <c r="M60" s="1836"/>
      <c r="N60" s="1836"/>
      <c r="O60" s="80"/>
      <c r="P60" s="80"/>
    </row>
    <row r="61" spans="1:41" s="1219" customFormat="1" ht="13.8">
      <c r="D61" s="2054"/>
      <c r="E61" s="2054"/>
      <c r="F61" s="2054"/>
      <c r="G61" s="2054"/>
      <c r="H61" s="2054"/>
      <c r="I61" s="1836"/>
      <c r="J61" s="1836"/>
      <c r="K61" s="1836"/>
      <c r="L61" s="1836"/>
      <c r="M61" s="1836"/>
      <c r="N61" s="1836"/>
      <c r="O61" s="80"/>
      <c r="P61" s="80"/>
    </row>
    <row r="62" spans="1:41" s="1219" customFormat="1" ht="13.8">
      <c r="D62" s="2054"/>
      <c r="E62" s="2054"/>
      <c r="F62" s="2054"/>
      <c r="G62" s="2054"/>
      <c r="H62" s="2054"/>
      <c r="I62" s="1836"/>
      <c r="J62" s="1836"/>
      <c r="K62" s="1836"/>
      <c r="L62" s="1836"/>
      <c r="M62" s="1836"/>
      <c r="N62" s="1836"/>
      <c r="O62" s="80"/>
      <c r="P62" s="80"/>
    </row>
    <row r="63" spans="1:41" s="1219" customFormat="1" ht="13.8">
      <c r="D63" s="2054"/>
      <c r="E63" s="2054"/>
      <c r="F63" s="2054"/>
      <c r="G63" s="2054"/>
      <c r="H63" s="2054"/>
      <c r="I63" s="1836"/>
      <c r="J63" s="1836"/>
      <c r="K63" s="1836"/>
      <c r="L63" s="1836"/>
      <c r="M63" s="1836"/>
      <c r="N63" s="1836"/>
      <c r="O63" s="80"/>
      <c r="P63" s="80"/>
    </row>
    <row r="64" spans="1:41" s="1219" customFormat="1" ht="13.8">
      <c r="D64" s="2054"/>
      <c r="E64" s="2054"/>
      <c r="F64" s="2054"/>
      <c r="G64" s="2054"/>
      <c r="H64" s="2054"/>
      <c r="I64" s="1836"/>
      <c r="J64" s="1836"/>
      <c r="K64" s="1836"/>
      <c r="L64" s="1836"/>
      <c r="M64" s="1836"/>
      <c r="N64" s="1836"/>
      <c r="O64" s="80"/>
      <c r="P64" s="80"/>
    </row>
    <row r="65" spans="1:16" s="1219" customFormat="1" ht="13.8">
      <c r="D65" s="2054"/>
      <c r="E65" s="2054"/>
      <c r="F65" s="2054"/>
      <c r="G65" s="2054"/>
      <c r="H65" s="2054"/>
      <c r="I65" s="1836"/>
      <c r="J65" s="1836"/>
      <c r="K65" s="1836"/>
      <c r="L65" s="1836"/>
      <c r="M65" s="1836"/>
      <c r="N65" s="1836"/>
      <c r="O65" s="80"/>
      <c r="P65" s="80"/>
    </row>
    <row r="66" spans="1:16" s="1219" customFormat="1" ht="13.8">
      <c r="A66" s="2102"/>
      <c r="D66" s="2054"/>
      <c r="E66" s="2054"/>
      <c r="F66" s="2054"/>
      <c r="G66" s="2054"/>
      <c r="H66" s="2054"/>
      <c r="I66" s="1836"/>
      <c r="J66" s="1836"/>
      <c r="K66" s="1836"/>
      <c r="L66" s="1836"/>
      <c r="M66" s="1836"/>
      <c r="N66" s="1836"/>
      <c r="O66" s="80"/>
      <c r="P66" s="80"/>
    </row>
    <row r="67" spans="1:16" s="1219" customFormat="1" ht="13.8">
      <c r="A67" s="2102"/>
      <c r="D67" s="2054"/>
      <c r="E67" s="2054"/>
      <c r="F67" s="2054"/>
      <c r="G67" s="2054"/>
      <c r="H67" s="2054"/>
      <c r="I67" s="1836"/>
      <c r="J67" s="1836"/>
      <c r="K67" s="1836"/>
      <c r="L67" s="1836"/>
      <c r="M67" s="1836"/>
      <c r="N67" s="1836"/>
      <c r="O67" s="80"/>
      <c r="P67" s="80"/>
    </row>
    <row r="68" spans="1:16" s="1219" customFormat="1" ht="13.8">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3.8"/>
  <cols>
    <col min="1" max="1" width="9.44140625" style="2118" customWidth="1"/>
    <col min="2" max="2" width="24.44140625" style="2168" customWidth="1"/>
    <col min="3" max="3" width="24.44140625" style="2167" customWidth="1"/>
    <col min="4" max="4" width="2.6640625" style="2167" customWidth="1"/>
    <col min="5" max="5" width="5.88671875" style="2167" customWidth="1"/>
    <col min="6" max="6" width="27" style="2168" customWidth="1"/>
    <col min="7" max="7" width="27" style="2169" customWidth="1"/>
    <col min="8" max="8" width="11.88671875" style="2145" customWidth="1"/>
    <col min="9" max="9" width="16.77734375" style="2146" customWidth="1"/>
    <col min="10" max="10" width="2.6640625" style="2145" customWidth="1"/>
    <col min="11" max="11" width="11.88671875" style="2145" customWidth="1"/>
    <col min="12" max="12" width="16.77734375" style="2146" customWidth="1"/>
    <col min="13" max="13" width="2.6640625" style="2145" customWidth="1"/>
    <col min="14" max="14" width="11.88671875" style="2145" customWidth="1"/>
    <col min="15" max="15" width="16.77734375" style="2146" customWidth="1"/>
    <col min="16" max="16" width="2.6640625" style="2145" customWidth="1"/>
    <col min="17" max="17" width="11.88671875" style="2145" customWidth="1"/>
    <col min="18" max="18" width="16.77734375" style="2147" customWidth="1"/>
    <col min="19" max="29" width="9" style="2117"/>
    <col min="30" max="16384" width="9" style="2118"/>
  </cols>
  <sheetData>
    <row r="1" spans="1:29" s="2110" customFormat="1" ht="18" thickBot="1">
      <c r="A1" s="2883" t="s">
        <v>1727</v>
      </c>
      <c r="B1" s="2884"/>
      <c r="C1" s="2884"/>
      <c r="D1" s="2884"/>
      <c r="E1" s="2884"/>
      <c r="F1" s="2884"/>
      <c r="G1" s="2884"/>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 thickBot="1">
      <c r="A2" s="2111"/>
      <c r="B2" s="2112"/>
      <c r="C2" s="2113" t="s">
        <v>1728</v>
      </c>
      <c r="D2" s="2114"/>
      <c r="E2" s="2115"/>
      <c r="F2" s="2116"/>
      <c r="G2" s="2113" t="s">
        <v>1729</v>
      </c>
      <c r="H2" s="2117"/>
      <c r="I2" s="2117"/>
      <c r="J2" s="2117"/>
      <c r="K2" s="2117"/>
      <c r="L2" s="2117"/>
      <c r="M2" s="2117"/>
      <c r="N2" s="2117"/>
      <c r="O2" s="2117"/>
      <c r="P2" s="2117"/>
      <c r="Q2" s="2117"/>
      <c r="R2" s="2117"/>
    </row>
    <row r="3" spans="1:29" ht="57.6">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3.2">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72">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7.6">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8.2"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8.8">
      <c r="A8" s="407"/>
      <c r="B8" s="1867" t="s">
        <v>1743</v>
      </c>
      <c r="C8" s="2763" t="s">
        <v>2861</v>
      </c>
      <c r="D8" s="2128"/>
      <c r="E8" s="2128"/>
      <c r="F8" s="1228"/>
      <c r="G8" s="1228"/>
      <c r="H8" s="2117"/>
      <c r="I8" s="2117"/>
      <c r="J8" s="2117"/>
      <c r="K8" s="2117"/>
      <c r="L8" s="2117"/>
      <c r="M8" s="2117"/>
      <c r="N8" s="2117"/>
      <c r="O8" s="2117"/>
      <c r="P8" s="2117"/>
      <c r="Q8" s="2117"/>
      <c r="R8" s="2117"/>
    </row>
    <row r="9" spans="1:29" ht="72">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9.4"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7.399999999999999">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8" thickBot="1">
      <c r="A13" s="2144" t="s">
        <v>1749</v>
      </c>
      <c r="B13" s="2138"/>
      <c r="C13" s="2138"/>
      <c r="D13" s="2114"/>
      <c r="E13" s="2138"/>
      <c r="F13" s="2138"/>
      <c r="G13" s="2138"/>
    </row>
    <row r="14" spans="1:29" ht="15" thickBot="1">
      <c r="A14" s="2148"/>
      <c r="B14" s="2149"/>
      <c r="C14" s="2150" t="s">
        <v>1750</v>
      </c>
      <c r="D14" s="2121"/>
      <c r="E14" s="2151"/>
      <c r="F14" s="2151"/>
      <c r="G14" s="2113" t="s">
        <v>1751</v>
      </c>
    </row>
    <row r="15" spans="1:29" ht="55.2">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1.4">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69">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5.2">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7.6">
      <c r="A19" s="625"/>
      <c r="B19" s="2157" t="s">
        <v>1756</v>
      </c>
      <c r="C19" s="2158"/>
      <c r="D19" s="2121"/>
      <c r="E19" s="2156"/>
      <c r="F19" s="1867" t="s">
        <v>1740</v>
      </c>
      <c r="G19" s="48" t="str">
        <f>G5</f>
        <v>估价对象所在区域公共配套设施齐备情况</v>
      </c>
    </row>
    <row r="20" spans="1:18" ht="69">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5.2">
      <c r="A21" s="625"/>
      <c r="B21" s="1867" t="s">
        <v>1740</v>
      </c>
      <c r="C21" s="48" t="str">
        <f>C7</f>
        <v>估价对象所在区域银行、购物场所、学校等公共配套设施齐备，综合评价公共配套设施水平好。</v>
      </c>
      <c r="D21" s="2121"/>
      <c r="E21" s="2156"/>
      <c r="F21" s="2157" t="s">
        <v>1759</v>
      </c>
      <c r="G21" s="2159"/>
    </row>
    <row r="22" spans="1:18" ht="27.6">
      <c r="A22" s="625"/>
      <c r="B22" s="1867" t="s">
        <v>1743</v>
      </c>
      <c r="C22" s="48" t="str">
        <f>C8</f>
        <v>估价对象所在区域基础设施水平“七通一平</v>
      </c>
      <c r="D22" s="2121"/>
      <c r="E22" s="2156"/>
      <c r="F22" s="2157" t="s">
        <v>1748</v>
      </c>
      <c r="G22" s="2160"/>
    </row>
    <row r="23" spans="1:18" s="2117" customFormat="1" ht="1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8.2"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17" sqref="D17"/>
    </sheetView>
  </sheetViews>
  <sheetFormatPr defaultColWidth="14.6640625" defaultRowHeight="14.4"/>
  <cols>
    <col min="1" max="1" width="24.33203125" customWidth="1"/>
  </cols>
  <sheetData>
    <row r="1" spans="1:9" ht="15.6">
      <c r="A1" s="1811" t="s">
        <v>1219</v>
      </c>
      <c r="B1" s="1811">
        <f>SUM(B14:B23)</f>
        <v>1763.4099999999999</v>
      </c>
      <c r="C1" s="1812"/>
      <c r="D1" s="1812"/>
      <c r="E1" s="1812"/>
      <c r="F1" s="1812"/>
      <c r="G1" s="1816"/>
    </row>
    <row r="2" spans="1:9" ht="15.6">
      <c r="A2" s="1811" t="s">
        <v>1220</v>
      </c>
      <c r="B2" s="1811">
        <f>SUM(C14:C23)</f>
        <v>202.08</v>
      </c>
      <c r="C2" s="1812"/>
      <c r="D2" s="1812"/>
      <c r="E2" s="1812"/>
      <c r="F2" s="1812"/>
      <c r="G2" s="1816"/>
    </row>
    <row r="3" spans="1:9" ht="15.6">
      <c r="A3" s="1811" t="s">
        <v>1221</v>
      </c>
      <c r="B3" s="1814">
        <f>项目基本情况!D2</f>
        <v>43874</v>
      </c>
      <c r="C3" s="1812"/>
      <c r="D3" s="1812"/>
      <c r="E3" s="1812"/>
      <c r="F3" s="1812"/>
      <c r="G3" s="1816"/>
    </row>
    <row r="4" spans="1:9" ht="31.2">
      <c r="A4" s="1811" t="s">
        <v>1222</v>
      </c>
      <c r="B4" s="1811" t="s">
        <v>1223</v>
      </c>
      <c r="C4" s="1811" t="s">
        <v>1224</v>
      </c>
      <c r="D4" s="1811" t="s">
        <v>1225</v>
      </c>
      <c r="E4" s="1812"/>
      <c r="F4" s="1816"/>
      <c r="G4" s="1816"/>
    </row>
    <row r="5" spans="1:9" ht="15.6">
      <c r="A5" s="1811" t="s">
        <v>1226</v>
      </c>
      <c r="B5" s="1811">
        <f ca="1">SUM(D14:D23)</f>
        <v>6078</v>
      </c>
      <c r="C5" s="1811">
        <f ca="1">ROUND(B5*10000/$B$1,0)</f>
        <v>34467</v>
      </c>
      <c r="D5" s="1811">
        <f ca="1">ROUND(B5*10000/$B$2,0)</f>
        <v>300772</v>
      </c>
      <c r="E5" s="1812"/>
      <c r="F5" s="1816"/>
      <c r="G5" s="1816"/>
    </row>
    <row r="6" spans="1:9" ht="15.6">
      <c r="A6" s="1811" t="s">
        <v>1227</v>
      </c>
      <c r="B6" s="1811">
        <f ca="1">SUM(G14:G23)</f>
        <v>6078</v>
      </c>
      <c r="C6" s="1811">
        <f t="shared" ref="C6:C8" ca="1" si="0">ROUND(B6*10000/$B$1,0)</f>
        <v>34467</v>
      </c>
      <c r="D6" s="1811">
        <f t="shared" ref="D6:D8" ca="1" si="1">ROUND(B6*10000/$B$2,0)</f>
        <v>300772</v>
      </c>
      <c r="E6" s="1812"/>
      <c r="F6" s="1816"/>
      <c r="G6" s="1816"/>
    </row>
    <row r="7" spans="1:9" ht="15.6">
      <c r="A7" s="1811" t="s">
        <v>1228</v>
      </c>
      <c r="B7" s="1811">
        <f>SUM(H14:H23)</f>
        <v>0</v>
      </c>
      <c r="C7" s="1811">
        <f>ROUND(B7*10000/$B$1,0)</f>
        <v>0</v>
      </c>
      <c r="D7" s="1811">
        <f t="shared" si="1"/>
        <v>0</v>
      </c>
      <c r="E7" s="1812"/>
      <c r="F7" s="1816"/>
      <c r="G7" s="1816"/>
    </row>
    <row r="8" spans="1:9" ht="15.6">
      <c r="A8" s="1811" t="s">
        <v>1229</v>
      </c>
      <c r="B8" s="1811">
        <f>SUM(I14:I23)</f>
        <v>0</v>
      </c>
      <c r="C8" s="1811">
        <f t="shared" si="0"/>
        <v>0</v>
      </c>
      <c r="D8" s="1811">
        <f t="shared" si="1"/>
        <v>0</v>
      </c>
      <c r="E8" s="1812"/>
      <c r="F8" s="1816"/>
      <c r="G8" s="1816"/>
    </row>
    <row r="9" spans="1:9" ht="15.6">
      <c r="A9" s="1811" t="s">
        <v>1230</v>
      </c>
      <c r="B9" s="1817"/>
      <c r="C9" s="1812"/>
      <c r="D9" s="1812"/>
      <c r="E9" s="1812"/>
      <c r="F9" s="1816"/>
      <c r="G9" s="1816"/>
    </row>
    <row r="10" spans="1:9" ht="15.6">
      <c r="A10" s="1811" t="s">
        <v>1231</v>
      </c>
      <c r="B10" s="1817"/>
      <c r="C10" s="1812"/>
      <c r="D10" s="1812"/>
      <c r="E10" s="1812"/>
      <c r="F10" s="1816"/>
      <c r="G10" s="1816"/>
    </row>
    <row r="11" spans="1:9" ht="15.6">
      <c r="A11" s="1811" t="s">
        <v>1247</v>
      </c>
      <c r="B11" s="1817"/>
      <c r="C11" s="1812"/>
      <c r="D11" s="1812"/>
      <c r="E11" s="1812"/>
      <c r="F11" s="1816"/>
      <c r="G11" s="1816"/>
    </row>
    <row r="12" spans="1:9" ht="15.6">
      <c r="A12" s="1812"/>
      <c r="B12" s="1812"/>
      <c r="C12" s="1812"/>
      <c r="D12" s="1812"/>
      <c r="E12" s="1812"/>
      <c r="F12" s="1816"/>
      <c r="G12" s="1816"/>
    </row>
    <row r="13" spans="1:9" ht="31.2">
      <c r="A13" s="1821" t="s">
        <v>1246</v>
      </c>
      <c r="B13" s="1815" t="s">
        <v>1219</v>
      </c>
      <c r="C13" s="1815" t="s">
        <v>1220</v>
      </c>
      <c r="D13" s="1815" t="s">
        <v>1232</v>
      </c>
      <c r="E13" s="1811" t="s">
        <v>1224</v>
      </c>
      <c r="F13" s="1811" t="s">
        <v>1225</v>
      </c>
      <c r="G13" s="1815" t="s">
        <v>1233</v>
      </c>
      <c r="H13" s="1815" t="s">
        <v>1234</v>
      </c>
      <c r="I13" s="1815" t="s">
        <v>1235</v>
      </c>
    </row>
    <row r="14" spans="1:9" ht="15.6">
      <c r="A14" s="1818" t="s">
        <v>1245</v>
      </c>
      <c r="B14" s="1815">
        <f>项目基本情况!C12</f>
        <v>1763.4099999999999</v>
      </c>
      <c r="C14" s="1815">
        <f>项目基本情况!C13</f>
        <v>202.08</v>
      </c>
      <c r="D14" s="1815">
        <f ca="1">IF('数据-取费表'!B3="万元",IF(A14="估价对象1（结果表）",结果表!H121,'结果表 (1修多)'!H124),IF(A14="估价对象1（结果表）",结果表!H121,'结果表 (1修多)'!H124)/10000)</f>
        <v>6078</v>
      </c>
      <c r="E14" s="1815">
        <f ca="1">ROUND(D14*10000/B14,0)</f>
        <v>34467</v>
      </c>
      <c r="F14" s="1815">
        <f ca="1">ROUND(D14*10000/C14,0)</f>
        <v>300772</v>
      </c>
      <c r="G14" s="1815">
        <f ca="1">IF('数据-取费表'!B3="万元",IF(A14="估价对象1（结果表）",结果表!D125,'结果表 (1修多)'!D128),IF(A14="估价对象1（结果表）",结果表!D125,'结果表 (1修多)'!D128)/10000)</f>
        <v>6078</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5.6">
      <c r="A15" s="1813" t="s">
        <v>1236</v>
      </c>
      <c r="B15" s="1819"/>
      <c r="C15" s="1819"/>
      <c r="D15" s="1819"/>
      <c r="E15" s="1815" t="e">
        <f t="shared" ref="E15:E23" si="2">ROUND(D15*10000/B15,0)</f>
        <v>#DIV/0!</v>
      </c>
      <c r="F15" s="1815" t="e">
        <f t="shared" ref="F15:F23" si="3">ROUND(D15*10000/C15,0)</f>
        <v>#DIV/0!</v>
      </c>
      <c r="G15" s="1820"/>
      <c r="H15" s="1820"/>
      <c r="I15" s="1819"/>
    </row>
    <row r="16" spans="1:9" ht="15.6">
      <c r="A16" s="1813" t="s">
        <v>1237</v>
      </c>
      <c r="B16" s="1819"/>
      <c r="C16" s="1819"/>
      <c r="D16" s="1819"/>
      <c r="E16" s="1815" t="e">
        <f t="shared" si="2"/>
        <v>#DIV/0!</v>
      </c>
      <c r="F16" s="1815" t="e">
        <f t="shared" si="3"/>
        <v>#DIV/0!</v>
      </c>
      <c r="G16" s="1820"/>
      <c r="H16" s="1820"/>
      <c r="I16" s="1819"/>
    </row>
    <row r="17" spans="1:9" ht="15.6">
      <c r="A17" s="1813" t="s">
        <v>1238</v>
      </c>
      <c r="B17" s="1819"/>
      <c r="C17" s="1819"/>
      <c r="D17" s="1819"/>
      <c r="E17" s="1815" t="e">
        <f t="shared" si="2"/>
        <v>#DIV/0!</v>
      </c>
      <c r="F17" s="1815" t="e">
        <f t="shared" si="3"/>
        <v>#DIV/0!</v>
      </c>
      <c r="G17" s="1820"/>
      <c r="H17" s="1820"/>
      <c r="I17" s="1819"/>
    </row>
    <row r="18" spans="1:9" ht="15.6">
      <c r="A18" s="1813" t="s">
        <v>1239</v>
      </c>
      <c r="B18" s="1819"/>
      <c r="C18" s="1819"/>
      <c r="D18" s="1819"/>
      <c r="E18" s="1815" t="e">
        <f t="shared" si="2"/>
        <v>#DIV/0!</v>
      </c>
      <c r="F18" s="1815" t="e">
        <f t="shared" si="3"/>
        <v>#DIV/0!</v>
      </c>
      <c r="G18" s="1819"/>
      <c r="H18" s="1819"/>
      <c r="I18" s="1819"/>
    </row>
    <row r="19" spans="1:9" ht="15.6">
      <c r="A19" s="1813" t="s">
        <v>1240</v>
      </c>
      <c r="B19" s="1819"/>
      <c r="C19" s="1819"/>
      <c r="D19" s="1819"/>
      <c r="E19" s="1815" t="e">
        <f t="shared" si="2"/>
        <v>#DIV/0!</v>
      </c>
      <c r="F19" s="1815" t="e">
        <f t="shared" si="3"/>
        <v>#DIV/0!</v>
      </c>
      <c r="G19" s="1819"/>
      <c r="H19" s="1819"/>
      <c r="I19" s="1819"/>
    </row>
    <row r="20" spans="1:9" ht="15.6">
      <c r="A20" s="1813" t="s">
        <v>1241</v>
      </c>
      <c r="B20" s="1819"/>
      <c r="C20" s="1819"/>
      <c r="D20" s="1819"/>
      <c r="E20" s="1815" t="e">
        <f t="shared" si="2"/>
        <v>#DIV/0!</v>
      </c>
      <c r="F20" s="1815" t="e">
        <f t="shared" si="3"/>
        <v>#DIV/0!</v>
      </c>
      <c r="G20" s="1819"/>
      <c r="H20" s="1819"/>
      <c r="I20" s="1819"/>
    </row>
    <row r="21" spans="1:9" ht="15.6">
      <c r="A21" s="1813" t="s">
        <v>1242</v>
      </c>
      <c r="B21" s="1819"/>
      <c r="C21" s="1819"/>
      <c r="D21" s="1819"/>
      <c r="E21" s="1815" t="e">
        <f t="shared" si="2"/>
        <v>#DIV/0!</v>
      </c>
      <c r="F21" s="1815" t="e">
        <f t="shared" si="3"/>
        <v>#DIV/0!</v>
      </c>
      <c r="G21" s="1819"/>
      <c r="H21" s="1819"/>
      <c r="I21" s="1819"/>
    </row>
    <row r="22" spans="1:9" ht="15.6">
      <c r="A22" s="1813" t="s">
        <v>1243</v>
      </c>
      <c r="B22" s="1819"/>
      <c r="C22" s="1819"/>
      <c r="D22" s="1819"/>
      <c r="E22" s="1815" t="e">
        <f t="shared" si="2"/>
        <v>#DIV/0!</v>
      </c>
      <c r="F22" s="1815" t="e">
        <f t="shared" si="3"/>
        <v>#DIV/0!</v>
      </c>
      <c r="G22" s="1819"/>
      <c r="H22" s="1819"/>
      <c r="I22" s="1819"/>
    </row>
    <row r="23" spans="1:9" ht="15.6">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O32"/>
  <sheetViews>
    <sheetView tabSelected="1" topLeftCell="D1" workbookViewId="0">
      <selection activeCell="I5" sqref="I5"/>
    </sheetView>
  </sheetViews>
  <sheetFormatPr defaultRowHeight="14.4"/>
  <cols>
    <col min="2" max="3" width="13.6640625" customWidth="1"/>
    <col min="4" max="4" width="11" customWidth="1"/>
    <col min="5" max="5" width="13.6640625" customWidth="1"/>
    <col min="6" max="6" width="19.44140625" customWidth="1"/>
    <col min="7" max="7" width="15.44140625" customWidth="1"/>
    <col min="8" max="8" width="17.109375" customWidth="1"/>
    <col min="9" max="9" width="13.6640625" customWidth="1"/>
    <col min="10" max="10" width="19" customWidth="1"/>
    <col min="11" max="11" width="9.44140625" bestFit="1" customWidth="1"/>
    <col min="258" max="259" width="13.6640625" customWidth="1"/>
    <col min="260" max="260" width="11" customWidth="1"/>
    <col min="261" max="261" width="13.6640625" customWidth="1"/>
    <col min="262" max="262" width="19.44140625" customWidth="1"/>
    <col min="263" max="263" width="15.44140625" customWidth="1"/>
    <col min="264" max="264" width="17.109375" customWidth="1"/>
    <col min="265" max="265" width="13.6640625" customWidth="1"/>
    <col min="266" max="266" width="19" customWidth="1"/>
    <col min="267" max="267" width="9.44140625" bestFit="1" customWidth="1"/>
    <col min="514" max="515" width="13.6640625" customWidth="1"/>
    <col min="516" max="516" width="11" customWidth="1"/>
    <col min="517" max="517" width="13.6640625" customWidth="1"/>
    <col min="518" max="518" width="19.44140625" customWidth="1"/>
    <col min="519" max="519" width="15.44140625" customWidth="1"/>
    <col min="520" max="520" width="17.109375" customWidth="1"/>
    <col min="521" max="521" width="13.6640625" customWidth="1"/>
    <col min="522" max="522" width="19" customWidth="1"/>
    <col min="523" max="523" width="9.44140625" bestFit="1" customWidth="1"/>
    <col min="770" max="771" width="13.6640625" customWidth="1"/>
    <col min="772" max="772" width="11" customWidth="1"/>
    <col min="773" max="773" width="13.6640625" customWidth="1"/>
    <col min="774" max="774" width="19.44140625" customWidth="1"/>
    <col min="775" max="775" width="15.44140625" customWidth="1"/>
    <col min="776" max="776" width="17.109375" customWidth="1"/>
    <col min="777" max="777" width="13.6640625" customWidth="1"/>
    <col min="778" max="778" width="19" customWidth="1"/>
    <col min="779" max="779" width="9.44140625" bestFit="1" customWidth="1"/>
    <col min="1026" max="1027" width="13.6640625" customWidth="1"/>
    <col min="1028" max="1028" width="11" customWidth="1"/>
    <col min="1029" max="1029" width="13.6640625" customWidth="1"/>
    <col min="1030" max="1030" width="19.44140625" customWidth="1"/>
    <col min="1031" max="1031" width="15.44140625" customWidth="1"/>
    <col min="1032" max="1032" width="17.109375" customWidth="1"/>
    <col min="1033" max="1033" width="13.6640625" customWidth="1"/>
    <col min="1034" max="1034" width="19" customWidth="1"/>
    <col min="1035" max="1035" width="9.44140625" bestFit="1" customWidth="1"/>
    <col min="1282" max="1283" width="13.6640625" customWidth="1"/>
    <col min="1284" max="1284" width="11" customWidth="1"/>
    <col min="1285" max="1285" width="13.6640625" customWidth="1"/>
    <col min="1286" max="1286" width="19.44140625" customWidth="1"/>
    <col min="1287" max="1287" width="15.44140625" customWidth="1"/>
    <col min="1288" max="1288" width="17.109375" customWidth="1"/>
    <col min="1289" max="1289" width="13.6640625" customWidth="1"/>
    <col min="1290" max="1290" width="19" customWidth="1"/>
    <col min="1291" max="1291" width="9.44140625" bestFit="1" customWidth="1"/>
    <col min="1538" max="1539" width="13.6640625" customWidth="1"/>
    <col min="1540" max="1540" width="11" customWidth="1"/>
    <col min="1541" max="1541" width="13.6640625" customWidth="1"/>
    <col min="1542" max="1542" width="19.44140625" customWidth="1"/>
    <col min="1543" max="1543" width="15.44140625" customWidth="1"/>
    <col min="1544" max="1544" width="17.109375" customWidth="1"/>
    <col min="1545" max="1545" width="13.6640625" customWidth="1"/>
    <col min="1546" max="1546" width="19" customWidth="1"/>
    <col min="1547" max="1547" width="9.44140625" bestFit="1" customWidth="1"/>
    <col min="1794" max="1795" width="13.6640625" customWidth="1"/>
    <col min="1796" max="1796" width="11" customWidth="1"/>
    <col min="1797" max="1797" width="13.6640625" customWidth="1"/>
    <col min="1798" max="1798" width="19.44140625" customWidth="1"/>
    <col min="1799" max="1799" width="15.44140625" customWidth="1"/>
    <col min="1800" max="1800" width="17.109375" customWidth="1"/>
    <col min="1801" max="1801" width="13.6640625" customWidth="1"/>
    <col min="1802" max="1802" width="19" customWidth="1"/>
    <col min="1803" max="1803" width="9.44140625" bestFit="1" customWidth="1"/>
    <col min="2050" max="2051" width="13.6640625" customWidth="1"/>
    <col min="2052" max="2052" width="11" customWidth="1"/>
    <col min="2053" max="2053" width="13.6640625" customWidth="1"/>
    <col min="2054" max="2054" width="19.44140625" customWidth="1"/>
    <col min="2055" max="2055" width="15.44140625" customWidth="1"/>
    <col min="2056" max="2056" width="17.109375" customWidth="1"/>
    <col min="2057" max="2057" width="13.6640625" customWidth="1"/>
    <col min="2058" max="2058" width="19" customWidth="1"/>
    <col min="2059" max="2059" width="9.44140625" bestFit="1" customWidth="1"/>
    <col min="2306" max="2307" width="13.6640625" customWidth="1"/>
    <col min="2308" max="2308" width="11" customWidth="1"/>
    <col min="2309" max="2309" width="13.6640625" customWidth="1"/>
    <col min="2310" max="2310" width="19.44140625" customWidth="1"/>
    <col min="2311" max="2311" width="15.44140625" customWidth="1"/>
    <col min="2312" max="2312" width="17.109375" customWidth="1"/>
    <col min="2313" max="2313" width="13.6640625" customWidth="1"/>
    <col min="2314" max="2314" width="19" customWidth="1"/>
    <col min="2315" max="2315" width="9.44140625" bestFit="1" customWidth="1"/>
    <col min="2562" max="2563" width="13.6640625" customWidth="1"/>
    <col min="2564" max="2564" width="11" customWidth="1"/>
    <col min="2565" max="2565" width="13.6640625" customWidth="1"/>
    <col min="2566" max="2566" width="19.44140625" customWidth="1"/>
    <col min="2567" max="2567" width="15.44140625" customWidth="1"/>
    <col min="2568" max="2568" width="17.109375" customWidth="1"/>
    <col min="2569" max="2569" width="13.6640625" customWidth="1"/>
    <col min="2570" max="2570" width="19" customWidth="1"/>
    <col min="2571" max="2571" width="9.44140625" bestFit="1" customWidth="1"/>
    <col min="2818" max="2819" width="13.6640625" customWidth="1"/>
    <col min="2820" max="2820" width="11" customWidth="1"/>
    <col min="2821" max="2821" width="13.6640625" customWidth="1"/>
    <col min="2822" max="2822" width="19.44140625" customWidth="1"/>
    <col min="2823" max="2823" width="15.44140625" customWidth="1"/>
    <col min="2824" max="2824" width="17.109375" customWidth="1"/>
    <col min="2825" max="2825" width="13.6640625" customWidth="1"/>
    <col min="2826" max="2826" width="19" customWidth="1"/>
    <col min="2827" max="2827" width="9.44140625" bestFit="1" customWidth="1"/>
    <col min="3074" max="3075" width="13.6640625" customWidth="1"/>
    <col min="3076" max="3076" width="11" customWidth="1"/>
    <col min="3077" max="3077" width="13.6640625" customWidth="1"/>
    <col min="3078" max="3078" width="19.44140625" customWidth="1"/>
    <col min="3079" max="3079" width="15.44140625" customWidth="1"/>
    <col min="3080" max="3080" width="17.109375" customWidth="1"/>
    <col min="3081" max="3081" width="13.6640625" customWidth="1"/>
    <col min="3082" max="3082" width="19" customWidth="1"/>
    <col min="3083" max="3083" width="9.44140625" bestFit="1" customWidth="1"/>
    <col min="3330" max="3331" width="13.6640625" customWidth="1"/>
    <col min="3332" max="3332" width="11" customWidth="1"/>
    <col min="3333" max="3333" width="13.6640625" customWidth="1"/>
    <col min="3334" max="3334" width="19.44140625" customWidth="1"/>
    <col min="3335" max="3335" width="15.44140625" customWidth="1"/>
    <col min="3336" max="3336" width="17.109375" customWidth="1"/>
    <col min="3337" max="3337" width="13.6640625" customWidth="1"/>
    <col min="3338" max="3338" width="19" customWidth="1"/>
    <col min="3339" max="3339" width="9.44140625" bestFit="1" customWidth="1"/>
    <col min="3586" max="3587" width="13.6640625" customWidth="1"/>
    <col min="3588" max="3588" width="11" customWidth="1"/>
    <col min="3589" max="3589" width="13.6640625" customWidth="1"/>
    <col min="3590" max="3590" width="19.44140625" customWidth="1"/>
    <col min="3591" max="3591" width="15.44140625" customWidth="1"/>
    <col min="3592" max="3592" width="17.109375" customWidth="1"/>
    <col min="3593" max="3593" width="13.6640625" customWidth="1"/>
    <col min="3594" max="3594" width="19" customWidth="1"/>
    <col min="3595" max="3595" width="9.44140625" bestFit="1" customWidth="1"/>
    <col min="3842" max="3843" width="13.6640625" customWidth="1"/>
    <col min="3844" max="3844" width="11" customWidth="1"/>
    <col min="3845" max="3845" width="13.6640625" customWidth="1"/>
    <col min="3846" max="3846" width="19.44140625" customWidth="1"/>
    <col min="3847" max="3847" width="15.44140625" customWidth="1"/>
    <col min="3848" max="3848" width="17.109375" customWidth="1"/>
    <col min="3849" max="3849" width="13.6640625" customWidth="1"/>
    <col min="3850" max="3850" width="19" customWidth="1"/>
    <col min="3851" max="3851" width="9.44140625" bestFit="1" customWidth="1"/>
    <col min="4098" max="4099" width="13.6640625" customWidth="1"/>
    <col min="4100" max="4100" width="11" customWidth="1"/>
    <col min="4101" max="4101" width="13.6640625" customWidth="1"/>
    <col min="4102" max="4102" width="19.44140625" customWidth="1"/>
    <col min="4103" max="4103" width="15.44140625" customWidth="1"/>
    <col min="4104" max="4104" width="17.109375" customWidth="1"/>
    <col min="4105" max="4105" width="13.6640625" customWidth="1"/>
    <col min="4106" max="4106" width="19" customWidth="1"/>
    <col min="4107" max="4107" width="9.44140625" bestFit="1" customWidth="1"/>
    <col min="4354" max="4355" width="13.6640625" customWidth="1"/>
    <col min="4356" max="4356" width="11" customWidth="1"/>
    <col min="4357" max="4357" width="13.6640625" customWidth="1"/>
    <col min="4358" max="4358" width="19.44140625" customWidth="1"/>
    <col min="4359" max="4359" width="15.44140625" customWidth="1"/>
    <col min="4360" max="4360" width="17.109375" customWidth="1"/>
    <col min="4361" max="4361" width="13.6640625" customWidth="1"/>
    <col min="4362" max="4362" width="19" customWidth="1"/>
    <col min="4363" max="4363" width="9.44140625" bestFit="1" customWidth="1"/>
    <col min="4610" max="4611" width="13.6640625" customWidth="1"/>
    <col min="4612" max="4612" width="11" customWidth="1"/>
    <col min="4613" max="4613" width="13.6640625" customWidth="1"/>
    <col min="4614" max="4614" width="19.44140625" customWidth="1"/>
    <col min="4615" max="4615" width="15.44140625" customWidth="1"/>
    <col min="4616" max="4616" width="17.109375" customWidth="1"/>
    <col min="4617" max="4617" width="13.6640625" customWidth="1"/>
    <col min="4618" max="4618" width="19" customWidth="1"/>
    <col min="4619" max="4619" width="9.44140625" bestFit="1" customWidth="1"/>
    <col min="4866" max="4867" width="13.6640625" customWidth="1"/>
    <col min="4868" max="4868" width="11" customWidth="1"/>
    <col min="4869" max="4869" width="13.6640625" customWidth="1"/>
    <col min="4870" max="4870" width="19.44140625" customWidth="1"/>
    <col min="4871" max="4871" width="15.44140625" customWidth="1"/>
    <col min="4872" max="4872" width="17.109375" customWidth="1"/>
    <col min="4873" max="4873" width="13.6640625" customWidth="1"/>
    <col min="4874" max="4874" width="19" customWidth="1"/>
    <col min="4875" max="4875" width="9.44140625" bestFit="1" customWidth="1"/>
    <col min="5122" max="5123" width="13.6640625" customWidth="1"/>
    <col min="5124" max="5124" width="11" customWidth="1"/>
    <col min="5125" max="5125" width="13.6640625" customWidth="1"/>
    <col min="5126" max="5126" width="19.44140625" customWidth="1"/>
    <col min="5127" max="5127" width="15.44140625" customWidth="1"/>
    <col min="5128" max="5128" width="17.109375" customWidth="1"/>
    <col min="5129" max="5129" width="13.6640625" customWidth="1"/>
    <col min="5130" max="5130" width="19" customWidth="1"/>
    <col min="5131" max="5131" width="9.44140625" bestFit="1" customWidth="1"/>
    <col min="5378" max="5379" width="13.6640625" customWidth="1"/>
    <col min="5380" max="5380" width="11" customWidth="1"/>
    <col min="5381" max="5381" width="13.6640625" customWidth="1"/>
    <col min="5382" max="5382" width="19.44140625" customWidth="1"/>
    <col min="5383" max="5383" width="15.44140625" customWidth="1"/>
    <col min="5384" max="5384" width="17.109375" customWidth="1"/>
    <col min="5385" max="5385" width="13.6640625" customWidth="1"/>
    <col min="5386" max="5386" width="19" customWidth="1"/>
    <col min="5387" max="5387" width="9.44140625" bestFit="1" customWidth="1"/>
    <col min="5634" max="5635" width="13.6640625" customWidth="1"/>
    <col min="5636" max="5636" width="11" customWidth="1"/>
    <col min="5637" max="5637" width="13.6640625" customWidth="1"/>
    <col min="5638" max="5638" width="19.44140625" customWidth="1"/>
    <col min="5639" max="5639" width="15.44140625" customWidth="1"/>
    <col min="5640" max="5640" width="17.109375" customWidth="1"/>
    <col min="5641" max="5641" width="13.6640625" customWidth="1"/>
    <col min="5642" max="5642" width="19" customWidth="1"/>
    <col min="5643" max="5643" width="9.44140625" bestFit="1" customWidth="1"/>
    <col min="5890" max="5891" width="13.6640625" customWidth="1"/>
    <col min="5892" max="5892" width="11" customWidth="1"/>
    <col min="5893" max="5893" width="13.6640625" customWidth="1"/>
    <col min="5894" max="5894" width="19.44140625" customWidth="1"/>
    <col min="5895" max="5895" width="15.44140625" customWidth="1"/>
    <col min="5896" max="5896" width="17.109375" customWidth="1"/>
    <col min="5897" max="5897" width="13.6640625" customWidth="1"/>
    <col min="5898" max="5898" width="19" customWidth="1"/>
    <col min="5899" max="5899" width="9.44140625" bestFit="1" customWidth="1"/>
    <col min="6146" max="6147" width="13.6640625" customWidth="1"/>
    <col min="6148" max="6148" width="11" customWidth="1"/>
    <col min="6149" max="6149" width="13.6640625" customWidth="1"/>
    <col min="6150" max="6150" width="19.44140625" customWidth="1"/>
    <col min="6151" max="6151" width="15.44140625" customWidth="1"/>
    <col min="6152" max="6152" width="17.109375" customWidth="1"/>
    <col min="6153" max="6153" width="13.6640625" customWidth="1"/>
    <col min="6154" max="6154" width="19" customWidth="1"/>
    <col min="6155" max="6155" width="9.44140625" bestFit="1" customWidth="1"/>
    <col min="6402" max="6403" width="13.6640625" customWidth="1"/>
    <col min="6404" max="6404" width="11" customWidth="1"/>
    <col min="6405" max="6405" width="13.6640625" customWidth="1"/>
    <col min="6406" max="6406" width="19.44140625" customWidth="1"/>
    <col min="6407" max="6407" width="15.44140625" customWidth="1"/>
    <col min="6408" max="6408" width="17.109375" customWidth="1"/>
    <col min="6409" max="6409" width="13.6640625" customWidth="1"/>
    <col min="6410" max="6410" width="19" customWidth="1"/>
    <col min="6411" max="6411" width="9.44140625" bestFit="1" customWidth="1"/>
    <col min="6658" max="6659" width="13.6640625" customWidth="1"/>
    <col min="6660" max="6660" width="11" customWidth="1"/>
    <col min="6661" max="6661" width="13.6640625" customWidth="1"/>
    <col min="6662" max="6662" width="19.44140625" customWidth="1"/>
    <col min="6663" max="6663" width="15.44140625" customWidth="1"/>
    <col min="6664" max="6664" width="17.109375" customWidth="1"/>
    <col min="6665" max="6665" width="13.6640625" customWidth="1"/>
    <col min="6666" max="6666" width="19" customWidth="1"/>
    <col min="6667" max="6667" width="9.44140625" bestFit="1" customWidth="1"/>
    <col min="6914" max="6915" width="13.6640625" customWidth="1"/>
    <col min="6916" max="6916" width="11" customWidth="1"/>
    <col min="6917" max="6917" width="13.6640625" customWidth="1"/>
    <col min="6918" max="6918" width="19.44140625" customWidth="1"/>
    <col min="6919" max="6919" width="15.44140625" customWidth="1"/>
    <col min="6920" max="6920" width="17.109375" customWidth="1"/>
    <col min="6921" max="6921" width="13.6640625" customWidth="1"/>
    <col min="6922" max="6922" width="19" customWidth="1"/>
    <col min="6923" max="6923" width="9.44140625" bestFit="1" customWidth="1"/>
    <col min="7170" max="7171" width="13.6640625" customWidth="1"/>
    <col min="7172" max="7172" width="11" customWidth="1"/>
    <col min="7173" max="7173" width="13.6640625" customWidth="1"/>
    <col min="7174" max="7174" width="19.44140625" customWidth="1"/>
    <col min="7175" max="7175" width="15.44140625" customWidth="1"/>
    <col min="7176" max="7176" width="17.109375" customWidth="1"/>
    <col min="7177" max="7177" width="13.6640625" customWidth="1"/>
    <col min="7178" max="7178" width="19" customWidth="1"/>
    <col min="7179" max="7179" width="9.44140625" bestFit="1" customWidth="1"/>
    <col min="7426" max="7427" width="13.6640625" customWidth="1"/>
    <col min="7428" max="7428" width="11" customWidth="1"/>
    <col min="7429" max="7429" width="13.6640625" customWidth="1"/>
    <col min="7430" max="7430" width="19.44140625" customWidth="1"/>
    <col min="7431" max="7431" width="15.44140625" customWidth="1"/>
    <col min="7432" max="7432" width="17.109375" customWidth="1"/>
    <col min="7433" max="7433" width="13.6640625" customWidth="1"/>
    <col min="7434" max="7434" width="19" customWidth="1"/>
    <col min="7435" max="7435" width="9.44140625" bestFit="1" customWidth="1"/>
    <col min="7682" max="7683" width="13.6640625" customWidth="1"/>
    <col min="7684" max="7684" width="11" customWidth="1"/>
    <col min="7685" max="7685" width="13.6640625" customWidth="1"/>
    <col min="7686" max="7686" width="19.44140625" customWidth="1"/>
    <col min="7687" max="7687" width="15.44140625" customWidth="1"/>
    <col min="7688" max="7688" width="17.109375" customWidth="1"/>
    <col min="7689" max="7689" width="13.6640625" customWidth="1"/>
    <col min="7690" max="7690" width="19" customWidth="1"/>
    <col min="7691" max="7691" width="9.44140625" bestFit="1" customWidth="1"/>
    <col min="7938" max="7939" width="13.6640625" customWidth="1"/>
    <col min="7940" max="7940" width="11" customWidth="1"/>
    <col min="7941" max="7941" width="13.6640625" customWidth="1"/>
    <col min="7942" max="7942" width="19.44140625" customWidth="1"/>
    <col min="7943" max="7943" width="15.44140625" customWidth="1"/>
    <col min="7944" max="7944" width="17.109375" customWidth="1"/>
    <col min="7945" max="7945" width="13.6640625" customWidth="1"/>
    <col min="7946" max="7946" width="19" customWidth="1"/>
    <col min="7947" max="7947" width="9.44140625" bestFit="1" customWidth="1"/>
    <col min="8194" max="8195" width="13.6640625" customWidth="1"/>
    <col min="8196" max="8196" width="11" customWidth="1"/>
    <col min="8197" max="8197" width="13.6640625" customWidth="1"/>
    <col min="8198" max="8198" width="19.44140625" customWidth="1"/>
    <col min="8199" max="8199" width="15.44140625" customWidth="1"/>
    <col min="8200" max="8200" width="17.109375" customWidth="1"/>
    <col min="8201" max="8201" width="13.6640625" customWidth="1"/>
    <col min="8202" max="8202" width="19" customWidth="1"/>
    <col min="8203" max="8203" width="9.44140625" bestFit="1" customWidth="1"/>
    <col min="8450" max="8451" width="13.6640625" customWidth="1"/>
    <col min="8452" max="8452" width="11" customWidth="1"/>
    <col min="8453" max="8453" width="13.6640625" customWidth="1"/>
    <col min="8454" max="8454" width="19.44140625" customWidth="1"/>
    <col min="8455" max="8455" width="15.44140625" customWidth="1"/>
    <col min="8456" max="8456" width="17.109375" customWidth="1"/>
    <col min="8457" max="8457" width="13.6640625" customWidth="1"/>
    <col min="8458" max="8458" width="19" customWidth="1"/>
    <col min="8459" max="8459" width="9.44140625" bestFit="1" customWidth="1"/>
    <col min="8706" max="8707" width="13.6640625" customWidth="1"/>
    <col min="8708" max="8708" width="11" customWidth="1"/>
    <col min="8709" max="8709" width="13.6640625" customWidth="1"/>
    <col min="8710" max="8710" width="19.44140625" customWidth="1"/>
    <col min="8711" max="8711" width="15.44140625" customWidth="1"/>
    <col min="8712" max="8712" width="17.109375" customWidth="1"/>
    <col min="8713" max="8713" width="13.6640625" customWidth="1"/>
    <col min="8714" max="8714" width="19" customWidth="1"/>
    <col min="8715" max="8715" width="9.44140625" bestFit="1" customWidth="1"/>
    <col min="8962" max="8963" width="13.6640625" customWidth="1"/>
    <col min="8964" max="8964" width="11" customWidth="1"/>
    <col min="8965" max="8965" width="13.6640625" customWidth="1"/>
    <col min="8966" max="8966" width="19.44140625" customWidth="1"/>
    <col min="8967" max="8967" width="15.44140625" customWidth="1"/>
    <col min="8968" max="8968" width="17.109375" customWidth="1"/>
    <col min="8969" max="8969" width="13.6640625" customWidth="1"/>
    <col min="8970" max="8970" width="19" customWidth="1"/>
    <col min="8971" max="8971" width="9.44140625" bestFit="1" customWidth="1"/>
    <col min="9218" max="9219" width="13.6640625" customWidth="1"/>
    <col min="9220" max="9220" width="11" customWidth="1"/>
    <col min="9221" max="9221" width="13.6640625" customWidth="1"/>
    <col min="9222" max="9222" width="19.44140625" customWidth="1"/>
    <col min="9223" max="9223" width="15.44140625" customWidth="1"/>
    <col min="9224" max="9224" width="17.109375" customWidth="1"/>
    <col min="9225" max="9225" width="13.6640625" customWidth="1"/>
    <col min="9226" max="9226" width="19" customWidth="1"/>
    <col min="9227" max="9227" width="9.44140625" bestFit="1" customWidth="1"/>
    <col min="9474" max="9475" width="13.6640625" customWidth="1"/>
    <col min="9476" max="9476" width="11" customWidth="1"/>
    <col min="9477" max="9477" width="13.6640625" customWidth="1"/>
    <col min="9478" max="9478" width="19.44140625" customWidth="1"/>
    <col min="9479" max="9479" width="15.44140625" customWidth="1"/>
    <col min="9480" max="9480" width="17.109375" customWidth="1"/>
    <col min="9481" max="9481" width="13.6640625" customWidth="1"/>
    <col min="9482" max="9482" width="19" customWidth="1"/>
    <col min="9483" max="9483" width="9.44140625" bestFit="1" customWidth="1"/>
    <col min="9730" max="9731" width="13.6640625" customWidth="1"/>
    <col min="9732" max="9732" width="11" customWidth="1"/>
    <col min="9733" max="9733" width="13.6640625" customWidth="1"/>
    <col min="9734" max="9734" width="19.44140625" customWidth="1"/>
    <col min="9735" max="9735" width="15.44140625" customWidth="1"/>
    <col min="9736" max="9736" width="17.109375" customWidth="1"/>
    <col min="9737" max="9737" width="13.6640625" customWidth="1"/>
    <col min="9738" max="9738" width="19" customWidth="1"/>
    <col min="9739" max="9739" width="9.44140625" bestFit="1" customWidth="1"/>
    <col min="9986" max="9987" width="13.6640625" customWidth="1"/>
    <col min="9988" max="9988" width="11" customWidth="1"/>
    <col min="9989" max="9989" width="13.6640625" customWidth="1"/>
    <col min="9990" max="9990" width="19.44140625" customWidth="1"/>
    <col min="9991" max="9991" width="15.44140625" customWidth="1"/>
    <col min="9992" max="9992" width="17.109375" customWidth="1"/>
    <col min="9993" max="9993" width="13.6640625" customWidth="1"/>
    <col min="9994" max="9994" width="19" customWidth="1"/>
    <col min="9995" max="9995" width="9.44140625" bestFit="1" customWidth="1"/>
    <col min="10242" max="10243" width="13.6640625" customWidth="1"/>
    <col min="10244" max="10244" width="11" customWidth="1"/>
    <col min="10245" max="10245" width="13.6640625" customWidth="1"/>
    <col min="10246" max="10246" width="19.44140625" customWidth="1"/>
    <col min="10247" max="10247" width="15.44140625" customWidth="1"/>
    <col min="10248" max="10248" width="17.109375" customWidth="1"/>
    <col min="10249" max="10249" width="13.6640625" customWidth="1"/>
    <col min="10250" max="10250" width="19" customWidth="1"/>
    <col min="10251" max="10251" width="9.44140625" bestFit="1" customWidth="1"/>
    <col min="10498" max="10499" width="13.6640625" customWidth="1"/>
    <col min="10500" max="10500" width="11" customWidth="1"/>
    <col min="10501" max="10501" width="13.6640625" customWidth="1"/>
    <col min="10502" max="10502" width="19.44140625" customWidth="1"/>
    <col min="10503" max="10503" width="15.44140625" customWidth="1"/>
    <col min="10504" max="10504" width="17.109375" customWidth="1"/>
    <col min="10505" max="10505" width="13.6640625" customWidth="1"/>
    <col min="10506" max="10506" width="19" customWidth="1"/>
    <col min="10507" max="10507" width="9.44140625" bestFit="1" customWidth="1"/>
    <col min="10754" max="10755" width="13.6640625" customWidth="1"/>
    <col min="10756" max="10756" width="11" customWidth="1"/>
    <col min="10757" max="10757" width="13.6640625" customWidth="1"/>
    <col min="10758" max="10758" width="19.44140625" customWidth="1"/>
    <col min="10759" max="10759" width="15.44140625" customWidth="1"/>
    <col min="10760" max="10760" width="17.109375" customWidth="1"/>
    <col min="10761" max="10761" width="13.6640625" customWidth="1"/>
    <col min="10762" max="10762" width="19" customWidth="1"/>
    <col min="10763" max="10763" width="9.44140625" bestFit="1" customWidth="1"/>
    <col min="11010" max="11011" width="13.6640625" customWidth="1"/>
    <col min="11012" max="11012" width="11" customWidth="1"/>
    <col min="11013" max="11013" width="13.6640625" customWidth="1"/>
    <col min="11014" max="11014" width="19.44140625" customWidth="1"/>
    <col min="11015" max="11015" width="15.44140625" customWidth="1"/>
    <col min="11016" max="11016" width="17.109375" customWidth="1"/>
    <col min="11017" max="11017" width="13.6640625" customWidth="1"/>
    <col min="11018" max="11018" width="19" customWidth="1"/>
    <col min="11019" max="11019" width="9.44140625" bestFit="1" customWidth="1"/>
    <col min="11266" max="11267" width="13.6640625" customWidth="1"/>
    <col min="11268" max="11268" width="11" customWidth="1"/>
    <col min="11269" max="11269" width="13.6640625" customWidth="1"/>
    <col min="11270" max="11270" width="19.44140625" customWidth="1"/>
    <col min="11271" max="11271" width="15.44140625" customWidth="1"/>
    <col min="11272" max="11272" width="17.109375" customWidth="1"/>
    <col min="11273" max="11273" width="13.6640625" customWidth="1"/>
    <col min="11274" max="11274" width="19" customWidth="1"/>
    <col min="11275" max="11275" width="9.44140625" bestFit="1" customWidth="1"/>
    <col min="11522" max="11523" width="13.6640625" customWidth="1"/>
    <col min="11524" max="11524" width="11" customWidth="1"/>
    <col min="11525" max="11525" width="13.6640625" customWidth="1"/>
    <col min="11526" max="11526" width="19.44140625" customWidth="1"/>
    <col min="11527" max="11527" width="15.44140625" customWidth="1"/>
    <col min="11528" max="11528" width="17.109375" customWidth="1"/>
    <col min="11529" max="11529" width="13.6640625" customWidth="1"/>
    <col min="11530" max="11530" width="19" customWidth="1"/>
    <col min="11531" max="11531" width="9.44140625" bestFit="1" customWidth="1"/>
    <col min="11778" max="11779" width="13.6640625" customWidth="1"/>
    <col min="11780" max="11780" width="11" customWidth="1"/>
    <col min="11781" max="11781" width="13.6640625" customWidth="1"/>
    <col min="11782" max="11782" width="19.44140625" customWidth="1"/>
    <col min="11783" max="11783" width="15.44140625" customWidth="1"/>
    <col min="11784" max="11784" width="17.109375" customWidth="1"/>
    <col min="11785" max="11785" width="13.6640625" customWidth="1"/>
    <col min="11786" max="11786" width="19" customWidth="1"/>
    <col min="11787" max="11787" width="9.44140625" bestFit="1" customWidth="1"/>
    <col min="12034" max="12035" width="13.6640625" customWidth="1"/>
    <col min="12036" max="12036" width="11" customWidth="1"/>
    <col min="12037" max="12037" width="13.6640625" customWidth="1"/>
    <col min="12038" max="12038" width="19.44140625" customWidth="1"/>
    <col min="12039" max="12039" width="15.44140625" customWidth="1"/>
    <col min="12040" max="12040" width="17.109375" customWidth="1"/>
    <col min="12041" max="12041" width="13.6640625" customWidth="1"/>
    <col min="12042" max="12042" width="19" customWidth="1"/>
    <col min="12043" max="12043" width="9.44140625" bestFit="1" customWidth="1"/>
    <col min="12290" max="12291" width="13.6640625" customWidth="1"/>
    <col min="12292" max="12292" width="11" customWidth="1"/>
    <col min="12293" max="12293" width="13.6640625" customWidth="1"/>
    <col min="12294" max="12294" width="19.44140625" customWidth="1"/>
    <col min="12295" max="12295" width="15.44140625" customWidth="1"/>
    <col min="12296" max="12296" width="17.109375" customWidth="1"/>
    <col min="12297" max="12297" width="13.6640625" customWidth="1"/>
    <col min="12298" max="12298" width="19" customWidth="1"/>
    <col min="12299" max="12299" width="9.44140625" bestFit="1" customWidth="1"/>
    <col min="12546" max="12547" width="13.6640625" customWidth="1"/>
    <col min="12548" max="12548" width="11" customWidth="1"/>
    <col min="12549" max="12549" width="13.6640625" customWidth="1"/>
    <col min="12550" max="12550" width="19.44140625" customWidth="1"/>
    <col min="12551" max="12551" width="15.44140625" customWidth="1"/>
    <col min="12552" max="12552" width="17.109375" customWidth="1"/>
    <col min="12553" max="12553" width="13.6640625" customWidth="1"/>
    <col min="12554" max="12554" width="19" customWidth="1"/>
    <col min="12555" max="12555" width="9.44140625" bestFit="1" customWidth="1"/>
    <col min="12802" max="12803" width="13.6640625" customWidth="1"/>
    <col min="12804" max="12804" width="11" customWidth="1"/>
    <col min="12805" max="12805" width="13.6640625" customWidth="1"/>
    <col min="12806" max="12806" width="19.44140625" customWidth="1"/>
    <col min="12807" max="12807" width="15.44140625" customWidth="1"/>
    <col min="12808" max="12808" width="17.109375" customWidth="1"/>
    <col min="12809" max="12809" width="13.6640625" customWidth="1"/>
    <col min="12810" max="12810" width="19" customWidth="1"/>
    <col min="12811" max="12811" width="9.44140625" bestFit="1" customWidth="1"/>
    <col min="13058" max="13059" width="13.6640625" customWidth="1"/>
    <col min="13060" max="13060" width="11" customWidth="1"/>
    <col min="13061" max="13061" width="13.6640625" customWidth="1"/>
    <col min="13062" max="13062" width="19.44140625" customWidth="1"/>
    <col min="13063" max="13063" width="15.44140625" customWidth="1"/>
    <col min="13064" max="13064" width="17.109375" customWidth="1"/>
    <col min="13065" max="13065" width="13.6640625" customWidth="1"/>
    <col min="13066" max="13066" width="19" customWidth="1"/>
    <col min="13067" max="13067" width="9.44140625" bestFit="1" customWidth="1"/>
    <col min="13314" max="13315" width="13.6640625" customWidth="1"/>
    <col min="13316" max="13316" width="11" customWidth="1"/>
    <col min="13317" max="13317" width="13.6640625" customWidth="1"/>
    <col min="13318" max="13318" width="19.44140625" customWidth="1"/>
    <col min="13319" max="13319" width="15.44140625" customWidth="1"/>
    <col min="13320" max="13320" width="17.109375" customWidth="1"/>
    <col min="13321" max="13321" width="13.6640625" customWidth="1"/>
    <col min="13322" max="13322" width="19" customWidth="1"/>
    <col min="13323" max="13323" width="9.44140625" bestFit="1" customWidth="1"/>
    <col min="13570" max="13571" width="13.6640625" customWidth="1"/>
    <col min="13572" max="13572" width="11" customWidth="1"/>
    <col min="13573" max="13573" width="13.6640625" customWidth="1"/>
    <col min="13574" max="13574" width="19.44140625" customWidth="1"/>
    <col min="13575" max="13575" width="15.44140625" customWidth="1"/>
    <col min="13576" max="13576" width="17.109375" customWidth="1"/>
    <col min="13577" max="13577" width="13.6640625" customWidth="1"/>
    <col min="13578" max="13578" width="19" customWidth="1"/>
    <col min="13579" max="13579" width="9.44140625" bestFit="1" customWidth="1"/>
    <col min="13826" max="13827" width="13.6640625" customWidth="1"/>
    <col min="13828" max="13828" width="11" customWidth="1"/>
    <col min="13829" max="13829" width="13.6640625" customWidth="1"/>
    <col min="13830" max="13830" width="19.44140625" customWidth="1"/>
    <col min="13831" max="13831" width="15.44140625" customWidth="1"/>
    <col min="13832" max="13832" width="17.109375" customWidth="1"/>
    <col min="13833" max="13833" width="13.6640625" customWidth="1"/>
    <col min="13834" max="13834" width="19" customWidth="1"/>
    <col min="13835" max="13835" width="9.44140625" bestFit="1" customWidth="1"/>
    <col min="14082" max="14083" width="13.6640625" customWidth="1"/>
    <col min="14084" max="14084" width="11" customWidth="1"/>
    <col min="14085" max="14085" width="13.6640625" customWidth="1"/>
    <col min="14086" max="14086" width="19.44140625" customWidth="1"/>
    <col min="14087" max="14087" width="15.44140625" customWidth="1"/>
    <col min="14088" max="14088" width="17.109375" customWidth="1"/>
    <col min="14089" max="14089" width="13.6640625" customWidth="1"/>
    <col min="14090" max="14090" width="19" customWidth="1"/>
    <col min="14091" max="14091" width="9.44140625" bestFit="1" customWidth="1"/>
    <col min="14338" max="14339" width="13.6640625" customWidth="1"/>
    <col min="14340" max="14340" width="11" customWidth="1"/>
    <col min="14341" max="14341" width="13.6640625" customWidth="1"/>
    <col min="14342" max="14342" width="19.44140625" customWidth="1"/>
    <col min="14343" max="14343" width="15.44140625" customWidth="1"/>
    <col min="14344" max="14344" width="17.109375" customWidth="1"/>
    <col min="14345" max="14345" width="13.6640625" customWidth="1"/>
    <col min="14346" max="14346" width="19" customWidth="1"/>
    <col min="14347" max="14347" width="9.44140625" bestFit="1" customWidth="1"/>
    <col min="14594" max="14595" width="13.6640625" customWidth="1"/>
    <col min="14596" max="14596" width="11" customWidth="1"/>
    <col min="14597" max="14597" width="13.6640625" customWidth="1"/>
    <col min="14598" max="14598" width="19.44140625" customWidth="1"/>
    <col min="14599" max="14599" width="15.44140625" customWidth="1"/>
    <col min="14600" max="14600" width="17.109375" customWidth="1"/>
    <col min="14601" max="14601" width="13.6640625" customWidth="1"/>
    <col min="14602" max="14602" width="19" customWidth="1"/>
    <col min="14603" max="14603" width="9.44140625" bestFit="1" customWidth="1"/>
    <col min="14850" max="14851" width="13.6640625" customWidth="1"/>
    <col min="14852" max="14852" width="11" customWidth="1"/>
    <col min="14853" max="14853" width="13.6640625" customWidth="1"/>
    <col min="14854" max="14854" width="19.44140625" customWidth="1"/>
    <col min="14855" max="14855" width="15.44140625" customWidth="1"/>
    <col min="14856" max="14856" width="17.109375" customWidth="1"/>
    <col min="14857" max="14857" width="13.6640625" customWidth="1"/>
    <col min="14858" max="14858" width="19" customWidth="1"/>
    <col min="14859" max="14859" width="9.44140625" bestFit="1" customWidth="1"/>
    <col min="15106" max="15107" width="13.6640625" customWidth="1"/>
    <col min="15108" max="15108" width="11" customWidth="1"/>
    <col min="15109" max="15109" width="13.6640625" customWidth="1"/>
    <col min="15110" max="15110" width="19.44140625" customWidth="1"/>
    <col min="15111" max="15111" width="15.44140625" customWidth="1"/>
    <col min="15112" max="15112" width="17.109375" customWidth="1"/>
    <col min="15113" max="15113" width="13.6640625" customWidth="1"/>
    <col min="15114" max="15114" width="19" customWidth="1"/>
    <col min="15115" max="15115" width="9.44140625" bestFit="1" customWidth="1"/>
    <col min="15362" max="15363" width="13.6640625" customWidth="1"/>
    <col min="15364" max="15364" width="11" customWidth="1"/>
    <col min="15365" max="15365" width="13.6640625" customWidth="1"/>
    <col min="15366" max="15366" width="19.44140625" customWidth="1"/>
    <col min="15367" max="15367" width="15.44140625" customWidth="1"/>
    <col min="15368" max="15368" width="17.109375" customWidth="1"/>
    <col min="15369" max="15369" width="13.6640625" customWidth="1"/>
    <col min="15370" max="15370" width="19" customWidth="1"/>
    <col min="15371" max="15371" width="9.44140625" bestFit="1" customWidth="1"/>
    <col min="15618" max="15619" width="13.6640625" customWidth="1"/>
    <col min="15620" max="15620" width="11" customWidth="1"/>
    <col min="15621" max="15621" width="13.6640625" customWidth="1"/>
    <col min="15622" max="15622" width="19.44140625" customWidth="1"/>
    <col min="15623" max="15623" width="15.44140625" customWidth="1"/>
    <col min="15624" max="15624" width="17.109375" customWidth="1"/>
    <col min="15625" max="15625" width="13.6640625" customWidth="1"/>
    <col min="15626" max="15626" width="19" customWidth="1"/>
    <col min="15627" max="15627" width="9.44140625" bestFit="1" customWidth="1"/>
    <col min="15874" max="15875" width="13.6640625" customWidth="1"/>
    <col min="15876" max="15876" width="11" customWidth="1"/>
    <col min="15877" max="15877" width="13.6640625" customWidth="1"/>
    <col min="15878" max="15878" width="19.44140625" customWidth="1"/>
    <col min="15879" max="15879" width="15.44140625" customWidth="1"/>
    <col min="15880" max="15880" width="17.109375" customWidth="1"/>
    <col min="15881" max="15881" width="13.6640625" customWidth="1"/>
    <col min="15882" max="15882" width="19" customWidth="1"/>
    <col min="15883" max="15883" width="9.44140625" bestFit="1" customWidth="1"/>
    <col min="16130" max="16131" width="13.6640625" customWidth="1"/>
    <col min="16132" max="16132" width="11" customWidth="1"/>
    <col min="16133" max="16133" width="13.6640625" customWidth="1"/>
    <col min="16134" max="16134" width="19.44140625" customWidth="1"/>
    <col min="16135" max="16135" width="15.44140625" customWidth="1"/>
    <col min="16136" max="16136" width="17.109375" customWidth="1"/>
    <col min="16137" max="16137" width="13.6640625" customWidth="1"/>
    <col min="16138" max="16138" width="19" customWidth="1"/>
    <col min="16139" max="16139" width="9.44140625" bestFit="1" customWidth="1"/>
  </cols>
  <sheetData>
    <row r="2" spans="2:15">
      <c r="B2" s="2885" t="s">
        <v>2926</v>
      </c>
      <c r="C2" s="2885"/>
      <c r="D2" s="2885"/>
      <c r="E2" s="2885"/>
      <c r="F2" s="2885"/>
      <c r="G2" s="2885"/>
      <c r="H2" s="2885"/>
      <c r="I2" s="2885"/>
      <c r="J2" s="2885"/>
    </row>
    <row r="3" spans="2:15">
      <c r="B3" s="2886" t="s">
        <v>2927</v>
      </c>
      <c r="C3" s="2886" t="s">
        <v>2928</v>
      </c>
      <c r="D3" s="2886" t="s">
        <v>2929</v>
      </c>
      <c r="E3" s="2886" t="s">
        <v>2930</v>
      </c>
      <c r="F3" s="2886"/>
      <c r="G3" s="2886" t="s">
        <v>2931</v>
      </c>
      <c r="H3" s="2886"/>
      <c r="I3" s="2886" t="s">
        <v>2932</v>
      </c>
      <c r="J3" s="2886"/>
    </row>
    <row r="4" spans="2:15">
      <c r="B4" s="2886"/>
      <c r="C4" s="2886"/>
      <c r="D4" s="2886"/>
      <c r="E4" s="2774" t="s">
        <v>2933</v>
      </c>
      <c r="F4" s="2774" t="s">
        <v>2849</v>
      </c>
      <c r="G4" s="2774" t="s">
        <v>2933</v>
      </c>
      <c r="H4" s="2774" t="s">
        <v>2849</v>
      </c>
      <c r="I4" s="2774" t="s">
        <v>2933</v>
      </c>
      <c r="J4" s="2774" t="s">
        <v>2849</v>
      </c>
    </row>
    <row r="5" spans="2:15" ht="18.75" customHeight="1">
      <c r="B5" s="2774" t="str">
        <f>[1]典型户型修正!A24</f>
        <v>512-516</v>
      </c>
      <c r="C5" s="2774">
        <f>[1]典型户型修正!B24</f>
        <v>1286.47</v>
      </c>
      <c r="D5" s="2774">
        <f>[1]结果表!C121</f>
        <v>147.41999999999999</v>
      </c>
      <c r="E5" s="2774">
        <f ca="1">I5-G5</f>
        <v>3712</v>
      </c>
      <c r="F5" s="2774">
        <f ca="1">J5-H5</f>
        <v>28857</v>
      </c>
      <c r="G5" s="2774">
        <f ca="1">ROUND(H5*C5/10000,0)</f>
        <v>681</v>
      </c>
      <c r="H5" s="2774">
        <f ca="1">ROUND(J5*F21,0)</f>
        <v>5293</v>
      </c>
      <c r="I5" s="2774">
        <f ca="1">ROUND(J5*C5/10000,0)</f>
        <v>4393</v>
      </c>
      <c r="J5" s="2775">
        <f ca="1">典型户型修正!R27</f>
        <v>34150</v>
      </c>
      <c r="K5">
        <f ca="1">I5*0.4</f>
        <v>1757.2</v>
      </c>
    </row>
    <row r="6" spans="2:15">
      <c r="B6" s="2774">
        <f>[1]典型户型修正!A26</f>
        <v>2101</v>
      </c>
      <c r="C6" s="2774">
        <f>[1]典型户型修正!B26</f>
        <v>236.83</v>
      </c>
      <c r="D6" s="2774">
        <f>ROUND(C6/$C$16*$C$17,2)</f>
        <v>27.14</v>
      </c>
      <c r="E6" s="2774">
        <f t="shared" ref="E6:E7" ca="1" si="0">I6-G6</f>
        <v>729</v>
      </c>
      <c r="F6" s="2774">
        <f ca="1">J6-H6</f>
        <v>30756</v>
      </c>
      <c r="G6" s="2774">
        <f ca="1">ROUND(H6*C6/10000,0)</f>
        <v>125</v>
      </c>
      <c r="H6" s="2774">
        <f ca="1">H5</f>
        <v>5293</v>
      </c>
      <c r="I6" s="2774">
        <f ca="1">ROUND(J6*C6/10000,0)</f>
        <v>854</v>
      </c>
      <c r="J6" s="2775">
        <f ca="1">典型户型修正!R28</f>
        <v>36049</v>
      </c>
      <c r="K6">
        <f ca="1">I6*0.4</f>
        <v>341.6</v>
      </c>
    </row>
    <row r="7" spans="2:15">
      <c r="B7" s="2774">
        <f>[1]典型户型修正!A27</f>
        <v>2201</v>
      </c>
      <c r="C7" s="2774">
        <f>[1]典型户型修正!B27</f>
        <v>240.11</v>
      </c>
      <c r="D7" s="2774">
        <f>ROUND(C7/$C$16*$C$17,2)</f>
        <v>27.52</v>
      </c>
      <c r="E7" s="2774">
        <f t="shared" ca="1" si="0"/>
        <v>704</v>
      </c>
      <c r="F7" s="2774">
        <f ca="1">J7-H7</f>
        <v>29314</v>
      </c>
      <c r="G7" s="2774">
        <f ca="1">ROUND(H7*C7/10000,0)</f>
        <v>127</v>
      </c>
      <c r="H7" s="2774">
        <f ca="1">H6</f>
        <v>5293</v>
      </c>
      <c r="I7" s="2774">
        <f ca="1">ROUND(J7*C7/10000,0)</f>
        <v>831</v>
      </c>
      <c r="J7" s="2775">
        <f ca="1">典型户型修正!R29</f>
        <v>34607</v>
      </c>
      <c r="K7">
        <f ca="1">I7*0.4</f>
        <v>332.40000000000003</v>
      </c>
    </row>
    <row r="8" spans="2:15">
      <c r="B8" s="2774" t="s">
        <v>51</v>
      </c>
      <c r="C8" s="2774">
        <f>SUM(C5:C7)</f>
        <v>1763.4099999999999</v>
      </c>
      <c r="D8" s="2774">
        <f>SUM(D5:D7)</f>
        <v>202.08</v>
      </c>
      <c r="E8" s="2887">
        <f ca="1">SUM(E5:E7)</f>
        <v>5145</v>
      </c>
      <c r="F8" s="2888"/>
      <c r="G8" s="2887">
        <f ca="1">SUM(G5:G7)</f>
        <v>933</v>
      </c>
      <c r="H8" s="2888"/>
      <c r="I8" s="2887">
        <f ca="1">SUM(I5:I7)</f>
        <v>6078</v>
      </c>
      <c r="J8" s="2888"/>
      <c r="L8">
        <f ca="1">I5</f>
        <v>4393</v>
      </c>
      <c r="M8" t="e">
        <f>#REF!</f>
        <v>#REF!</v>
      </c>
      <c r="N8">
        <f ca="1">I6</f>
        <v>854</v>
      </c>
      <c r="O8">
        <f ca="1">I7</f>
        <v>831</v>
      </c>
    </row>
    <row r="9" spans="2:15">
      <c r="B9" s="2886" t="s">
        <v>2934</v>
      </c>
      <c r="C9" s="2886"/>
      <c r="D9" s="2886"/>
      <c r="E9" s="2889">
        <f ca="1">E8*10000</f>
        <v>51450000</v>
      </c>
      <c r="F9" s="2889"/>
      <c r="G9" s="2889">
        <f ca="1">G8*10000</f>
        <v>9330000</v>
      </c>
      <c r="H9" s="2889"/>
      <c r="I9" s="2889">
        <f ca="1">I8*10000</f>
        <v>60780000</v>
      </c>
      <c r="J9" s="2889"/>
      <c r="L9">
        <f ca="1">J5</f>
        <v>34150</v>
      </c>
      <c r="M9" t="e">
        <f>#REF!</f>
        <v>#REF!</v>
      </c>
      <c r="N9">
        <f ca="1">J6</f>
        <v>36049</v>
      </c>
      <c r="O9">
        <f ca="1">J7</f>
        <v>34607</v>
      </c>
    </row>
    <row r="10" spans="2:15">
      <c r="B10" s="2893" t="s">
        <v>2935</v>
      </c>
      <c r="C10" s="2893"/>
      <c r="D10" s="2893"/>
      <c r="E10" s="2894">
        <v>0</v>
      </c>
      <c r="F10" s="2895"/>
      <c r="G10" s="2895"/>
      <c r="H10" s="2895"/>
      <c r="I10" s="2895"/>
      <c r="J10" s="2896"/>
    </row>
    <row r="11" spans="2:15">
      <c r="B11" s="2886" t="s">
        <v>2936</v>
      </c>
      <c r="C11" s="2886"/>
      <c r="D11" s="2886"/>
      <c r="E11" s="2890">
        <f>E10*10000</f>
        <v>0</v>
      </c>
      <c r="F11" s="2891"/>
      <c r="G11" s="2891"/>
      <c r="H11" s="2891"/>
      <c r="I11" s="2891"/>
      <c r="J11" s="2892"/>
    </row>
    <row r="12" spans="2:15">
      <c r="B12" s="2893" t="s">
        <v>2831</v>
      </c>
      <c r="C12" s="2893"/>
      <c r="D12" s="2893"/>
      <c r="E12" s="2894">
        <f ca="1">I8</f>
        <v>6078</v>
      </c>
      <c r="F12" s="2895"/>
      <c r="G12" s="2895"/>
      <c r="H12" s="2895"/>
      <c r="I12" s="2895"/>
      <c r="J12" s="2896"/>
    </row>
    <row r="13" spans="2:15">
      <c r="B13" s="2886" t="s">
        <v>2936</v>
      </c>
      <c r="C13" s="2886"/>
      <c r="D13" s="2886"/>
      <c r="E13" s="2890">
        <f ca="1">E12*10000</f>
        <v>60780000</v>
      </c>
      <c r="F13" s="2891"/>
      <c r="G13" s="2891"/>
      <c r="H13" s="2891"/>
      <c r="I13" s="2891"/>
      <c r="J13" s="2892"/>
    </row>
    <row r="16" spans="2:15">
      <c r="B16" t="s">
        <v>2937</v>
      </c>
      <c r="C16">
        <v>93222.79</v>
      </c>
    </row>
    <row r="17" spans="2:10">
      <c r="B17" t="s">
        <v>2938</v>
      </c>
      <c r="C17">
        <v>10682.89</v>
      </c>
    </row>
    <row r="19" spans="2:10">
      <c r="C19" s="2776" t="s">
        <v>2939</v>
      </c>
      <c r="D19" s="2777"/>
      <c r="E19" s="2778"/>
      <c r="F19" s="2779" t="s">
        <v>2940</v>
      </c>
    </row>
    <row r="20" spans="2:10">
      <c r="C20" s="2780"/>
      <c r="D20" s="2781" t="s">
        <v>2941</v>
      </c>
      <c r="E20" s="2782">
        <f ca="1">E18-E21</f>
        <v>0</v>
      </c>
      <c r="F20" s="2783">
        <f ca="1">结果表!D34</f>
        <v>0.84499999999999997</v>
      </c>
    </row>
    <row r="21" spans="2:10" ht="15" thickBot="1">
      <c r="C21" s="2784"/>
      <c r="D21" s="2785" t="s">
        <v>2942</v>
      </c>
      <c r="E21" s="2786">
        <f ca="1">ROUND(E18*F21,0)</f>
        <v>0</v>
      </c>
      <c r="F21" s="2783">
        <f ca="1">结果表!D35</f>
        <v>0.155</v>
      </c>
    </row>
    <row r="25" spans="2:10">
      <c r="B25" s="1889" t="s">
        <v>2947</v>
      </c>
    </row>
    <row r="26" spans="2:10">
      <c r="B26" s="2886" t="s">
        <v>2927</v>
      </c>
      <c r="C26" s="2886" t="s">
        <v>2928</v>
      </c>
      <c r="D26" s="2886" t="s">
        <v>2929</v>
      </c>
      <c r="E26" s="2886" t="s">
        <v>2945</v>
      </c>
      <c r="F26" s="2886"/>
      <c r="G26" s="2886" t="s">
        <v>2931</v>
      </c>
      <c r="H26" s="2886"/>
      <c r="I26" s="2886" t="s">
        <v>2932</v>
      </c>
      <c r="J26" s="2886"/>
    </row>
    <row r="27" spans="2:10">
      <c r="B27" s="2886"/>
      <c r="C27" s="2886"/>
      <c r="D27" s="2886"/>
      <c r="E27" s="2795" t="s">
        <v>2933</v>
      </c>
      <c r="F27" s="2795" t="s">
        <v>2849</v>
      </c>
      <c r="G27" s="2795" t="s">
        <v>2933</v>
      </c>
      <c r="H27" s="2795" t="s">
        <v>2849</v>
      </c>
      <c r="I27" s="2795" t="s">
        <v>2933</v>
      </c>
      <c r="J27" s="2795" t="s">
        <v>2849</v>
      </c>
    </row>
    <row r="28" spans="2:10">
      <c r="B28" s="2795" t="s">
        <v>2946</v>
      </c>
      <c r="C28" s="2795">
        <v>1286.47</v>
      </c>
      <c r="D28" s="2795">
        <v>147.41999999999999</v>
      </c>
      <c r="E28" s="2795">
        <v>3702</v>
      </c>
      <c r="F28" s="2795">
        <v>28773</v>
      </c>
      <c r="G28" s="2795">
        <v>684</v>
      </c>
      <c r="H28" s="2795">
        <v>5318</v>
      </c>
      <c r="I28" s="2795">
        <v>4386</v>
      </c>
      <c r="J28" s="2796">
        <v>34091</v>
      </c>
    </row>
    <row r="29" spans="2:10">
      <c r="B29" s="2795">
        <v>2101</v>
      </c>
      <c r="C29" s="2795">
        <v>236.83</v>
      </c>
      <c r="D29" s="2795">
        <v>27.14</v>
      </c>
      <c r="E29" s="2795">
        <v>726</v>
      </c>
      <c r="F29" s="2795">
        <v>30668</v>
      </c>
      <c r="G29" s="2795">
        <v>126</v>
      </c>
      <c r="H29" s="2795">
        <v>5318</v>
      </c>
      <c r="I29" s="2795">
        <v>852</v>
      </c>
      <c r="J29" s="2796">
        <v>35986</v>
      </c>
    </row>
    <row r="30" spans="2:10">
      <c r="B30" s="2795">
        <v>2201</v>
      </c>
      <c r="C30" s="2795">
        <v>240.11</v>
      </c>
      <c r="D30" s="2795">
        <v>27.52</v>
      </c>
      <c r="E30" s="2795">
        <v>736</v>
      </c>
      <c r="F30" s="2795">
        <v>30668</v>
      </c>
      <c r="G30" s="2795">
        <v>128</v>
      </c>
      <c r="H30" s="2795">
        <v>5318</v>
      </c>
      <c r="I30" s="2795">
        <v>864</v>
      </c>
      <c r="J30" s="2796">
        <v>35986</v>
      </c>
    </row>
    <row r="31" spans="2:10">
      <c r="B31" s="2795" t="s">
        <v>51</v>
      </c>
      <c r="C31" s="2795">
        <v>1763.4099999999999</v>
      </c>
      <c r="D31" s="2795">
        <v>202.08</v>
      </c>
      <c r="E31" s="2887">
        <v>5164</v>
      </c>
      <c r="F31" s="2888"/>
      <c r="G31" s="2887">
        <v>938</v>
      </c>
      <c r="H31" s="2888"/>
      <c r="I31" s="2887">
        <v>6102</v>
      </c>
      <c r="J31" s="2888"/>
    </row>
    <row r="32" spans="2:10">
      <c r="B32" s="2886" t="s">
        <v>2936</v>
      </c>
      <c r="C32" s="2886"/>
      <c r="D32" s="2886"/>
      <c r="E32" s="2889">
        <v>51640000</v>
      </c>
      <c r="F32" s="2889"/>
      <c r="G32" s="2889">
        <v>9380000</v>
      </c>
      <c r="H32" s="2889"/>
      <c r="I32" s="2889">
        <v>61020000</v>
      </c>
      <c r="J32" s="2889"/>
    </row>
  </sheetData>
  <mergeCells count="35">
    <mergeCell ref="I26:J26"/>
    <mergeCell ref="E31:F31"/>
    <mergeCell ref="G31:H31"/>
    <mergeCell ref="I31:J31"/>
    <mergeCell ref="B32:D32"/>
    <mergeCell ref="E32:F32"/>
    <mergeCell ref="G32:H32"/>
    <mergeCell ref="I32:J32"/>
    <mergeCell ref="B26:B27"/>
    <mergeCell ref="C26:C27"/>
    <mergeCell ref="D26:D27"/>
    <mergeCell ref="E26:F26"/>
    <mergeCell ref="G26:H26"/>
    <mergeCell ref="B13:D13"/>
    <mergeCell ref="E13:J13"/>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xr:uid="{00000000-0002-0000-0E00-000000000000}">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00000000-0002-0000-0E00-000001000000}">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640625" defaultRowHeight="21.75" customHeight="1"/>
  <cols>
    <col min="1" max="1" width="12.6640625" style="2172"/>
    <col min="2" max="2" width="17.6640625" style="2172" customWidth="1"/>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1958</v>
      </c>
      <c r="B1" s="2171"/>
      <c r="C1" s="2171"/>
      <c r="D1" s="2171"/>
      <c r="E1" s="2171"/>
      <c r="F1" s="2171"/>
      <c r="G1" s="2171"/>
      <c r="H1" s="2171"/>
      <c r="I1" s="2171"/>
    </row>
    <row r="2" spans="1:12" ht="21.75" customHeight="1">
      <c r="A2" s="3010" t="s">
        <v>1959</v>
      </c>
      <c r="B2" s="3010"/>
      <c r="C2" s="3010"/>
      <c r="D2" s="3010"/>
      <c r="E2" s="3010"/>
      <c r="F2" s="3010"/>
      <c r="G2" s="3010"/>
      <c r="H2" s="3010"/>
      <c r="I2" s="3010"/>
    </row>
    <row r="3" spans="1:12" ht="13.2">
      <c r="A3" s="3011" t="s">
        <v>1763</v>
      </c>
      <c r="B3" s="3012"/>
      <c r="C3" s="3012"/>
      <c r="D3" s="3012"/>
      <c r="E3" s="3012"/>
      <c r="F3" s="3012"/>
      <c r="G3" s="3012"/>
      <c r="H3" s="3012"/>
      <c r="I3" s="3012"/>
    </row>
    <row r="4" spans="1:12" ht="14.4">
      <c r="A4" s="2173" t="s">
        <v>1764</v>
      </c>
      <c r="B4" s="2174" t="s">
        <v>1765</v>
      </c>
      <c r="C4" s="2175" t="s">
        <v>2921</v>
      </c>
      <c r="D4" s="2175" t="s">
        <v>2922</v>
      </c>
      <c r="E4" s="2998" t="s">
        <v>1960</v>
      </c>
      <c r="F4" s="3007"/>
      <c r="G4" s="3007"/>
      <c r="H4" s="3007"/>
      <c r="I4" s="2999"/>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3.2">
      <c r="A5" s="3013" t="s">
        <v>1767</v>
      </c>
      <c r="B5" s="2912">
        <v>25</v>
      </c>
      <c r="C5" s="3014"/>
      <c r="D5" s="3017"/>
      <c r="E5" s="52" t="s">
        <v>1768</v>
      </c>
      <c r="F5" s="2176"/>
      <c r="G5" s="2176"/>
      <c r="H5" s="2176"/>
      <c r="I5" s="2177"/>
    </row>
    <row r="6" spans="1:12" ht="13.2">
      <c r="A6" s="3013"/>
      <c r="B6" s="2912"/>
      <c r="C6" s="3015"/>
      <c r="D6" s="3017"/>
      <c r="E6" s="52" t="s">
        <v>1769</v>
      </c>
      <c r="F6" s="2176"/>
      <c r="G6" s="2176"/>
      <c r="H6" s="2176"/>
      <c r="I6" s="2177"/>
    </row>
    <row r="7" spans="1:12" ht="13.2">
      <c r="A7" s="3013"/>
      <c r="B7" s="2912"/>
      <c r="C7" s="3016"/>
      <c r="D7" s="3017"/>
      <c r="E7" s="52" t="s">
        <v>1770</v>
      </c>
      <c r="F7" s="2176"/>
      <c r="G7" s="2176"/>
      <c r="H7" s="2176"/>
      <c r="I7" s="2177"/>
    </row>
    <row r="8" spans="1:12" ht="13.2">
      <c r="A8" s="3013" t="s">
        <v>1771</v>
      </c>
      <c r="B8" s="2912">
        <v>15</v>
      </c>
      <c r="C8" s="3014"/>
      <c r="D8" s="3017"/>
      <c r="E8" s="52" t="s">
        <v>1772</v>
      </c>
      <c r="F8" s="2176"/>
      <c r="G8" s="2176"/>
      <c r="H8" s="2176"/>
      <c r="I8" s="2177"/>
    </row>
    <row r="9" spans="1:12" ht="13.2">
      <c r="A9" s="3013"/>
      <c r="B9" s="2912"/>
      <c r="C9" s="3016"/>
      <c r="D9" s="3017"/>
      <c r="E9" s="52" t="s">
        <v>1773</v>
      </c>
      <c r="F9" s="2176"/>
      <c r="G9" s="2176"/>
      <c r="H9" s="2176"/>
      <c r="I9" s="2177"/>
    </row>
    <row r="10" spans="1:12" ht="13.2">
      <c r="A10" s="3013" t="s">
        <v>1774</v>
      </c>
      <c r="B10" s="2912">
        <v>15</v>
      </c>
      <c r="C10" s="3014"/>
      <c r="D10" s="3017"/>
      <c r="E10" s="52" t="s">
        <v>1775</v>
      </c>
      <c r="F10" s="2176"/>
      <c r="G10" s="2176"/>
      <c r="H10" s="2176"/>
      <c r="I10" s="2177"/>
    </row>
    <row r="11" spans="1:12" ht="13.2">
      <c r="A11" s="3013"/>
      <c r="B11" s="2912"/>
      <c r="C11" s="3016"/>
      <c r="D11" s="3017"/>
      <c r="E11" s="52" t="s">
        <v>1776</v>
      </c>
      <c r="F11" s="2176"/>
      <c r="G11" s="2176"/>
      <c r="H11" s="2176"/>
      <c r="I11" s="2177"/>
    </row>
    <row r="12" spans="1:12" ht="13.2">
      <c r="A12" s="3013" t="s">
        <v>1777</v>
      </c>
      <c r="B12" s="2912">
        <v>15</v>
      </c>
      <c r="C12" s="3014"/>
      <c r="D12" s="3017"/>
      <c r="E12" s="52" t="s">
        <v>1778</v>
      </c>
      <c r="F12" s="2176"/>
      <c r="G12" s="2176"/>
      <c r="H12" s="2176"/>
      <c r="I12" s="2177"/>
    </row>
    <row r="13" spans="1:12" ht="13.2">
      <c r="A13" s="3013"/>
      <c r="B13" s="2912"/>
      <c r="C13" s="3016"/>
      <c r="D13" s="3017"/>
      <c r="E13" s="52" t="s">
        <v>1779</v>
      </c>
      <c r="F13" s="2176"/>
      <c r="G13" s="2176"/>
      <c r="H13" s="2176"/>
      <c r="I13" s="2177"/>
    </row>
    <row r="14" spans="1:12" ht="13.2">
      <c r="A14" s="3013" t="s">
        <v>1780</v>
      </c>
      <c r="B14" s="2912">
        <v>30</v>
      </c>
      <c r="C14" s="3014">
        <v>10</v>
      </c>
      <c r="D14" s="3017">
        <v>0</v>
      </c>
      <c r="E14" s="52" t="s">
        <v>1781</v>
      </c>
      <c r="F14" s="2176"/>
      <c r="G14" s="2176"/>
      <c r="H14" s="2176"/>
      <c r="I14" s="2177"/>
    </row>
    <row r="15" spans="1:12" ht="13.2">
      <c r="A15" s="3013"/>
      <c r="B15" s="2912"/>
      <c r="C15" s="3015"/>
      <c r="D15" s="3017"/>
      <c r="E15" s="52" t="s">
        <v>1782</v>
      </c>
      <c r="F15" s="2176"/>
      <c r="G15" s="2176"/>
      <c r="H15" s="2176"/>
      <c r="I15" s="2177"/>
    </row>
    <row r="16" spans="1:12" ht="13.2">
      <c r="A16" s="3013"/>
      <c r="B16" s="2912"/>
      <c r="C16" s="3016"/>
      <c r="D16" s="3017"/>
      <c r="E16" s="52" t="s">
        <v>1783</v>
      </c>
      <c r="F16" s="2176"/>
      <c r="G16" s="2176"/>
      <c r="H16" s="2176"/>
      <c r="I16" s="2177"/>
    </row>
    <row r="17" spans="1:35" ht="14.4">
      <c r="A17" s="2178" t="s">
        <v>1784</v>
      </c>
      <c r="B17" s="2179"/>
      <c r="C17" s="53">
        <f>SUM(C5:C16)</f>
        <v>10</v>
      </c>
      <c r="D17" s="53">
        <f>SUM(D5:D16)</f>
        <v>0</v>
      </c>
      <c r="E17" s="2171"/>
      <c r="F17" s="2171"/>
      <c r="G17" s="2171"/>
      <c r="H17" s="2171"/>
      <c r="I17" s="2171"/>
    </row>
    <row r="18" spans="1:35" ht="15" thickBot="1">
      <c r="A18" s="2180" t="s">
        <v>1785</v>
      </c>
      <c r="B18" s="2181"/>
      <c r="C18" s="54">
        <f>ROUND(C17/SUM(C17:D17),2)</f>
        <v>1</v>
      </c>
      <c r="D18" s="54">
        <f>1-C18</f>
        <v>0</v>
      </c>
      <c r="E18" s="2171"/>
      <c r="F18" s="2171"/>
      <c r="G18" s="2171"/>
      <c r="H18" s="2171"/>
      <c r="I18" s="2171"/>
    </row>
    <row r="19" spans="1:35" ht="14.4">
      <c r="A19" s="2182" t="s">
        <v>1786</v>
      </c>
      <c r="B19" s="2183" t="s">
        <v>1787</v>
      </c>
      <c r="C19" s="55">
        <f ca="1">SUMIF(INDIRECT("'"&amp;C4&amp;"'"&amp;"!A:A"),'结果表 (1修多)'!B19,INDIRECT("'"&amp;C4&amp;"'"&amp;"!B:B"))</f>
        <v>6078</v>
      </c>
      <c r="D19" s="56">
        <f ca="1">SUMIF(INDIRECT("'"&amp;D4&amp;"'"&amp;"!A:A"),'结果表 (1修多)'!B19,INDIRECT("'"&amp;D4&amp;"'"&amp;"!B:B"))</f>
        <v>786</v>
      </c>
      <c r="E19" s="2182" t="s">
        <v>1788</v>
      </c>
      <c r="F19" s="2183" t="s">
        <v>1787</v>
      </c>
      <c r="G19" s="57">
        <f ca="1">ROUND(C19*$C$18+D19*$D$18,0)</f>
        <v>6078</v>
      </c>
      <c r="H19" s="2184" t="str">
        <f>'数据-取费表'!B3</f>
        <v>万元</v>
      </c>
      <c r="I19" s="2171"/>
    </row>
    <row r="20" spans="1:35" ht="14.4">
      <c r="A20" s="2185"/>
      <c r="B20" s="2186" t="s">
        <v>1789</v>
      </c>
      <c r="C20" s="58">
        <f ca="1">SUMIF(INDIRECT("'"&amp;C4&amp;"'"&amp;"!A:A"),'结果表 (1修多)'!B20,INDIRECT("'"&amp;C4&amp;"'"&amp;"!B:B"))</f>
        <v>34467</v>
      </c>
      <c r="D20" s="59">
        <f ca="1">SUMIF(INDIRECT("'"&amp;D4&amp;"'"&amp;"!A:A"),'结果表 (1修多)'!B20,INDIRECT("'"&amp;D4&amp;"'"&amp;"!B:B"))</f>
        <v>4458</v>
      </c>
      <c r="E20" s="2185"/>
      <c r="F20" s="2186" t="s">
        <v>1789</v>
      </c>
      <c r="G20" s="60">
        <f ca="1">ROUND(C20*$C$18+D20*$D$18,0)</f>
        <v>34467</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6.7328244274809164</v>
      </c>
      <c r="E22" s="2171"/>
      <c r="F22" s="2171"/>
      <c r="G22" s="2171"/>
      <c r="H22" s="2171"/>
      <c r="I22" s="2171"/>
    </row>
    <row r="23" spans="1:35" ht="13.8" thickBot="1">
      <c r="A23" s="2171"/>
      <c r="B23" s="2171"/>
      <c r="C23" s="2171"/>
      <c r="D23" s="2171"/>
      <c r="E23" s="2171"/>
      <c r="F23" s="2171"/>
      <c r="G23" s="2171"/>
      <c r="H23" s="2171"/>
      <c r="I23" s="2171"/>
    </row>
    <row r="24" spans="1:35" ht="21.75" customHeight="1">
      <c r="A24" s="3018" t="s">
        <v>1792</v>
      </c>
      <c r="B24" s="2183" t="s">
        <v>1787</v>
      </c>
      <c r="C24" s="57">
        <f>D30</f>
        <v>0</v>
      </c>
      <c r="D24" s="981"/>
      <c r="E24" s="2171"/>
      <c r="F24" s="2171"/>
      <c r="G24" s="2171"/>
      <c r="H24" s="2171"/>
      <c r="I24" s="2171"/>
    </row>
    <row r="25" spans="1:35" ht="21.75" customHeight="1">
      <c r="A25" s="3019"/>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4">
      <c r="A27" s="2196" t="s">
        <v>1961</v>
      </c>
      <c r="B27" s="63">
        <v>0</v>
      </c>
      <c r="C27" s="63">
        <v>0</v>
      </c>
      <c r="D27" s="64">
        <f>ROUND(C27*B27/10000,0)</f>
        <v>0</v>
      </c>
      <c r="E27" s="2171"/>
      <c r="F27" s="2171"/>
      <c r="G27" s="2171"/>
      <c r="H27" s="2171"/>
      <c r="I27" s="2171"/>
    </row>
    <row r="28" spans="1:35" ht="13.8">
      <c r="A28" s="2195"/>
      <c r="B28" s="63"/>
      <c r="C28" s="63"/>
      <c r="D28" s="64">
        <f>ROUND(C28*B28/10000,0)</f>
        <v>0</v>
      </c>
      <c r="E28" s="2171"/>
      <c r="F28" s="2171"/>
      <c r="G28" s="2171"/>
      <c r="H28" s="2171"/>
      <c r="I28" s="2171"/>
    </row>
    <row r="29" spans="1:35" ht="13.8">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 thickBot="1">
      <c r="A31" s="2905" t="s">
        <v>1963</v>
      </c>
      <c r="B31" s="2905"/>
      <c r="C31" s="2905"/>
      <c r="D31" s="2905"/>
      <c r="E31" s="2905"/>
      <c r="F31" s="2905"/>
      <c r="G31" s="2905"/>
      <c r="H31" s="2905"/>
      <c r="I31" s="2905"/>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4.4">
      <c r="A32" s="2296"/>
      <c r="B32" s="2297" t="s">
        <v>1964</v>
      </c>
      <c r="C32" s="1290">
        <f ca="1">典型户型修正!R27</f>
        <v>34150</v>
      </c>
      <c r="D32" s="2171" t="s">
        <v>1965</v>
      </c>
      <c r="E32" s="2171"/>
      <c r="F32" s="2171"/>
      <c r="G32" s="2171"/>
      <c r="H32" s="2171"/>
      <c r="I32" s="2171"/>
    </row>
    <row r="33" spans="1:16" ht="14.4">
      <c r="A33" s="2298" t="s">
        <v>1966</v>
      </c>
      <c r="B33" s="2299" t="s">
        <v>1967</v>
      </c>
      <c r="C33" s="1291">
        <f ca="1">典型户型修正!B2</f>
        <v>6078</v>
      </c>
      <c r="D33" s="2300" t="str">
        <f>IF('数据-取费表'!B3="万元","万元","元")</f>
        <v>万元</v>
      </c>
      <c r="E33" s="2171"/>
      <c r="F33" s="2171"/>
      <c r="G33" s="2171"/>
      <c r="H33" s="2171"/>
      <c r="I33" s="2171"/>
    </row>
    <row r="34" spans="1:16" ht="15" thickBot="1">
      <c r="A34" s="2301"/>
      <c r="B34" s="2302" t="s">
        <v>1968</v>
      </c>
      <c r="C34" s="763">
        <f ca="1">典型户型修正!B3</f>
        <v>34467</v>
      </c>
      <c r="D34" s="2171" t="s">
        <v>1969</v>
      </c>
      <c r="E34" s="2171"/>
      <c r="F34" s="2171"/>
      <c r="G34" s="2171"/>
      <c r="H34" s="2171"/>
      <c r="I34" s="2171"/>
    </row>
    <row r="35" spans="1:16" ht="14.4">
      <c r="A35" s="2303"/>
      <c r="B35" s="2304" t="s">
        <v>1970</v>
      </c>
      <c r="C35" s="1298">
        <f>IF('数据-取费表'!B3="万元",典型户型修正!V25,典型户型修正!U25)</f>
        <v>0</v>
      </c>
      <c r="D35" s="2171" t="str">
        <f>D33</f>
        <v>万元</v>
      </c>
      <c r="E35" s="2171"/>
      <c r="F35" s="2171"/>
      <c r="G35" s="2171"/>
      <c r="H35" s="2171"/>
      <c r="I35" s="2171"/>
    </row>
    <row r="36" spans="1:16" ht="15" thickBot="1">
      <c r="A36" s="2210"/>
      <c r="B36" s="2305" t="s">
        <v>1971</v>
      </c>
      <c r="C36" s="1299">
        <f>IF('数据-取费表'!B3="万元",典型户型修正!Y25,典型户型修正!X25)</f>
        <v>0</v>
      </c>
      <c r="D36" s="2171" t="str">
        <f>D33</f>
        <v>万元</v>
      </c>
      <c r="E36" s="2171"/>
      <c r="F36" s="2171"/>
      <c r="G36" s="2171"/>
      <c r="H36" s="2171"/>
      <c r="I36" s="2171"/>
    </row>
    <row r="37" spans="1:16" ht="15" thickBot="1">
      <c r="A37" s="3020" t="s">
        <v>1972</v>
      </c>
      <c r="B37" s="2213" t="s">
        <v>1973</v>
      </c>
      <c r="C37" s="65"/>
      <c r="D37" s="2214"/>
      <c r="E37" s="2215"/>
      <c r="F37" s="2215"/>
      <c r="G37" s="2171"/>
      <c r="H37" s="2171"/>
      <c r="I37" s="2171"/>
    </row>
    <row r="38" spans="1:16" ht="15" thickBot="1">
      <c r="A38" s="3021"/>
      <c r="B38" s="2216" t="s">
        <v>1974</v>
      </c>
      <c r="C38" s="67"/>
      <c r="D38" s="2181"/>
      <c r="E38" s="2181"/>
      <c r="F38" s="2215"/>
      <c r="G38" s="2181"/>
      <c r="H38" s="2181"/>
      <c r="I38" s="2181"/>
    </row>
    <row r="39" spans="1:16" ht="15" thickBot="1">
      <c r="A39" s="3022"/>
      <c r="B39" s="2217" t="s">
        <v>1975</v>
      </c>
      <c r="C39" s="704"/>
      <c r="D39" s="2218" t="s">
        <v>1976</v>
      </c>
      <c r="E39" s="2181"/>
      <c r="F39" s="2215"/>
      <c r="G39" s="2181"/>
      <c r="H39" s="2181"/>
      <c r="I39" s="2181"/>
    </row>
    <row r="40" spans="1:16" ht="14.4">
      <c r="A40" s="2185" t="s">
        <v>1977</v>
      </c>
      <c r="B40" s="2219" t="s">
        <v>1978</v>
      </c>
      <c r="C40" s="2220" t="s">
        <v>1979</v>
      </c>
      <c r="D40" s="2220" t="s">
        <v>1980</v>
      </c>
      <c r="E40" s="2221" t="s">
        <v>1981</v>
      </c>
      <c r="F40" s="2215"/>
      <c r="G40" s="2181"/>
      <c r="H40" s="2181"/>
      <c r="I40" s="2181"/>
    </row>
    <row r="41" spans="1:16" ht="13.8">
      <c r="A41" s="2222" t="s">
        <v>1982</v>
      </c>
      <c r="B41" s="70"/>
      <c r="C41" s="71"/>
      <c r="D41" s="71"/>
      <c r="E41" s="72"/>
      <c r="F41" s="2215"/>
      <c r="G41" s="2181"/>
      <c r="H41" s="2181"/>
      <c r="I41" s="2181"/>
    </row>
    <row r="42" spans="1:16" ht="13.8">
      <c r="A42" s="2222" t="s">
        <v>1983</v>
      </c>
      <c r="B42" s="70"/>
      <c r="C42" s="71"/>
      <c r="D42" s="71"/>
      <c r="E42" s="72"/>
      <c r="F42" s="2215"/>
      <c r="G42" s="2181"/>
      <c r="H42" s="2181"/>
      <c r="I42" s="2181"/>
    </row>
    <row r="43" spans="1:16" ht="14.4" thickBot="1">
      <c r="A43" s="2223"/>
      <c r="B43" s="73"/>
      <c r="C43" s="74"/>
      <c r="D43" s="74"/>
      <c r="E43" s="75"/>
      <c r="F43" s="2215"/>
      <c r="G43" s="2181"/>
      <c r="H43" s="2181"/>
      <c r="I43" s="2181"/>
    </row>
    <row r="44" spans="1:16" ht="13.2">
      <c r="A44" s="2224"/>
      <c r="B44" s="2224"/>
      <c r="C44" s="2224"/>
      <c r="D44" s="2224"/>
      <c r="E44" s="2224"/>
      <c r="F44" s="2225"/>
      <c r="G44" s="2225"/>
      <c r="H44" s="2225"/>
      <c r="I44" s="2226"/>
    </row>
    <row r="45" spans="1:16" ht="17.399999999999999">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3024" t="s">
        <v>1985</v>
      </c>
      <c r="B46" s="3025"/>
      <c r="C46" s="3026"/>
      <c r="D46" s="76">
        <f ca="1">ROUND(I103*F46,0)</f>
        <v>6078</v>
      </c>
      <c r="E46" s="77" t="s">
        <v>1986</v>
      </c>
      <c r="F46" s="78">
        <v>1</v>
      </c>
      <c r="G46" s="79" t="s">
        <v>1987</v>
      </c>
      <c r="H46" s="2171"/>
      <c r="I46" s="2171"/>
      <c r="J46" s="3002" t="s">
        <v>1819</v>
      </c>
      <c r="K46" s="3002"/>
      <c r="L46" s="3002"/>
      <c r="M46" s="3002"/>
      <c r="N46" s="3002"/>
      <c r="O46" s="3002"/>
      <c r="P46" s="1826"/>
    </row>
    <row r="47" spans="1:16" ht="14.25" customHeight="1">
      <c r="A47" s="3027" t="s">
        <v>1820</v>
      </c>
      <c r="B47" s="3028"/>
      <c r="C47" s="3028"/>
      <c r="D47" s="3028"/>
      <c r="E47" s="3028"/>
      <c r="F47" s="3028"/>
      <c r="G47" s="3029"/>
      <c r="H47" s="2233"/>
      <c r="I47" s="1127"/>
      <c r="J47" s="1863">
        <v>1</v>
      </c>
      <c r="K47" s="3002" t="s">
        <v>1821</v>
      </c>
      <c r="L47" s="3002"/>
      <c r="M47" s="3030"/>
      <c r="N47" s="3030"/>
      <c r="O47" s="3030"/>
      <c r="P47" s="1826"/>
    </row>
    <row r="48" spans="1:16" ht="12" customHeight="1">
      <c r="A48" s="81" t="s">
        <v>1822</v>
      </c>
      <c r="B48" s="82"/>
      <c r="C48" s="83"/>
      <c r="D48" s="84" t="s">
        <v>1823</v>
      </c>
      <c r="E48" s="14" t="s">
        <v>1824</v>
      </c>
      <c r="F48" s="85" t="s">
        <v>1825</v>
      </c>
      <c r="G48" s="86" t="s">
        <v>1826</v>
      </c>
      <c r="H48" s="2233"/>
      <c r="I48" s="1127"/>
      <c r="J48" s="1863">
        <v>2</v>
      </c>
      <c r="K48" s="3002" t="s">
        <v>1827</v>
      </c>
      <c r="L48" s="3002"/>
      <c r="M48" s="3031">
        <f>'数据-取费表'!B2</f>
        <v>43874</v>
      </c>
      <c r="N48" s="3031"/>
      <c r="O48" s="3031"/>
      <c r="P48" s="1826"/>
    </row>
    <row r="49" spans="1:16" ht="26.4">
      <c r="A49" s="3032" t="s">
        <v>1828</v>
      </c>
      <c r="B49" s="2997"/>
      <c r="C49" s="2997"/>
      <c r="D49" s="52">
        <f ca="1">IF(H49="情况1",0,IF(H49="情况2",D53,IF(H49="情况3",D54,IF(H49="情况4",D55))))</f>
        <v>324</v>
      </c>
      <c r="E49" s="1873" t="str">
        <f>IF(H49="情况4","(销售额-原购置价)×税（费）率","销售额×税（费）率")</f>
        <v>销售额×税（费）率</v>
      </c>
      <c r="F49" s="87">
        <f>IF(H49="情况1","免征",'数据-取费表'!E29)</f>
        <v>5.6000000000000001E-2</v>
      </c>
      <c r="G49" s="2234" t="s">
        <v>1829</v>
      </c>
      <c r="H49" s="2235" t="s">
        <v>1830</v>
      </c>
      <c r="I49" s="2233"/>
      <c r="J49" s="1863">
        <v>3</v>
      </c>
      <c r="K49" s="3002" t="s">
        <v>1831</v>
      </c>
      <c r="L49" s="3002"/>
      <c r="M49" s="3003">
        <f ca="1">I103</f>
        <v>6078</v>
      </c>
      <c r="N49" s="3003"/>
      <c r="O49" s="3003"/>
      <c r="P49" s="1826"/>
    </row>
    <row r="50" spans="1:16" ht="25.5" customHeight="1">
      <c r="A50" s="88" t="s">
        <v>1832</v>
      </c>
      <c r="B50" s="2991" t="s">
        <v>1833</v>
      </c>
      <c r="C50" s="2991"/>
      <c r="D50" s="89">
        <v>0</v>
      </c>
      <c r="E50" s="13" t="s">
        <v>1834</v>
      </c>
      <c r="F50" s="18" t="s">
        <v>48</v>
      </c>
      <c r="G50" s="3004"/>
      <c r="H50" s="2171"/>
      <c r="I50" s="2236"/>
      <c r="J50" s="1863">
        <v>4</v>
      </c>
      <c r="K50" s="3002" t="str">
        <f>IF(项目基本情况!F5="房地产抵押价值","房地产抵押价值","抵押担保权已注销时的房地产抵押价值")</f>
        <v>房地产抵押价值</v>
      </c>
      <c r="L50" s="3002"/>
      <c r="M50" s="3003">
        <f ca="1">IF(项目基本情况!F5="房地产抵押价值",I111,I113)</f>
        <v>6078</v>
      </c>
      <c r="N50" s="3003"/>
      <c r="O50" s="3003"/>
      <c r="P50" s="1826"/>
    </row>
    <row r="51" spans="1:16" ht="25.5" customHeight="1">
      <c r="A51" s="90"/>
      <c r="B51" s="2991" t="s">
        <v>1835</v>
      </c>
      <c r="C51" s="2991"/>
      <c r="D51" s="91"/>
      <c r="E51" s="21"/>
      <c r="F51" s="92"/>
      <c r="G51" s="3005"/>
      <c r="H51" s="2171"/>
      <c r="I51" s="2236"/>
      <c r="J51" s="3002" t="s">
        <v>1836</v>
      </c>
      <c r="K51" s="3002"/>
      <c r="L51" s="3002"/>
      <c r="M51" s="3002"/>
      <c r="N51" s="3002"/>
      <c r="O51" s="3002"/>
      <c r="P51" s="1826"/>
    </row>
    <row r="52" spans="1:16" ht="12" customHeight="1">
      <c r="A52" s="93"/>
      <c r="B52" s="2991" t="s">
        <v>1837</v>
      </c>
      <c r="C52" s="2991"/>
      <c r="D52" s="94"/>
      <c r="E52" s="20"/>
      <c r="F52" s="92"/>
      <c r="G52" s="3006"/>
      <c r="H52" s="2171"/>
      <c r="I52" s="2236"/>
      <c r="J52" s="2237" t="s">
        <v>1838</v>
      </c>
      <c r="K52" s="3002" t="s">
        <v>1839</v>
      </c>
      <c r="L52" s="3002"/>
      <c r="M52" s="2237" t="s">
        <v>1840</v>
      </c>
      <c r="N52" s="2237" t="s">
        <v>1841</v>
      </c>
      <c r="O52" s="2237" t="s">
        <v>1842</v>
      </c>
      <c r="P52" s="1826"/>
    </row>
    <row r="53" spans="1:16" ht="24" customHeight="1">
      <c r="A53" s="95" t="s">
        <v>1843</v>
      </c>
      <c r="B53" s="2991" t="s">
        <v>1844</v>
      </c>
      <c r="C53" s="2991"/>
      <c r="D53" s="94">
        <f ca="1">ROUND(D46*'数据-取费表'!E29/(1+'数据-取费表'!F30),0)</f>
        <v>324</v>
      </c>
      <c r="E53" s="10" t="s">
        <v>1845</v>
      </c>
      <c r="F53" s="96">
        <f>'数据-取费表'!E29</f>
        <v>5.6000000000000001E-2</v>
      </c>
      <c r="G53" s="2238"/>
      <c r="H53" s="2171"/>
      <c r="I53" s="2236"/>
      <c r="J53" s="1863">
        <v>1</v>
      </c>
      <c r="K53" s="2995" t="s">
        <v>1846</v>
      </c>
      <c r="L53" s="2995"/>
      <c r="M53" s="770">
        <f ca="1">D49</f>
        <v>324</v>
      </c>
      <c r="N53" s="1863" t="str">
        <f>E49</f>
        <v>销售额×税（费）率</v>
      </c>
      <c r="O53" s="771">
        <f>F49</f>
        <v>5.6000000000000001E-2</v>
      </c>
      <c r="P53" s="1826"/>
    </row>
    <row r="54" spans="1:16" ht="12" customHeight="1">
      <c r="A54" s="95" t="s">
        <v>1847</v>
      </c>
      <c r="B54" s="2990" t="s">
        <v>1848</v>
      </c>
      <c r="C54" s="2866"/>
      <c r="D54" s="94">
        <f ca="1">ROUND(D46*'数据-取费表'!E29/(1+'数据-取费表'!F30),0)</f>
        <v>324</v>
      </c>
      <c r="E54" s="10" t="s">
        <v>1845</v>
      </c>
      <c r="F54" s="96">
        <f>'数据-取费表'!E29</f>
        <v>5.6000000000000001E-2</v>
      </c>
      <c r="G54" s="2238"/>
      <c r="H54" s="2171"/>
      <c r="I54" s="2236"/>
      <c r="J54" s="1863">
        <v>2</v>
      </c>
      <c r="K54" s="2995" t="s">
        <v>1849</v>
      </c>
      <c r="L54" s="2995"/>
      <c r="M54" s="770">
        <f t="shared" ref="M54:O55" ca="1" si="1">D56</f>
        <v>3</v>
      </c>
      <c r="N54" s="1863" t="str">
        <f t="shared" si="1"/>
        <v>销售额×税（费）率</v>
      </c>
      <c r="O54" s="771">
        <f t="shared" si="1"/>
        <v>5.0000000000000001E-4</v>
      </c>
      <c r="P54" s="1826"/>
    </row>
    <row r="55" spans="1:16" ht="12" customHeight="1">
      <c r="A55" s="95" t="s">
        <v>1850</v>
      </c>
      <c r="B55" s="2990" t="s">
        <v>1851</v>
      </c>
      <c r="C55" s="2866"/>
      <c r="D55" s="94">
        <f ca="1">C69</f>
        <v>324</v>
      </c>
      <c r="E55" s="20" t="s">
        <v>1852</v>
      </c>
      <c r="F55" s="96">
        <f>'数据-取费表'!E29</f>
        <v>5.6000000000000001E-2</v>
      </c>
      <c r="G55" s="2238"/>
      <c r="H55" s="2239"/>
      <c r="I55" s="2236"/>
      <c r="J55" s="1863">
        <v>3</v>
      </c>
      <c r="K55" s="2995" t="s">
        <v>1853</v>
      </c>
      <c r="L55" s="2995"/>
      <c r="M55" s="770">
        <f t="shared" ca="1" si="1"/>
        <v>3440</v>
      </c>
      <c r="N55" s="1863" t="str">
        <f t="shared" si="1"/>
        <v>增值额×税（费）率</v>
      </c>
      <c r="O55" s="772" t="str">
        <f t="shared" si="1"/>
        <v>——</v>
      </c>
      <c r="P55" s="1826"/>
    </row>
    <row r="56" spans="1:16" ht="24" customHeight="1">
      <c r="A56" s="2858" t="s">
        <v>1854</v>
      </c>
      <c r="B56" s="2997"/>
      <c r="C56" s="2997"/>
      <c r="D56" s="97">
        <f ca="1">IF(H56="个人住宅",0,ROUND(D46*I56,0))</f>
        <v>3</v>
      </c>
      <c r="E56" s="10" t="s">
        <v>1855</v>
      </c>
      <c r="F56" s="96">
        <f>IF(H56="正常",I56,"免征")</f>
        <v>5.0000000000000001E-4</v>
      </c>
      <c r="G56" s="2238"/>
      <c r="H56" s="2235" t="s">
        <v>1856</v>
      </c>
      <c r="I56" s="98">
        <f>'数据-取费表'!E37</f>
        <v>5.0000000000000001E-4</v>
      </c>
      <c r="J56" s="1863" t="str">
        <f>IF(H60="非个人房产","",4)</f>
        <v/>
      </c>
      <c r="K56" s="2995" t="str">
        <f>IF(H60="非个人房产","——","个人所得税")</f>
        <v>——</v>
      </c>
      <c r="L56" s="2995"/>
      <c r="M56" s="773" t="str">
        <f>D60</f>
        <v>——</v>
      </c>
      <c r="N56" s="1866" t="str">
        <f>E60</f>
        <v>——</v>
      </c>
      <c r="O56" s="774" t="str">
        <f>F60</f>
        <v>——</v>
      </c>
      <c r="P56" s="1826"/>
    </row>
    <row r="57" spans="1:16" ht="25.2">
      <c r="A57" s="2858" t="s">
        <v>1857</v>
      </c>
      <c r="B57" s="2997"/>
      <c r="C57" s="2997"/>
      <c r="D57" s="97">
        <f ca="1">IF(H57="个人住宅",D58,D59)</f>
        <v>3440</v>
      </c>
      <c r="E57" s="10" t="s">
        <v>1858</v>
      </c>
      <c r="F57" s="96" t="str">
        <f>IF(H57="正常",F59,"免征")</f>
        <v>——</v>
      </c>
      <c r="G57" s="2240" t="s">
        <v>1859</v>
      </c>
      <c r="H57" s="2241" t="s">
        <v>1856</v>
      </c>
      <c r="I57" s="1006"/>
      <c r="J57" s="1863" t="str">
        <f>IF(项目基本情况!I6="上海银行",IF(J56="",4,J56+1),"")</f>
        <v/>
      </c>
      <c r="K57" s="3000" t="str">
        <f>IF(项目基本情况!I6="上海银行","其他处置费用","")</f>
        <v/>
      </c>
      <c r="L57" s="3001"/>
      <c r="M57" s="770" t="str">
        <f>IF(项目基本情况!I6="上海银行",M70,"")</f>
        <v/>
      </c>
      <c r="N57" s="3008" t="str">
        <f>IF(项目基本情况!I6="上海银行","包含处置中涉及的律师、诉讼、拍卖、评估等费用","")</f>
        <v/>
      </c>
      <c r="O57" s="3009"/>
      <c r="P57" s="1826"/>
    </row>
    <row r="58" spans="1:16" ht="13.2">
      <c r="A58" s="95" t="s">
        <v>1832</v>
      </c>
      <c r="B58" s="2998" t="s">
        <v>1860</v>
      </c>
      <c r="C58" s="2999"/>
      <c r="D58" s="99">
        <v>0</v>
      </c>
      <c r="E58" s="13" t="s">
        <v>1834</v>
      </c>
      <c r="F58" s="66"/>
      <c r="G58" s="2238"/>
      <c r="H58" s="1006"/>
      <c r="I58" s="1006"/>
      <c r="J58" s="2995">
        <f>IF(AND(J56="",J57=""),4,IF(项目基本情况!I6="上海银行",J57+1,J56+1))</f>
        <v>4</v>
      </c>
      <c r="K58" s="2995" t="s">
        <v>1861</v>
      </c>
      <c r="L58" s="2242" t="s">
        <v>1862</v>
      </c>
      <c r="M58" s="775"/>
      <c r="N58" s="776">
        <f ca="1">SUMIF(M53:M57,"&lt;9e307")</f>
        <v>3767</v>
      </c>
      <c r="O58" s="2243"/>
      <c r="P58" s="1822">
        <f ca="1">N58/M50</f>
        <v>0.61977624218492922</v>
      </c>
    </row>
    <row r="59" spans="1:16" ht="25.2">
      <c r="A59" s="95" t="s">
        <v>1843</v>
      </c>
      <c r="B59" s="2998" t="s">
        <v>1863</v>
      </c>
      <c r="C59" s="3007"/>
      <c r="D59" s="97">
        <f ca="1">IF(H59="转让取得",C82,C98)</f>
        <v>3440</v>
      </c>
      <c r="E59" s="10" t="s">
        <v>1858</v>
      </c>
      <c r="F59" s="14" t="s">
        <v>48</v>
      </c>
      <c r="G59" s="2238"/>
      <c r="H59" s="2241" t="s">
        <v>1864</v>
      </c>
      <c r="I59" s="1006"/>
      <c r="J59" s="2995"/>
      <c r="K59" s="2995"/>
      <c r="L59" s="2242" t="s">
        <v>1865</v>
      </c>
      <c r="M59" s="777"/>
      <c r="N59" s="2244" t="str">
        <f ca="1">IF(H19="元",NUMBERSTRING(INT(N58),2)&amp;"元整",NUMBERSTRING(INT(N58*10000),2)&amp;"元整")</f>
        <v>叁仟柒佰陆拾柒万元整</v>
      </c>
      <c r="O59" s="2245"/>
      <c r="P59" s="1826"/>
    </row>
    <row r="60" spans="1:16" ht="24.6" thickBot="1">
      <c r="A60" s="2859" t="s">
        <v>1866</v>
      </c>
      <c r="B60" s="2862"/>
      <c r="C60" s="2862"/>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93">
        <f>J58+1</f>
        <v>5</v>
      </c>
      <c r="K60" s="2995" t="s">
        <v>1868</v>
      </c>
      <c r="L60" s="1863" t="s">
        <v>1862</v>
      </c>
      <c r="M60" s="778"/>
      <c r="N60" s="779">
        <f ca="1">M50-N58</f>
        <v>2311</v>
      </c>
      <c r="O60" s="2247"/>
      <c r="P60" s="1826"/>
    </row>
    <row r="61" spans="1:16" ht="12" customHeight="1">
      <c r="A61" s="2045"/>
      <c r="B61" s="2171"/>
      <c r="C61" s="2171"/>
      <c r="D61" s="2171"/>
      <c r="E61" s="1006"/>
      <c r="F61" s="1006"/>
      <c r="G61" s="1006"/>
      <c r="H61" s="2224"/>
      <c r="I61" s="2171"/>
      <c r="J61" s="2994"/>
      <c r="K61" s="2995"/>
      <c r="L61" s="2242" t="s">
        <v>1865</v>
      </c>
      <c r="M61" s="777"/>
      <c r="N61" s="2244" t="str">
        <f ca="1">IF(H19="元",NUMBERSTRING(INT(N60),2)&amp;"元整",NUMBERSTRING(INT(N60*10000),2)&amp;"元整")</f>
        <v>贰仟叁佰壹拾壹万元整</v>
      </c>
      <c r="O61" s="2245"/>
      <c r="P61" s="1826"/>
    </row>
    <row r="62" spans="1:16" ht="13.8" thickBot="1">
      <c r="A62" s="2996" t="s">
        <v>1869</v>
      </c>
      <c r="B62" s="2996"/>
      <c r="C62" s="2996"/>
      <c r="D62" s="2996"/>
      <c r="E62" s="2996"/>
      <c r="F62" s="1006"/>
      <c r="G62" s="1006"/>
      <c r="H62" s="2224"/>
      <c r="I62" s="2171"/>
      <c r="J62" s="1863">
        <f>J60+1</f>
        <v>6</v>
      </c>
      <c r="K62" s="2995" t="s">
        <v>1870</v>
      </c>
      <c r="L62" s="2995"/>
      <c r="M62" s="780"/>
      <c r="N62" s="781">
        <f ca="1">IF(H19="元",ROUND(N60/项目基本情况!C12,0),ROUND(N60*10000/项目基本情况!C12,0))</f>
        <v>13105</v>
      </c>
      <c r="O62" s="2248"/>
      <c r="P62" s="1826"/>
    </row>
    <row r="63" spans="1:16" ht="13.2">
      <c r="A63" s="2977" t="s">
        <v>1871</v>
      </c>
      <c r="B63" s="2978"/>
      <c r="C63" s="1865"/>
      <c r="D63" s="1865" t="s">
        <v>1872</v>
      </c>
      <c r="E63" s="104" t="s">
        <v>1873</v>
      </c>
      <c r="F63" s="1006"/>
      <c r="G63" s="1006"/>
      <c r="H63" s="2224"/>
      <c r="I63" s="2171"/>
      <c r="J63" s="1826"/>
      <c r="K63" s="1826"/>
      <c r="L63" s="1826"/>
      <c r="M63" s="1826"/>
      <c r="N63" s="1826"/>
      <c r="O63" s="1826"/>
      <c r="P63" s="1826"/>
    </row>
    <row r="64" spans="1:16" ht="13.2">
      <c r="A64" s="105">
        <v>1</v>
      </c>
      <c r="B64" s="106" t="s">
        <v>1874</v>
      </c>
      <c r="C64" s="107">
        <f ca="1">ROUND((C65+C66)/(1+'数据-取费表'!F30),0)</f>
        <v>5789</v>
      </c>
      <c r="D64" s="108"/>
      <c r="E64" s="109"/>
      <c r="F64" s="1006"/>
      <c r="G64" s="1006"/>
      <c r="H64" s="2224"/>
      <c r="I64" s="2171"/>
      <c r="J64" s="3023" t="s">
        <v>1875</v>
      </c>
      <c r="K64" s="2249" t="s">
        <v>1876</v>
      </c>
      <c r="L64" s="1825">
        <f ca="1">IF(M50&gt;10000,M50*0.5%,IF(AND(M50&gt;1000,M50&lt;=10000),M50*1%,IF(AND(M50&gt;100,M50&lt;=1000),M50*3%,IF(AND(M50&gt;10,M50&lt;=100),M50*5%,M50*8%))))</f>
        <v>60.78</v>
      </c>
      <c r="M64" s="14">
        <f ca="1">ROUND(L64,1)</f>
        <v>60.8</v>
      </c>
      <c r="N64" s="1826"/>
      <c r="O64" s="1826"/>
      <c r="P64" s="1826"/>
    </row>
    <row r="65" spans="1:35" ht="13.2">
      <c r="A65" s="110" t="s">
        <v>71</v>
      </c>
      <c r="B65" s="111" t="s">
        <v>1877</v>
      </c>
      <c r="C65" s="112">
        <f ca="1">D46</f>
        <v>6078</v>
      </c>
      <c r="D65" s="113" t="s">
        <v>41</v>
      </c>
      <c r="E65" s="114"/>
      <c r="F65" s="1006"/>
      <c r="G65" s="1006"/>
      <c r="H65" s="2224"/>
      <c r="I65" s="2171"/>
      <c r="J65" s="3023"/>
      <c r="K65" s="2249" t="s">
        <v>1878</v>
      </c>
      <c r="L65" s="1825">
        <f ca="1">IF(M50&gt;2000,M50*0.5%,IF(AND(M50&gt;1000,M50&lt;=2000),M50*0.6%,IF(AND(M50&gt;500,M50&lt;=1000),M50*0.7%,IF(AND(M50&gt;200,M50&lt;=500),M50*0.8%,IF(AND(M50&gt;100,M50&lt;=200),M50*0.9%,IF(AND(M50&gt;50,M50&lt;=100),M50*1%,IF(AND(M50&gt;20,M50&lt;=50),M50*1.5%,IF(AND(M50&gt;10,M50&lt;=20),M50*2%,IF(AND(M50&gt;1,M50&lt;=10),M50*2.5%)))))))))</f>
        <v>30.39</v>
      </c>
      <c r="M65" s="14">
        <f t="shared" ref="M65:M66" ca="1" si="2">ROUND(L65,1)</f>
        <v>30.4</v>
      </c>
      <c r="N65" s="1826" t="s">
        <v>1879</v>
      </c>
      <c r="O65" s="1826"/>
      <c r="P65" s="1826"/>
    </row>
    <row r="66" spans="1:35" ht="13.2">
      <c r="A66" s="110" t="s">
        <v>72</v>
      </c>
      <c r="B66" s="111" t="s">
        <v>1880</v>
      </c>
      <c r="C66" s="115"/>
      <c r="D66" s="113"/>
      <c r="E66" s="114"/>
      <c r="F66" s="1006"/>
      <c r="G66" s="1006"/>
      <c r="H66" s="2224"/>
      <c r="I66" s="2171"/>
      <c r="J66" s="3023"/>
      <c r="K66" s="2249" t="s">
        <v>1881</v>
      </c>
      <c r="L66" s="1825">
        <f ca="1">IF(M50&gt;1000,M50*0.1%,IF(AND(M50&gt;500,M50&lt;=1000),M50*0.5%,IF(AND(M50&gt;50,M50&lt;=500),M50*1%,IF(AND(M50&gt;1,M50&lt;=50),M50*1.5%))))</f>
        <v>6.0780000000000003</v>
      </c>
      <c r="M66" s="14">
        <f t="shared" ca="1" si="2"/>
        <v>6.1</v>
      </c>
      <c r="N66" s="1826" t="s">
        <v>1879</v>
      </c>
      <c r="O66" s="1826"/>
      <c r="P66" s="1826"/>
    </row>
    <row r="67" spans="1:35" ht="13.2">
      <c r="A67" s="116" t="s">
        <v>47</v>
      </c>
      <c r="B67" s="117" t="s">
        <v>1882</v>
      </c>
      <c r="C67" s="118"/>
      <c r="D67" s="119" t="s">
        <v>41</v>
      </c>
      <c r="E67" s="1842" t="s">
        <v>1883</v>
      </c>
      <c r="F67" s="1006"/>
      <c r="G67" s="1006"/>
      <c r="H67" s="2224"/>
      <c r="I67" s="2171"/>
      <c r="J67" s="3023"/>
      <c r="K67" s="2249" t="s">
        <v>1884</v>
      </c>
      <c r="L67" s="1825">
        <f ca="1">M50*0.5%</f>
        <v>30.39</v>
      </c>
      <c r="M67" s="14">
        <f ca="1">IF(L67&gt;0.5,0.5,ROUND(L67,0))</f>
        <v>0.5</v>
      </c>
      <c r="N67" s="1826" t="s">
        <v>1885</v>
      </c>
      <c r="O67" s="1826"/>
      <c r="P67" s="1826"/>
    </row>
    <row r="68" spans="1:35" ht="13.2">
      <c r="A68" s="116" t="s">
        <v>42</v>
      </c>
      <c r="B68" s="117" t="s">
        <v>1886</v>
      </c>
      <c r="C68" s="120">
        <f ca="1">C64-C67</f>
        <v>5789</v>
      </c>
      <c r="D68" s="113" t="s">
        <v>41</v>
      </c>
      <c r="E68" s="114"/>
      <c r="F68" s="1006"/>
      <c r="G68" s="1006"/>
      <c r="H68" s="2224"/>
      <c r="I68" s="2171"/>
      <c r="J68" s="3023"/>
      <c r="K68" s="2249" t="s">
        <v>1887</v>
      </c>
      <c r="L68" s="1825">
        <f ca="1">IF(M50&gt;=10000,(8.25+(M50-10000)*0.01%),IF(AND(M50&gt;=8000,M50&lt;10000),(7.85+(M50-8000)*0.02%),IF(AND(M50&gt;=5000,M50&lt;8000),(6.65+(M50-5000)*0.04%),IF(AND(M50&gt;=2000,M50&lt;5000),(4.25+(PM50-2000)*0.08%),IF(AND(M50&gt;=1000,M50&lt;2000),(2.75+(M50-1000)*0.15%),IF(AND(M50&gt;=100,M50&lt;1000),(0.5+(M50-100)*0.25%),IF(AND(M50&gt;0,M50&lt;100),M50*0.5%)))))))</f>
        <v>7.0812000000000008</v>
      </c>
      <c r="M68" s="14">
        <f ca="1">ROUND(L68*0.9,1)</f>
        <v>6.4</v>
      </c>
      <c r="N68" s="1826"/>
      <c r="O68" s="1826"/>
      <c r="P68" s="1826"/>
    </row>
    <row r="69" spans="1:35" ht="13.8" thickBot="1">
      <c r="A69" s="121" t="s">
        <v>46</v>
      </c>
      <c r="B69" s="122" t="s">
        <v>1888</v>
      </c>
      <c r="C69" s="123">
        <f ca="1">IF(C68&lt;=0,0,ROUND(C68*D69,0))</f>
        <v>324</v>
      </c>
      <c r="D69" s="124">
        <f>'数据-取费表'!E29</f>
        <v>5.6000000000000001E-2</v>
      </c>
      <c r="E69" s="125"/>
      <c r="F69" s="1006"/>
      <c r="G69" s="1006"/>
      <c r="H69" s="2224"/>
      <c r="I69" s="2171"/>
      <c r="J69" s="3023"/>
      <c r="K69" s="2249" t="s">
        <v>1889</v>
      </c>
      <c r="L69" s="1825">
        <f ca="1">IF(M50&gt;10000,M50*0.5%,IF(AND(M50&gt;5000,M50&lt;=10000),M50*1%,IF(AND(M50&gt;1000,M50&lt;=5000),M50*2%,IF(AND(M50&gt;200,M50&lt;=1000),M50*3%,M50*5%))))</f>
        <v>60.78</v>
      </c>
      <c r="M69" s="14">
        <f ca="1">ROUND(L69,1)</f>
        <v>60.8</v>
      </c>
      <c r="N69" s="1826"/>
      <c r="O69" s="1826"/>
      <c r="P69" s="1826"/>
    </row>
    <row r="70" spans="1:35" s="2198" customFormat="1" ht="7.5" customHeight="1">
      <c r="A70" s="2250"/>
      <c r="B70" s="2251"/>
      <c r="C70" s="2252"/>
      <c r="D70" s="2253"/>
      <c r="E70" s="2254"/>
      <c r="F70" s="1006"/>
      <c r="G70" s="1006"/>
      <c r="H70" s="2224"/>
      <c r="I70" s="2171"/>
      <c r="J70" s="3023"/>
      <c r="K70" s="2249" t="s">
        <v>1890</v>
      </c>
      <c r="L70" s="2255"/>
      <c r="M70" s="14">
        <f ca="1">ROUND(SUM(M64:M69),0)</f>
        <v>165</v>
      </c>
      <c r="N70" s="1822">
        <f ca="1">M70/M50</f>
        <v>2.7147087857847977E-2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4.4" thickBot="1">
      <c r="A71" s="2988" t="s">
        <v>1891</v>
      </c>
      <c r="B71" s="2989"/>
      <c r="C71" s="2989"/>
      <c r="D71" s="2989"/>
      <c r="E71" s="2989"/>
      <c r="F71" s="2989"/>
      <c r="G71" s="2989"/>
      <c r="H71" s="2989"/>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2977" t="s">
        <v>1871</v>
      </c>
      <c r="B72" s="2978"/>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29">
        <v>1</v>
      </c>
      <c r="B73" s="117" t="s">
        <v>1892</v>
      </c>
      <c r="C73" s="120">
        <f ca="1">ROUND(D46/(1+'数据-取费表'!F30),0)</f>
        <v>5789</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3.8">
      <c r="A74" s="131">
        <v>2</v>
      </c>
      <c r="B74" s="85" t="s">
        <v>1894</v>
      </c>
      <c r="C74" s="120">
        <f ca="1">C75+C79</f>
        <v>35</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4">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8.8">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90" t="s">
        <v>1901</v>
      </c>
      <c r="F77" s="2991"/>
      <c r="G77" s="2991"/>
      <c r="H77" s="2992"/>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35</v>
      </c>
      <c r="D79" s="141">
        <f>'数据-取费表'!E31</f>
        <v>6.000000000000001E-3</v>
      </c>
      <c r="E79" s="2979" t="s">
        <v>1906</v>
      </c>
      <c r="F79" s="2980"/>
      <c r="G79" s="2980"/>
      <c r="H79" s="2981"/>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3.8">
      <c r="A80" s="142" t="s">
        <v>42</v>
      </c>
      <c r="B80" s="117" t="s">
        <v>1907</v>
      </c>
      <c r="C80" s="120">
        <f ca="1">C73-C74</f>
        <v>5754</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
      <c r="A81" s="142" t="s">
        <v>43</v>
      </c>
      <c r="B81" s="117" t="s">
        <v>1908</v>
      </c>
      <c r="C81" s="143">
        <f ca="1">IF(C80&lt;=0,0,C80/C74)</f>
        <v>164.4</v>
      </c>
      <c r="D81" s="113"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4.4" thickBot="1">
      <c r="A82" s="144" t="s">
        <v>44</v>
      </c>
      <c r="B82" s="122" t="s">
        <v>1909</v>
      </c>
      <c r="C82" s="145">
        <f ca="1">ROUND(IF(C80&lt;=0,0,IF(C81&gt;=200%,C80*60%-C74*35%,IF(C81&gt;=100%,C80*50%-C74*15%,IF(C81&gt;=50%,C80*40%-C74*5%,IF(C81&lt;50%,C80*30%,0))))),0)</f>
        <v>3440</v>
      </c>
      <c r="D82" s="146" t="s">
        <v>41</v>
      </c>
      <c r="E82" s="14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4" thickBot="1">
      <c r="A84" s="2988" t="s">
        <v>1910</v>
      </c>
      <c r="B84" s="2989"/>
      <c r="C84" s="2989"/>
      <c r="D84" s="2989"/>
      <c r="E84" s="2989"/>
      <c r="F84" s="2989"/>
      <c r="G84" s="2989"/>
      <c r="H84" s="2989"/>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3.8">
      <c r="A85" s="2977" t="s">
        <v>1871</v>
      </c>
      <c r="B85" s="2978"/>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29">
        <v>1</v>
      </c>
      <c r="B86" s="117" t="s">
        <v>1892</v>
      </c>
      <c r="C86" s="120">
        <f ca="1">ROUND(D46/(1+'数据-取费表'!F30),0)</f>
        <v>5789</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1">
        <v>2</v>
      </c>
      <c r="B87" s="85" t="s">
        <v>1894</v>
      </c>
      <c r="C87" s="120">
        <f ca="1">IF(H89="仅含出让金",C88+C91+C92+C93+C94+C95,C88+C92+C93+C94+C95)</f>
        <v>35</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3.8">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79" t="s">
        <v>1918</v>
      </c>
      <c r="F92" s="2980"/>
      <c r="G92" s="2980"/>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79" t="s">
        <v>1921</v>
      </c>
      <c r="F93" s="2980"/>
      <c r="G93" s="2980"/>
      <c r="H93" s="2981"/>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35</v>
      </c>
      <c r="D94" s="141">
        <f>'数据-取费表'!E31</f>
        <v>6.000000000000001E-3</v>
      </c>
      <c r="E94" s="2979" t="s">
        <v>1906</v>
      </c>
      <c r="F94" s="2980"/>
      <c r="G94" s="2980"/>
      <c r="H94" s="2981"/>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79" t="s">
        <v>1923</v>
      </c>
      <c r="F95" s="2980"/>
      <c r="G95" s="2980"/>
      <c r="H95" s="298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3.8">
      <c r="A96" s="142" t="s">
        <v>42</v>
      </c>
      <c r="B96" s="117" t="s">
        <v>1907</v>
      </c>
      <c r="C96" s="120">
        <f ca="1">ROUND(C86-C87,0)</f>
        <v>5754</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
      <c r="A97" s="142" t="s">
        <v>43</v>
      </c>
      <c r="B97" s="117" t="s">
        <v>1908</v>
      </c>
      <c r="C97" s="143">
        <f ca="1">IF(C96&lt;=0,0,C96/C87)</f>
        <v>164.4</v>
      </c>
      <c r="D97" s="113"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4.4" thickBot="1">
      <c r="A98" s="144" t="s">
        <v>44</v>
      </c>
      <c r="B98" s="122" t="s">
        <v>1909</v>
      </c>
      <c r="C98" s="145">
        <f ca="1">ROUND(IF(C96&lt;=0,0,IF(C97&gt;=200%,C96*60%-C87*35%,IF(C97&gt;=100%,C96*50%-C87*15%,IF(C97&gt;=50%,C96*40%-C87*5%,IF(C97&lt;50%,C96*30%,0))))),0)</f>
        <v>3440</v>
      </c>
      <c r="D98" s="146" t="s">
        <v>41</v>
      </c>
      <c r="E98" s="14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6">
      <c r="A100" s="2982" t="s">
        <v>1925</v>
      </c>
      <c r="B100" s="2983"/>
      <c r="C100" s="2983"/>
      <c r="D100" s="2984"/>
      <c r="E100" s="2171"/>
      <c r="F100" s="2985" t="s">
        <v>1926</v>
      </c>
      <c r="G100" s="2986"/>
      <c r="H100" s="2986"/>
      <c r="I100" s="2987"/>
    </row>
    <row r="101" spans="1:35" ht="30">
      <c r="A101" s="2963" t="s">
        <v>1927</v>
      </c>
      <c r="B101" s="2964"/>
      <c r="C101" s="712" t="str">
        <f>C4</f>
        <v>典型户型修正</v>
      </c>
      <c r="D101" s="713" t="str">
        <f>D4</f>
        <v>成本法</v>
      </c>
      <c r="E101" s="2171"/>
      <c r="F101" s="2965" t="s">
        <v>1928</v>
      </c>
      <c r="G101" s="2966"/>
      <c r="H101" s="2967" t="s">
        <v>1929</v>
      </c>
      <c r="I101" s="2968"/>
    </row>
    <row r="102" spans="1:35" ht="15.6">
      <c r="A102" s="2969" t="s">
        <v>1989</v>
      </c>
      <c r="B102" s="2266" t="str">
        <f>IF(H19="元","总价（元）","总价（万元）")</f>
        <v>总价（万元）</v>
      </c>
      <c r="C102" s="712">
        <f ca="1">C19</f>
        <v>6078</v>
      </c>
      <c r="D102" s="713">
        <f ca="1">D19</f>
        <v>786</v>
      </c>
      <c r="E102" s="2171"/>
      <c r="F102" s="2970"/>
      <c r="G102" s="2971"/>
      <c r="H102" s="2972">
        <f>典型户型修正!B25</f>
        <v>1763.4099999999999</v>
      </c>
      <c r="I102" s="2968"/>
    </row>
    <row r="103" spans="1:35" ht="15.6">
      <c r="A103" s="2969"/>
      <c r="B103" s="2266" t="s">
        <v>1931</v>
      </c>
      <c r="C103" s="714">
        <f ca="1">C20</f>
        <v>34467</v>
      </c>
      <c r="D103" s="715">
        <f ca="1">D20</f>
        <v>4458</v>
      </c>
      <c r="E103" s="2171"/>
      <c r="F103" s="2973" t="s">
        <v>1932</v>
      </c>
      <c r="G103" s="2974"/>
      <c r="H103" s="2267" t="str">
        <f>C109</f>
        <v>总价（万元）</v>
      </c>
      <c r="I103" s="1843">
        <f ca="1">H124</f>
        <v>6078</v>
      </c>
    </row>
    <row r="104" spans="1:35" ht="15.6">
      <c r="A104" s="2969" t="s">
        <v>1990</v>
      </c>
      <c r="B104" s="2268" t="str">
        <f>B102</f>
        <v>总价（万元）</v>
      </c>
      <c r="C104" s="1172">
        <f ca="1">ROUND(IF('数据-取费表'!B4="总价",G19,IF(H19="元",G20*'数据-取费表'!E5,G20*'数据-取费表'!E5/10000)),0)</f>
        <v>4434</v>
      </c>
      <c r="D104" s="717"/>
      <c r="E104" s="2171"/>
      <c r="F104" s="2973"/>
      <c r="G104" s="2974"/>
      <c r="H104" s="2267" t="s">
        <v>1931</v>
      </c>
      <c r="I104" s="1034">
        <f ca="1">I124</f>
        <v>34467</v>
      </c>
    </row>
    <row r="105" spans="1:35" ht="15.6">
      <c r="A105" s="2969"/>
      <c r="B105" s="2266" t="s">
        <v>1931</v>
      </c>
      <c r="C105" s="1173">
        <f ca="1">ROUND(IF('数据-取费表'!B4="楼面单价",G20,IF(H19="元",G19/'数据-取费表'!E5,G19*10000/'数据-取费表'!E5)),0)</f>
        <v>34467</v>
      </c>
      <c r="D105" s="717"/>
      <c r="E105" s="2171"/>
      <c r="F105" s="2934"/>
      <c r="G105" s="2935"/>
      <c r="H105" s="2975"/>
      <c r="I105" s="2976"/>
    </row>
    <row r="106" spans="1:35" ht="15.6">
      <c r="A106" s="2903" t="s">
        <v>1991</v>
      </c>
      <c r="B106" s="2306" t="str">
        <f>B102</f>
        <v>总价（万元）</v>
      </c>
      <c r="C106" s="716">
        <f ca="1">H124</f>
        <v>6078</v>
      </c>
      <c r="D106" s="1171"/>
      <c r="E106" s="2171"/>
      <c r="F106" s="2959" t="s">
        <v>1935</v>
      </c>
      <c r="G106" s="2960"/>
      <c r="H106" s="2270" t="str">
        <f>C111</f>
        <v>总额（万元）</v>
      </c>
      <c r="I106" s="1843">
        <f>SUMIF(I107:I109,"&lt;9E307")</f>
        <v>0</v>
      </c>
    </row>
    <row r="107" spans="1:35" ht="16.2" thickBot="1">
      <c r="A107" s="2904"/>
      <c r="B107" s="2269" t="s">
        <v>1931</v>
      </c>
      <c r="C107" s="718">
        <f ca="1">I124</f>
        <v>34467</v>
      </c>
      <c r="D107" s="719"/>
      <c r="E107" s="2171"/>
      <c r="F107" s="2932" t="s">
        <v>1937</v>
      </c>
      <c r="G107" s="2933"/>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6">
      <c r="A108" s="2956" t="s">
        <v>1934</v>
      </c>
      <c r="B108" s="2957"/>
      <c r="C108" s="2957"/>
      <c r="D108" s="2958"/>
      <c r="E108" s="2171"/>
      <c r="F108" s="2932" t="s">
        <v>1938</v>
      </c>
      <c r="G108" s="2933"/>
      <c r="H108" s="2270" t="str">
        <f>C113</f>
        <v>总额（万元）</v>
      </c>
      <c r="I108" s="1034">
        <f>C38</f>
        <v>0</v>
      </c>
      <c r="K108" s="2271"/>
    </row>
    <row r="109" spans="1:35" ht="15.6">
      <c r="A109" s="2945" t="s">
        <v>1992</v>
      </c>
      <c r="B109" s="2946"/>
      <c r="C109" s="2267" t="str">
        <f>B102</f>
        <v>总价（万元）</v>
      </c>
      <c r="D109" s="1035">
        <f ca="1">H124</f>
        <v>6078</v>
      </c>
      <c r="E109" s="2171"/>
      <c r="F109" s="2932" t="s">
        <v>1940</v>
      </c>
      <c r="G109" s="2933"/>
      <c r="H109" s="2270" t="str">
        <f>C114</f>
        <v>总额（万元）</v>
      </c>
      <c r="I109" s="1034">
        <f>C39</f>
        <v>0</v>
      </c>
    </row>
    <row r="110" spans="1:35" ht="15.6">
      <c r="A110" s="2945"/>
      <c r="B110" s="2946"/>
      <c r="C110" s="2267" t="s">
        <v>1931</v>
      </c>
      <c r="D110" s="1036">
        <f ca="1">I124</f>
        <v>34467</v>
      </c>
      <c r="E110" s="2171"/>
      <c r="F110" s="2934"/>
      <c r="G110" s="2935"/>
      <c r="H110" s="2930"/>
      <c r="I110" s="2931"/>
    </row>
    <row r="111" spans="1:35" ht="28.5" customHeight="1">
      <c r="A111" s="2961" t="s">
        <v>1939</v>
      </c>
      <c r="B111" s="2962"/>
      <c r="C111" s="2270" t="str">
        <f>IF(H19="元","总额（元）","总额（万元）")</f>
        <v>总额（万元）</v>
      </c>
      <c r="D111" s="1035">
        <f>IF(D37="正常操作",I107+I108+I109,I108+I109)</f>
        <v>0</v>
      </c>
      <c r="E111" s="2171"/>
      <c r="F111" s="2936" t="str">
        <f>IF(项目基本情况!F5="已注销","——","3.房地产抵押价值")</f>
        <v>3.房地产抵押价值</v>
      </c>
      <c r="G111" s="2937"/>
      <c r="H111" s="2307" t="str">
        <f>C115</f>
        <v>总价（万元）</v>
      </c>
      <c r="I111" s="1843">
        <f ca="1">IF(F111="——","——",I103-I106)</f>
        <v>6078</v>
      </c>
    </row>
    <row r="112" spans="1:35" ht="15.6">
      <c r="A112" s="2932" t="s">
        <v>1937</v>
      </c>
      <c r="B112" s="2933"/>
      <c r="C112" s="2270" t="str">
        <f>C111</f>
        <v>总额（万元）</v>
      </c>
      <c r="D112" s="633">
        <f>IF(D37="同一抵押权人同一抵押物续贷",C37&amp;"（未扣减，详见特别提示）",C37)</f>
        <v>0</v>
      </c>
      <c r="E112" s="2171"/>
      <c r="F112" s="2938"/>
      <c r="G112" s="2939"/>
      <c r="H112" s="2267" t="s">
        <v>1931</v>
      </c>
      <c r="I112" s="2273">
        <f ca="1">D116</f>
        <v>34467</v>
      </c>
    </row>
    <row r="113" spans="1:26" ht="15.6">
      <c r="A113" s="2932" t="s">
        <v>1938</v>
      </c>
      <c r="B113" s="2933"/>
      <c r="C113" s="2270" t="str">
        <f>C111</f>
        <v>总额（万元）</v>
      </c>
      <c r="D113" s="633">
        <f>C38</f>
        <v>0</v>
      </c>
      <c r="E113" s="2171"/>
      <c r="F113" s="2936" t="str">
        <f>IF(项目基本情况!F5="已注销及未注销","4.抵押担保权已注销时的房地产抵押价值",IF(项目基本情况!F5="已注销","3.抵押担保权已注销时的房地产抵押价值","——"))</f>
        <v>——</v>
      </c>
      <c r="G113" s="2937"/>
      <c r="H113" s="2307" t="str">
        <f>C117</f>
        <v>总价（万元）</v>
      </c>
      <c r="I113" s="1843" t="str">
        <f>IF(F113="——","——",I103-I108-I109)</f>
        <v>——</v>
      </c>
    </row>
    <row r="114" spans="1:26" ht="15.6">
      <c r="A114" s="2932" t="s">
        <v>1940</v>
      </c>
      <c r="B114" s="2933"/>
      <c r="C114" s="2270" t="str">
        <f>C111</f>
        <v>总额（万元）</v>
      </c>
      <c r="D114" s="633">
        <f>C39</f>
        <v>0</v>
      </c>
      <c r="E114" s="2171"/>
      <c r="F114" s="2938"/>
      <c r="G114" s="2939"/>
      <c r="H114" s="2267" t="s">
        <v>1931</v>
      </c>
      <c r="I114" s="1034" t="str">
        <f>D118</f>
        <v>——</v>
      </c>
    </row>
    <row r="115" spans="1:26" ht="15.6">
      <c r="A115" s="2945" t="str">
        <f>IF(项目基本情况!F5="已注销","——","3.房地产抵押价值")</f>
        <v>3.房地产抵押价值</v>
      </c>
      <c r="B115" s="2946"/>
      <c r="C115" s="2267" t="str">
        <f>B102</f>
        <v>总价（万元）</v>
      </c>
      <c r="D115" s="1035">
        <f ca="1">IF(A115="——","——",D109-D111)</f>
        <v>6078</v>
      </c>
      <c r="E115" s="2171"/>
      <c r="F115" s="2936" t="str">
        <f>IF(项目基本情况!G5="抵押净值",IF(OR(项目基本情况!F5="已注销",项目基本情况!F5="房地产抵押价值"),"4.抵押净值","5.抵押净值"),"——")</f>
        <v>——</v>
      </c>
      <c r="G115" s="2937"/>
      <c r="H115" s="2267" t="str">
        <f>C119</f>
        <v>总价（万元）</v>
      </c>
      <c r="I115" s="1843" t="str">
        <f>IF(F115="——","——",N60)</f>
        <v>——</v>
      </c>
    </row>
    <row r="116" spans="1:26" ht="16.2" thickBot="1">
      <c r="A116" s="2945"/>
      <c r="B116" s="2946"/>
      <c r="C116" s="2267" t="s">
        <v>1993</v>
      </c>
      <c r="D116" s="1036">
        <f ca="1">ROUND(IF(D115=D109,D110,IF(H19="元",D115/B124,D115*10000/B124)),0)</f>
        <v>34467</v>
      </c>
      <c r="E116" s="2171"/>
      <c r="F116" s="2947"/>
      <c r="G116" s="2948"/>
      <c r="H116" s="2275" t="s">
        <v>1993</v>
      </c>
      <c r="I116" s="1845" t="str">
        <f ca="1">D120</f>
        <v>——</v>
      </c>
    </row>
    <row r="117" spans="1:26" ht="15.6">
      <c r="A117" s="2945" t="str">
        <f>IF(项目基本情况!F5="已注销及未注销","4.抵押担保权已注销时的房地产抵押价值",IF(项目基本情况!F5="已注销","3.抵押担保权已注销时的房地产抵押价值","——"))</f>
        <v>——</v>
      </c>
      <c r="B117" s="2946"/>
      <c r="C117" s="2267" t="str">
        <f>B102</f>
        <v>总价（万元）</v>
      </c>
      <c r="D117" s="1035" t="str">
        <f>IF(A117="——","——",D109-D113-D114)</f>
        <v>——</v>
      </c>
      <c r="E117" s="2171"/>
      <c r="F117" s="2951"/>
      <c r="G117" s="2951"/>
      <c r="H117" s="2952"/>
      <c r="I117" s="2952"/>
      <c r="N117" s="51"/>
      <c r="O117" s="51"/>
    </row>
    <row r="118" spans="1:26" s="1826" customFormat="1" ht="15.6">
      <c r="A118" s="2945"/>
      <c r="B118" s="2946"/>
      <c r="C118" s="2267" t="s">
        <v>1993</v>
      </c>
      <c r="D118" s="1036" t="str">
        <f>IF(A117="——","——",IF(H19="元",ROUND(D117/B124,0),ROUND(D117*10000/B124,0)))</f>
        <v>——</v>
      </c>
      <c r="E118" s="2171"/>
      <c r="F118" s="2953" t="str">
        <f>IF(B32="总价","（以上估价结果中楼面单价为总价除以建筑面积得出）","（以上估价结果中总价为楼面单价乘以建筑面积得出）")</f>
        <v>（以上估价结果中总价为楼面单价乘以建筑面积得出）</v>
      </c>
      <c r="G118" s="2953"/>
      <c r="H118" s="2953"/>
      <c r="I118" s="2953"/>
      <c r="J118" s="790"/>
      <c r="K118" s="790"/>
      <c r="L118" s="790"/>
      <c r="M118" s="790"/>
      <c r="N118" s="51"/>
      <c r="O118" s="51"/>
      <c r="P118" s="790"/>
      <c r="Q118" s="790"/>
      <c r="R118" s="790"/>
      <c r="S118" s="790"/>
      <c r="T118" s="790"/>
      <c r="U118" s="790"/>
      <c r="V118" s="790"/>
      <c r="W118" s="790"/>
      <c r="X118" s="790"/>
      <c r="Y118" s="790"/>
      <c r="Z118" s="790"/>
    </row>
    <row r="119" spans="1:26" s="1826" customFormat="1" ht="15">
      <c r="A119" s="2945" t="str">
        <f>IF(项目基本情况!G5="抵押净值",IF(OR(项目基本情况!F5="已注销",项目基本情况!F5="房地产抵押价值"),"4.抵押净值","5.抵押净值"),"——")</f>
        <v>——</v>
      </c>
      <c r="B119" s="2946"/>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6.2" thickBot="1">
      <c r="A120" s="2949"/>
      <c r="B120" s="2950"/>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4.4">
      <c r="A121" s="2954" t="s">
        <v>1994</v>
      </c>
      <c r="B121" s="2955"/>
      <c r="C121" s="2955"/>
      <c r="D121" s="2955"/>
      <c r="E121" s="2955"/>
      <c r="F121" s="2955"/>
      <c r="G121" s="2955"/>
      <c r="H121" s="2955"/>
      <c r="I121" s="2955"/>
      <c r="J121" s="790"/>
      <c r="K121" s="790"/>
      <c r="L121" s="790"/>
      <c r="M121" s="790"/>
      <c r="N121" s="790"/>
      <c r="O121" s="790"/>
      <c r="P121" s="790"/>
      <c r="Q121" s="790"/>
      <c r="R121" s="790"/>
      <c r="S121" s="790"/>
      <c r="T121" s="790"/>
      <c r="U121" s="790"/>
      <c r="V121" s="790"/>
      <c r="W121" s="790"/>
      <c r="X121" s="790"/>
      <c r="Y121" s="790"/>
      <c r="Z121" s="790"/>
    </row>
    <row r="122" spans="1:26" s="1826" customFormat="1" ht="13.8">
      <c r="A122" s="2911" t="s">
        <v>1942</v>
      </c>
      <c r="B122" s="2940" t="s">
        <v>1995</v>
      </c>
      <c r="C122" s="2940" t="s">
        <v>1996</v>
      </c>
      <c r="D122" s="2942" t="s">
        <v>1945</v>
      </c>
      <c r="E122" s="2943"/>
      <c r="F122" s="2912" t="s">
        <v>1997</v>
      </c>
      <c r="G122" s="2912"/>
      <c r="H122" s="2912" t="s">
        <v>1946</v>
      </c>
      <c r="I122" s="2944"/>
      <c r="J122" s="790"/>
      <c r="K122" s="790"/>
      <c r="L122" s="790"/>
      <c r="M122" s="790"/>
      <c r="N122" s="790"/>
      <c r="O122" s="790"/>
      <c r="P122" s="790"/>
      <c r="Q122" s="790"/>
      <c r="R122" s="790"/>
      <c r="S122" s="790"/>
      <c r="T122" s="790"/>
      <c r="U122" s="790"/>
      <c r="V122" s="790"/>
      <c r="W122" s="790"/>
      <c r="X122" s="790"/>
      <c r="Y122" s="790"/>
      <c r="Z122" s="790"/>
    </row>
    <row r="123" spans="1:26" s="1826" customFormat="1" ht="14.4">
      <c r="A123" s="2911"/>
      <c r="B123" s="2941"/>
      <c r="C123" s="2941"/>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27.6">
      <c r="A124" s="2157" t="str">
        <f>项目基本情况!I1</f>
        <v>北京市房地产</v>
      </c>
      <c r="B124" s="1867">
        <f>典型户型修正!B25</f>
        <v>1763.4099999999999</v>
      </c>
      <c r="C124" s="396"/>
      <c r="D124" s="1867">
        <f>C35</f>
        <v>0</v>
      </c>
      <c r="E124" s="1867">
        <f>ROUND(IF(H19="元",D124/B124,D124*10000/B124),0)</f>
        <v>0</v>
      </c>
      <c r="F124" s="1867">
        <f>C36</f>
        <v>0</v>
      </c>
      <c r="G124" s="1867">
        <f>ROUND(IF(H19="元",F124/B124,F124*10000/B124),0)</f>
        <v>0</v>
      </c>
      <c r="H124" s="1867">
        <f ca="1">C33</f>
        <v>6078</v>
      </c>
      <c r="I124" s="633">
        <f ca="1">C34</f>
        <v>34467</v>
      </c>
      <c r="J124" s="790"/>
      <c r="K124" s="790"/>
      <c r="L124" s="790"/>
      <c r="M124" s="790"/>
      <c r="N124" s="790"/>
      <c r="O124" s="790"/>
      <c r="P124" s="790"/>
      <c r="Q124" s="790"/>
      <c r="R124" s="790"/>
      <c r="S124" s="790"/>
      <c r="T124" s="790"/>
      <c r="U124" s="790"/>
      <c r="V124" s="790"/>
      <c r="W124" s="790"/>
      <c r="X124" s="790"/>
      <c r="Y124" s="790"/>
      <c r="Z124" s="790"/>
    </row>
    <row r="125" spans="1:26" s="1826" customFormat="1" ht="13.8">
      <c r="A125" s="2911" t="s">
        <v>1950</v>
      </c>
      <c r="B125" s="2912"/>
      <c r="C125" s="2912"/>
      <c r="D125" s="2925" t="str">
        <f>IF(H19="元",NUMBERSTRING(INT(D124),2)&amp;"元整",NUMBERSTRING(INT(D124*10000),2)&amp;"元整")</f>
        <v>零元整</v>
      </c>
      <c r="E125" s="2926"/>
      <c r="F125" s="2925" t="str">
        <f>IF(H19="元",NUMBERSTRING(INT(F124),2)&amp;"元整",NUMBERSTRING(INT(F124*10000),2)&amp;"元整")</f>
        <v>零元整</v>
      </c>
      <c r="G125" s="2926"/>
      <c r="H125" s="2925" t="str">
        <f ca="1">IF(H19="元",NUMBERSTRING(INT(H124),2)&amp;"元整",NUMBERSTRING(INT(H124*10000),2)&amp;"元整")</f>
        <v>陆仟零柒拾捌万元整</v>
      </c>
      <c r="I125" s="2927"/>
      <c r="J125" s="790"/>
      <c r="K125" s="790"/>
      <c r="L125" s="790"/>
      <c r="M125" s="790"/>
      <c r="N125" s="790"/>
      <c r="O125" s="790"/>
      <c r="P125" s="790"/>
      <c r="Q125" s="790"/>
      <c r="R125" s="790"/>
      <c r="S125" s="790"/>
      <c r="T125" s="790"/>
      <c r="U125" s="790"/>
      <c r="V125" s="790"/>
      <c r="W125" s="790"/>
      <c r="X125" s="790"/>
      <c r="Y125" s="790"/>
      <c r="Z125" s="790"/>
    </row>
    <row r="126" spans="1:26" s="1826" customFormat="1" ht="13.8">
      <c r="A126" s="2928" t="str">
        <f>IF(项目基本情况!D5="房地产市场价值","——",MID(A111,3,LEN(A111)-2))</f>
        <v>估价师所知悉的法定优先受偿款</v>
      </c>
      <c r="B126" s="2923"/>
      <c r="C126" s="2929"/>
      <c r="D126" s="2915">
        <f>I106</f>
        <v>0</v>
      </c>
      <c r="E126" s="2923"/>
      <c r="F126" s="2923"/>
      <c r="G126" s="2923"/>
      <c r="H126" s="2923"/>
      <c r="I126" s="2924"/>
      <c r="J126" s="790"/>
      <c r="K126" s="790"/>
      <c r="L126" s="790"/>
      <c r="M126" s="790"/>
      <c r="N126" s="790"/>
      <c r="O126" s="790"/>
      <c r="P126" s="790"/>
      <c r="Q126" s="790"/>
      <c r="R126" s="790"/>
      <c r="S126" s="790"/>
      <c r="T126" s="790"/>
      <c r="U126" s="790"/>
      <c r="V126" s="790"/>
      <c r="W126" s="790"/>
      <c r="X126" s="790"/>
      <c r="Y126" s="790"/>
      <c r="Z126" s="790"/>
    </row>
    <row r="127" spans="1:26" s="1826" customFormat="1" ht="13.8">
      <c r="A127" s="2917" t="s">
        <v>1950</v>
      </c>
      <c r="B127" s="2918"/>
      <c r="C127" s="2919"/>
      <c r="D127" s="2920">
        <f>H110</f>
        <v>0</v>
      </c>
      <c r="E127" s="2921"/>
      <c r="F127" s="2921"/>
      <c r="G127" s="2921"/>
      <c r="H127" s="2921"/>
      <c r="I127" s="2922"/>
      <c r="J127" s="790"/>
      <c r="K127" s="790"/>
      <c r="L127" s="790"/>
      <c r="M127" s="790"/>
      <c r="N127" s="790"/>
      <c r="O127" s="790"/>
      <c r="P127" s="790"/>
      <c r="Q127" s="790"/>
      <c r="R127" s="790"/>
      <c r="S127" s="790"/>
      <c r="T127" s="790"/>
      <c r="U127" s="790"/>
      <c r="V127" s="790"/>
      <c r="W127" s="790"/>
      <c r="X127" s="790"/>
      <c r="Y127" s="790"/>
      <c r="Z127" s="790"/>
    </row>
    <row r="128" spans="1:26" s="1826" customFormat="1" ht="13.8">
      <c r="A128" s="2906" t="str">
        <f>IF(项目基本情况!D5="房地产市场价值","——",MID(A115,3,LEN(A115)-2))</f>
        <v>房地产抵押价值</v>
      </c>
      <c r="B128" s="2907"/>
      <c r="C128" s="2907"/>
      <c r="D128" s="2915">
        <f ca="1">I111</f>
        <v>6078</v>
      </c>
      <c r="E128" s="2923"/>
      <c r="F128" s="2923"/>
      <c r="G128" s="2923"/>
      <c r="H128" s="2923"/>
      <c r="I128" s="2924"/>
      <c r="J128" s="790"/>
      <c r="K128" s="790"/>
      <c r="L128" s="790"/>
      <c r="M128" s="790"/>
      <c r="N128" s="790"/>
      <c r="O128" s="790"/>
      <c r="P128" s="790"/>
      <c r="Q128" s="790"/>
      <c r="R128" s="790"/>
      <c r="S128" s="790"/>
      <c r="T128" s="790"/>
      <c r="U128" s="790"/>
      <c r="V128" s="790"/>
      <c r="W128" s="790"/>
      <c r="X128" s="790"/>
      <c r="Y128" s="790"/>
      <c r="Z128" s="790"/>
    </row>
    <row r="129" spans="1:26" s="1826" customFormat="1" ht="13.8">
      <c r="A129" s="2911" t="s">
        <v>1950</v>
      </c>
      <c r="B129" s="2912"/>
      <c r="C129" s="2912"/>
      <c r="D129" s="2920">
        <f ca="1">I112</f>
        <v>34467</v>
      </c>
      <c r="E129" s="2921"/>
      <c r="F129" s="2921"/>
      <c r="G129" s="2921"/>
      <c r="H129" s="2921"/>
      <c r="I129" s="2922"/>
      <c r="J129" s="790"/>
      <c r="K129" s="790"/>
      <c r="L129" s="790"/>
      <c r="M129" s="790"/>
      <c r="N129" s="790"/>
      <c r="O129" s="790"/>
      <c r="P129" s="790"/>
      <c r="Q129" s="790"/>
      <c r="R129" s="790"/>
      <c r="S129" s="790"/>
      <c r="T129" s="790"/>
      <c r="U129" s="790"/>
      <c r="V129" s="790"/>
      <c r="W129" s="790"/>
      <c r="X129" s="790"/>
      <c r="Y129" s="790"/>
      <c r="Z129" s="790"/>
    </row>
    <row r="130" spans="1:26" s="1826" customFormat="1" ht="14.4" thickBot="1">
      <c r="A130" s="2906" t="str">
        <f>IF(项目基本情况!D5="房地产市场价值","——",MID(A117,3,LEN(A117)-2))</f>
        <v/>
      </c>
      <c r="B130" s="2907"/>
      <c r="C130" s="2907"/>
      <c r="D130" s="2908" t="str">
        <f>I113</f>
        <v>——</v>
      </c>
      <c r="E130" s="2909"/>
      <c r="F130" s="2909"/>
      <c r="G130" s="2909"/>
      <c r="H130" s="2909"/>
      <c r="I130" s="2910"/>
      <c r="J130" s="790"/>
      <c r="K130" s="790"/>
      <c r="L130" s="790"/>
      <c r="M130" s="790"/>
      <c r="N130" s="790"/>
      <c r="O130" s="790"/>
      <c r="P130" s="790"/>
      <c r="Q130" s="790"/>
      <c r="R130" s="790"/>
      <c r="S130" s="790"/>
      <c r="T130" s="790"/>
      <c r="U130" s="790"/>
      <c r="V130" s="790"/>
      <c r="W130" s="790"/>
      <c r="X130" s="790"/>
      <c r="Y130" s="790"/>
      <c r="Z130" s="790"/>
    </row>
    <row r="131" spans="1:26" s="1826" customFormat="1" ht="15" thickTop="1" thickBot="1">
      <c r="A131" s="2911" t="s">
        <v>1950</v>
      </c>
      <c r="B131" s="2912"/>
      <c r="C131" s="2913"/>
      <c r="D131" s="2914" t="str">
        <f>I114</f>
        <v>——</v>
      </c>
      <c r="E131" s="2914"/>
      <c r="F131" s="2914"/>
      <c r="G131" s="2914"/>
      <c r="H131" s="2914"/>
      <c r="I131" s="2914"/>
      <c r="J131" s="790"/>
      <c r="K131" s="790"/>
      <c r="L131" s="790"/>
      <c r="M131" s="790"/>
      <c r="N131" s="790"/>
      <c r="O131" s="790"/>
      <c r="P131" s="790"/>
      <c r="Q131" s="790"/>
      <c r="R131" s="790"/>
      <c r="S131" s="790"/>
      <c r="T131" s="790"/>
      <c r="U131" s="790"/>
      <c r="V131" s="790"/>
      <c r="W131" s="790"/>
      <c r="X131" s="790"/>
      <c r="Y131" s="790"/>
      <c r="Z131" s="790"/>
    </row>
    <row r="132" spans="1:26" s="1826" customFormat="1" ht="15" thickTop="1" thickBot="1">
      <c r="A132" s="2906" t="str">
        <f>IF(项目基本情况!D5="房地产市场价值","——",MID(F115,3,LEN(F115)-2))</f>
        <v/>
      </c>
      <c r="B132" s="2907"/>
      <c r="C132" s="2915"/>
      <c r="D132" s="2916" t="str">
        <f>I115</f>
        <v>——</v>
      </c>
      <c r="E132" s="2916"/>
      <c r="F132" s="2916"/>
      <c r="G132" s="2916"/>
      <c r="H132" s="2916"/>
      <c r="I132" s="2916"/>
      <c r="J132" s="790"/>
      <c r="K132" s="790"/>
      <c r="L132" s="790"/>
      <c r="M132" s="790"/>
      <c r="N132" s="790"/>
      <c r="O132" s="790"/>
      <c r="P132" s="790"/>
      <c r="Q132" s="790"/>
      <c r="R132" s="790"/>
      <c r="S132" s="790"/>
      <c r="T132" s="790"/>
      <c r="U132" s="790"/>
      <c r="V132" s="790"/>
      <c r="W132" s="790"/>
      <c r="X132" s="790"/>
      <c r="Y132" s="790"/>
      <c r="Z132" s="790"/>
    </row>
    <row r="133" spans="1:26" s="1826" customFormat="1" ht="15" thickTop="1" thickBot="1">
      <c r="A133" s="2897" t="s">
        <v>1950</v>
      </c>
      <c r="B133" s="2898"/>
      <c r="C133" s="2898"/>
      <c r="D133" s="2899">
        <f>H117</f>
        <v>0</v>
      </c>
      <c r="E133" s="2900"/>
      <c r="F133" s="2900"/>
      <c r="G133" s="2900"/>
      <c r="H133" s="2900"/>
      <c r="I133" s="2901"/>
      <c r="J133" s="790"/>
      <c r="K133" s="790"/>
      <c r="L133" s="790"/>
      <c r="M133" s="790"/>
      <c r="N133" s="790"/>
      <c r="O133" s="790"/>
      <c r="P133" s="790"/>
      <c r="Q133" s="790"/>
      <c r="R133" s="790"/>
      <c r="S133" s="790"/>
      <c r="T133" s="790"/>
      <c r="U133" s="790"/>
      <c r="V133" s="790"/>
      <c r="W133" s="790"/>
      <c r="X133" s="790"/>
      <c r="Y133" s="790"/>
      <c r="Z133" s="790"/>
    </row>
    <row r="134" spans="1:26" s="1826" customFormat="1" ht="13.2">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8" thickBot="1">
      <c r="A135" s="2902" t="str">
        <f>IF(B32="总价","（以上估价结果中楼面单价为总价除以建筑面积得出）","（以上估价结果中总价为楼面单价乘以建筑面积得出）")</f>
        <v>（以上估价结果中总价为楼面单价乘以建筑面积得出）</v>
      </c>
      <c r="B135" s="2902"/>
      <c r="C135" s="2902"/>
      <c r="D135" s="2902"/>
      <c r="E135" s="2902"/>
      <c r="F135" s="2902"/>
      <c r="G135" s="2902"/>
      <c r="H135" s="2902"/>
      <c r="I135" s="2902"/>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1" customWidth="1"/>
    <col min="2" max="2" width="29.21875" style="196" customWidth="1"/>
    <col min="3" max="3" width="12.109375" style="196" customWidth="1"/>
    <col min="4" max="4" width="12.21875" style="214" customWidth="1"/>
    <col min="5" max="5" width="11.21875" style="214" customWidth="1"/>
    <col min="6" max="6" width="9.44140625" style="196" customWidth="1"/>
    <col min="7" max="7" width="31.88671875" style="196" customWidth="1"/>
    <col min="8" max="254" width="9" style="196" customWidth="1"/>
    <col min="255" max="16384" width="8.33203125" style="196"/>
  </cols>
  <sheetData>
    <row r="1" spans="1:7" s="160" customFormat="1" ht="21">
      <c r="A1" s="157" t="s">
        <v>1998</v>
      </c>
      <c r="B1" s="1303"/>
      <c r="C1" s="158"/>
      <c r="D1" s="158"/>
      <c r="E1" s="158"/>
      <c r="F1" s="158"/>
      <c r="G1" s="159"/>
    </row>
    <row r="2" spans="1:7" s="160" customFormat="1" ht="18" customHeight="1">
      <c r="A2" s="161" t="s">
        <v>1999</v>
      </c>
      <c r="B2" s="162">
        <f ca="1">IF(D2="——",IF(C2="元",C52,ROUND(C52/10000,0)),IF(C2="元",C52,ROUND(C52/10000,0))-E2)</f>
        <v>786</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4458</v>
      </c>
      <c r="C3" s="159" t="s">
        <v>2001</v>
      </c>
      <c r="D3" s="159"/>
      <c r="E3" s="159"/>
      <c r="F3" s="159"/>
      <c r="G3" s="159"/>
    </row>
    <row r="4" spans="1:7" s="168" customFormat="1" ht="16.2">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211609</v>
      </c>
      <c r="D10" s="1520">
        <f>IF('数据-取费表'!B10&lt;&gt;"住宅",IF(B1="仅计算典型户型",'数据-取费表'!E5,'数据-取费表'!B5),0)</f>
        <v>1763.4099999999999</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352682</v>
      </c>
      <c r="D19" s="1523">
        <f>IF(B1="仅计算典型户型",'数据-取费表'!E5,'数据-取费表'!B5)</f>
        <v>1763.4099999999999</v>
      </c>
      <c r="E19" s="191">
        <f>'数据-取费表'!E15</f>
        <v>200</v>
      </c>
      <c r="F19" s="192"/>
      <c r="G19" s="2311"/>
    </row>
    <row r="20" spans="1:7" s="171" customFormat="1" ht="13.5" customHeight="1">
      <c r="A20" s="200" t="s">
        <v>2027</v>
      </c>
      <c r="B20" s="169" t="s">
        <v>2028</v>
      </c>
      <c r="C20" s="179">
        <f>ROUND((C5+C19)*F20,0)</f>
        <v>27664</v>
      </c>
      <c r="D20" s="179"/>
      <c r="E20" s="179"/>
      <c r="F20" s="183">
        <f>'数据-取费表'!E25</f>
        <v>0.02</v>
      </c>
      <c r="G20" s="180" t="s">
        <v>2029</v>
      </c>
    </row>
    <row r="21" spans="1:7" s="171" customFormat="1" ht="13.5" customHeight="1">
      <c r="A21" s="200" t="s">
        <v>2030</v>
      </c>
      <c r="B21" s="169" t="s">
        <v>2031</v>
      </c>
      <c r="C21" s="181">
        <f>F21</f>
        <v>0.02</v>
      </c>
      <c r="D21" s="182" t="s">
        <v>2032</v>
      </c>
      <c r="E21" s="179"/>
      <c r="F21" s="183">
        <f>'数据-取费表'!E26</f>
        <v>0.02</v>
      </c>
      <c r="G21" s="180" t="s">
        <v>2033</v>
      </c>
    </row>
    <row r="22" spans="1:7" s="171" customFormat="1" ht="13.5" customHeight="1">
      <c r="A22" s="200" t="s">
        <v>2034</v>
      </c>
      <c r="B22" s="169" t="s">
        <v>2035</v>
      </c>
      <c r="C22" s="201">
        <f ca="1">ROUND(SUM(C23:C25),0)</f>
        <v>135838</v>
      </c>
      <c r="D22" s="181">
        <f ca="1">C26</f>
        <v>1E-3</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34301</v>
      </c>
      <c r="D24" s="184"/>
      <c r="E24" s="184"/>
      <c r="F24" s="185"/>
      <c r="G24" s="186" t="s">
        <v>2040</v>
      </c>
    </row>
    <row r="25" spans="1:7" s="171" customFormat="1" ht="24">
      <c r="A25" s="172" t="s">
        <v>2012</v>
      </c>
      <c r="B25" s="173" t="s">
        <v>2041</v>
      </c>
      <c r="C25" s="1437">
        <f ca="1">ROUND(IF('数据-取费表'!B23&lt;=1,C20*F22*'数据-取费表'!B24/2,C20*(POWER((1+F22),'数据-取费表'!B24/2)-1)),0)</f>
        <v>1314</v>
      </c>
      <c r="D25" s="184"/>
      <c r="E25" s="187"/>
      <c r="F25" s="185"/>
      <c r="G25" s="188" t="s">
        <v>2042</v>
      </c>
    </row>
    <row r="26" spans="1:7" s="171" customFormat="1">
      <c r="A26" s="172" t="s">
        <v>2043</v>
      </c>
      <c r="B26" s="173" t="s">
        <v>2044</v>
      </c>
      <c r="C26" s="184">
        <f ca="1">ROUND(IF('数据-取费表'!B23&lt;=1,F21*F22*'数据-取费表'!B24/2,F21*(POWER((1+F22),'数据-取费表'!B24/2)-1)),4)</f>
        <v>1E-3</v>
      </c>
      <c r="D26" s="184"/>
      <c r="E26" s="187"/>
      <c r="F26" s="185"/>
      <c r="G26" s="189"/>
    </row>
    <row r="27" spans="1:7" s="171" customFormat="1" ht="26.4">
      <c r="A27" s="1287" t="s">
        <v>2045</v>
      </c>
      <c r="B27" s="190" t="s">
        <v>2046</v>
      </c>
      <c r="C27" s="191">
        <f>C28</f>
        <v>141085</v>
      </c>
      <c r="D27" s="181">
        <f>C29</f>
        <v>2E-3</v>
      </c>
      <c r="E27" s="182" t="s">
        <v>2032</v>
      </c>
      <c r="F27" s="192">
        <f>'数据-取费表'!E28</f>
        <v>0.1</v>
      </c>
      <c r="G27" s="193" t="s">
        <v>2047</v>
      </c>
    </row>
    <row r="28" spans="1:7" s="171" customFormat="1" ht="13.5" customHeight="1">
      <c r="A28" s="172" t="s">
        <v>2036</v>
      </c>
      <c r="B28" s="194" t="s">
        <v>2048</v>
      </c>
      <c r="C28" s="195">
        <f>ROUND((C5+C19+C20)*F27*'数据-取费表'!B22/'数据-取费表'!B21,0)</f>
        <v>141085</v>
      </c>
      <c r="D28" s="181"/>
      <c r="E28" s="182"/>
      <c r="F28" s="192"/>
      <c r="G28" s="193"/>
    </row>
    <row r="29" spans="1:7" s="171" customFormat="1" ht="13.5" customHeight="1">
      <c r="A29" s="172" t="s">
        <v>2010</v>
      </c>
      <c r="B29" s="194" t="s">
        <v>2049</v>
      </c>
      <c r="C29" s="184">
        <f>ROUND(C21*F27*'数据-取费表'!B22/'数据-取费表'!B21,4)</f>
        <v>2E-3</v>
      </c>
      <c r="D29" s="181"/>
      <c r="E29" s="182"/>
      <c r="F29" s="192"/>
      <c r="G29" s="193"/>
    </row>
    <row r="30" spans="1:7" s="171" customFormat="1" ht="13.5" customHeight="1">
      <c r="A30" s="1287" t="s">
        <v>2050</v>
      </c>
      <c r="B30" s="169" t="s">
        <v>2051</v>
      </c>
      <c r="C30" s="181">
        <f>ROUND(F30/(1+'数据-取费表'!F30),4)</f>
        <v>5.33E-2</v>
      </c>
      <c r="D30" s="182" t="s">
        <v>2032</v>
      </c>
      <c r="E30" s="187"/>
      <c r="F30" s="183">
        <f>'数据-取费表'!E29</f>
        <v>5.6000000000000001E-2</v>
      </c>
      <c r="G30" s="180" t="s">
        <v>2052</v>
      </c>
    </row>
    <row r="31" spans="1:7" ht="16.5" customHeight="1">
      <c r="A31" s="200">
        <v>1</v>
      </c>
      <c r="B31" s="169" t="s">
        <v>2053</v>
      </c>
      <c r="C31" s="191">
        <f ca="1">ROUND((C5+C19+C20+C22+C27)/(1-C21-D22-D27-C30),0)</f>
        <v>1827183</v>
      </c>
      <c r="D31" s="1523"/>
      <c r="E31" s="191"/>
      <c r="F31" s="1524"/>
      <c r="G31" s="180" t="s">
        <v>2054</v>
      </c>
    </row>
    <row r="32" spans="1:7" s="168" customFormat="1" ht="16.2">
      <c r="A32" s="197" t="s">
        <v>2055</v>
      </c>
      <c r="B32" s="198"/>
      <c r="C32" s="1525"/>
      <c r="D32" s="1525"/>
      <c r="E32" s="1525"/>
      <c r="F32" s="1525"/>
      <c r="G32" s="199"/>
    </row>
    <row r="33" spans="1:7" s="171" customFormat="1" ht="13.5" customHeight="1">
      <c r="A33" s="200" t="s">
        <v>2056</v>
      </c>
      <c r="B33" s="169" t="s">
        <v>2057</v>
      </c>
      <c r="C33" s="201">
        <f>SUM(C34:C38)</f>
        <v>6802354</v>
      </c>
      <c r="D33" s="179"/>
      <c r="E33" s="1514"/>
      <c r="F33" s="187"/>
      <c r="G33" s="180"/>
    </row>
    <row r="34" spans="1:7" s="202" customFormat="1" ht="13.5" customHeight="1">
      <c r="A34" s="172" t="s">
        <v>2036</v>
      </c>
      <c r="B34" s="173" t="s">
        <v>2058</v>
      </c>
      <c r="C34" s="195">
        <f>IF(B1="仅计算典型户型",'数据-取费表'!F18,'数据-取费表'!E18)</f>
        <v>6171935</v>
      </c>
      <c r="D34" s="1515"/>
      <c r="E34" s="195"/>
      <c r="F34" s="1526" t="str">
        <f>IF('数据-取费表'!B25=0,"",'数据-取费表'!E20)</f>
        <v/>
      </c>
      <c r="G34" s="175"/>
    </row>
    <row r="35" spans="1:7" ht="13.5" customHeight="1">
      <c r="A35" s="172" t="s">
        <v>2010</v>
      </c>
      <c r="B35" s="173" t="s">
        <v>2059</v>
      </c>
      <c r="C35" s="195">
        <f>ROUND(C34*F35,0)</f>
        <v>185158</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352682</v>
      </c>
      <c r="D37" s="1515">
        <f>IF(B1="仅计算典型户型",'数据-取费表'!E5,'数据-取费表'!B5)</f>
        <v>1763.4099999999999</v>
      </c>
      <c r="E37" s="195">
        <f>'数据-取费表'!E23</f>
        <v>200</v>
      </c>
      <c r="F37" s="1527"/>
      <c r="G37" s="204" t="s">
        <v>2064</v>
      </c>
    </row>
    <row r="38" spans="1:7" ht="13.5" customHeight="1">
      <c r="A38" s="172" t="s">
        <v>2065</v>
      </c>
      <c r="B38" s="173" t="s">
        <v>2066</v>
      </c>
      <c r="C38" s="195">
        <f>ROUND(C34*F38,0)</f>
        <v>92579</v>
      </c>
      <c r="D38" s="195"/>
      <c r="E38" s="195"/>
      <c r="F38" s="1527">
        <f>'数据-取费表'!E24</f>
        <v>1.4999999999999999E-2</v>
      </c>
      <c r="G38" s="175" t="s">
        <v>2060</v>
      </c>
    </row>
    <row r="39" spans="1:7" s="171" customFormat="1" ht="13.5" customHeight="1">
      <c r="A39" s="200" t="s">
        <v>2025</v>
      </c>
      <c r="B39" s="169" t="s">
        <v>2028</v>
      </c>
      <c r="C39" s="179">
        <f>ROUND(C33*F20,0)</f>
        <v>136047</v>
      </c>
      <c r="D39" s="179"/>
      <c r="E39" s="179"/>
      <c r="F39" s="183"/>
      <c r="G39" s="180" t="s">
        <v>2067</v>
      </c>
    </row>
    <row r="40" spans="1:7" s="171" customFormat="1" ht="13.5" customHeight="1">
      <c r="A40" s="200" t="s">
        <v>2027</v>
      </c>
      <c r="B40" s="169" t="s">
        <v>2031</v>
      </c>
      <c r="C40" s="1800">
        <f>F21</f>
        <v>0.02</v>
      </c>
      <c r="D40" s="182" t="s">
        <v>2068</v>
      </c>
      <c r="E40" s="179"/>
      <c r="F40" s="183"/>
      <c r="G40" s="180" t="s">
        <v>2069</v>
      </c>
    </row>
    <row r="41" spans="1:7" s="171" customFormat="1" ht="13.5" customHeight="1">
      <c r="A41" s="200" t="s">
        <v>2030</v>
      </c>
      <c r="B41" s="169" t="s">
        <v>2035</v>
      </c>
      <c r="C41" s="179">
        <f ca="1">ROUND(SUM(C42:C43),0)</f>
        <v>329574</v>
      </c>
      <c r="D41" s="181">
        <f ca="1">C44</f>
        <v>1E-3</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323112</v>
      </c>
      <c r="D42" s="184"/>
      <c r="E42" s="184"/>
      <c r="F42" s="185"/>
      <c r="G42" s="3033" t="s">
        <v>2070</v>
      </c>
    </row>
    <row r="43" spans="1:7" ht="13.5" customHeight="1">
      <c r="A43" s="172" t="s">
        <v>2010</v>
      </c>
      <c r="B43" s="173" t="s">
        <v>2039</v>
      </c>
      <c r="C43" s="184">
        <f ca="1">ROUND(IF('数据-取费表'!B23&lt;=1,C39*F22*'数据-取费表'!B22/2,C39*(POWER((1+F22),'数据-取费表'!B22/2)-1)),0)</f>
        <v>6462</v>
      </c>
      <c r="D43" s="184"/>
      <c r="E43" s="184"/>
      <c r="F43" s="185"/>
      <c r="G43" s="3034"/>
    </row>
    <row r="44" spans="1:7" ht="13.5" customHeight="1">
      <c r="A44" s="172" t="s">
        <v>2012</v>
      </c>
      <c r="B44" s="173" t="s">
        <v>2041</v>
      </c>
      <c r="C44" s="184">
        <f ca="1">ROUND(IF('数据-取费表'!B23&lt;=1,C40*F22*'数据-取费表'!B22/2,C40*(POWER((1+F22),'数据-取费表'!B22/2)-1)),4)</f>
        <v>1E-3</v>
      </c>
      <c r="D44" s="184"/>
      <c r="E44" s="184"/>
      <c r="F44" s="185"/>
      <c r="G44" s="3035"/>
    </row>
    <row r="45" spans="1:7" s="171" customFormat="1" ht="13.5" customHeight="1">
      <c r="A45" s="200" t="s">
        <v>2034</v>
      </c>
      <c r="B45" s="190" t="s">
        <v>2046</v>
      </c>
      <c r="C45" s="191">
        <f>C46</f>
        <v>693840</v>
      </c>
      <c r="D45" s="181">
        <f>C47</f>
        <v>2E-3</v>
      </c>
      <c r="E45" s="182" t="s">
        <v>2068</v>
      </c>
      <c r="F45" s="192"/>
      <c r="G45" s="193" t="s">
        <v>2071</v>
      </c>
    </row>
    <row r="46" spans="1:7" s="171" customFormat="1" ht="13.5" customHeight="1">
      <c r="A46" s="172" t="s">
        <v>2036</v>
      </c>
      <c r="B46" s="194" t="s">
        <v>2072</v>
      </c>
      <c r="C46" s="195">
        <f>ROUND((C33+C39)*F27,0)</f>
        <v>693840</v>
      </c>
      <c r="D46" s="205"/>
      <c r="E46" s="182"/>
      <c r="F46" s="192"/>
      <c r="G46" s="193"/>
    </row>
    <row r="47" spans="1:7" s="171" customFormat="1" ht="13.5" customHeight="1">
      <c r="A47" s="172" t="s">
        <v>2010</v>
      </c>
      <c r="B47" s="194" t="s">
        <v>2073</v>
      </c>
      <c r="C47" s="184">
        <f>ROUND(C40*F27,4)</f>
        <v>2E-3</v>
      </c>
      <c r="D47" s="205"/>
      <c r="E47" s="182"/>
      <c r="F47" s="192"/>
      <c r="G47" s="193"/>
    </row>
    <row r="48" spans="1:7" s="171" customFormat="1" ht="13.5" customHeight="1">
      <c r="A48" s="1287" t="s">
        <v>2045</v>
      </c>
      <c r="B48" s="169" t="s">
        <v>2074</v>
      </c>
      <c r="C48" s="1800">
        <f>ROUND(F30/(1+'数据-取费表'!F30),4)</f>
        <v>5.33E-2</v>
      </c>
      <c r="D48" s="182" t="s">
        <v>2068</v>
      </c>
      <c r="E48" s="179"/>
      <c r="F48" s="183"/>
      <c r="G48" s="180" t="s">
        <v>2075</v>
      </c>
    </row>
    <row r="49" spans="1:7" ht="16.5" customHeight="1">
      <c r="A49" s="1287" t="s">
        <v>2076</v>
      </c>
      <c r="B49" s="169" t="s">
        <v>2077</v>
      </c>
      <c r="C49" s="179">
        <f ca="1">ROUND((C33+C39+C41+C45)/(1-C40-D41-D45-C48),0)</f>
        <v>8619481</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6033637</v>
      </c>
      <c r="D51" s="179"/>
      <c r="E51" s="179"/>
      <c r="F51" s="206"/>
      <c r="G51" s="180" t="s">
        <v>2084</v>
      </c>
    </row>
    <row r="52" spans="1:7" s="168" customFormat="1" ht="16.8" thickBot="1">
      <c r="A52" s="207" t="s">
        <v>2085</v>
      </c>
      <c r="B52" s="208"/>
      <c r="C52" s="209">
        <f ca="1">C31+C51</f>
        <v>7860820</v>
      </c>
      <c r="D52" s="208"/>
      <c r="E52" s="208"/>
      <c r="F52" s="208"/>
      <c r="G52" s="210"/>
    </row>
    <row r="55" spans="1:7" ht="15">
      <c r="B55" s="212" t="s">
        <v>2086</v>
      </c>
      <c r="C55" s="213"/>
    </row>
    <row r="56" spans="1:7">
      <c r="B56" s="215" t="s">
        <v>2087</v>
      </c>
      <c r="C56" s="216">
        <f ca="1">ROUND(C51/C52,3)</f>
        <v>0.76800000000000002</v>
      </c>
    </row>
    <row r="57" spans="1:7">
      <c r="B57" s="215" t="s">
        <v>2088</v>
      </c>
      <c r="C57" s="217">
        <f ca="1">1-C56</f>
        <v>0.23199999999999998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8" customWidth="1"/>
    <col min="2" max="2" width="25.77734375" style="299" customWidth="1"/>
    <col min="3" max="3" width="10.33203125" style="300" customWidth="1"/>
    <col min="4" max="4" width="9.88671875" style="299" customWidth="1"/>
    <col min="5" max="5" width="9.44140625" style="298" customWidth="1"/>
    <col min="6" max="6" width="10.109375" style="299" customWidth="1"/>
    <col min="7" max="7" width="9.44140625" style="299" customWidth="1"/>
    <col min="8" max="8" width="10" style="299" customWidth="1"/>
    <col min="9" max="11" width="9.44140625" style="299" customWidth="1"/>
    <col min="12" max="12" width="9" style="299" customWidth="1"/>
    <col min="13" max="13" width="10.44140625" style="299" bestFit="1" customWidth="1"/>
    <col min="14" max="254" width="9" style="299" customWidth="1"/>
    <col min="255" max="16384" width="6.6640625" style="299"/>
  </cols>
  <sheetData>
    <row r="1" spans="1:33" s="219" customFormat="1" ht="21">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3250</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25264</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6">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98737</v>
      </c>
      <c r="D22" s="260"/>
      <c r="E22" s="260"/>
      <c r="F22" s="261">
        <f>'数据-取费表'!E25</f>
        <v>0.02</v>
      </c>
      <c r="G22" s="236" t="s">
        <v>1336</v>
      </c>
      <c r="H22" s="239"/>
      <c r="I22" s="239"/>
      <c r="J22" s="239"/>
      <c r="K22" s="240"/>
      <c r="L22" s="262"/>
      <c r="M22" s="262"/>
      <c r="N22" s="262"/>
    </row>
    <row r="23" spans="1:33" s="246" customFormat="1" ht="13.5" customHeight="1">
      <c r="A23" s="1288" t="s">
        <v>1307</v>
      </c>
      <c r="B23" s="257" t="s">
        <v>1337</v>
      </c>
      <c r="C23" s="258">
        <f>ROUND(C4*F23*F11,0)</f>
        <v>270159</v>
      </c>
      <c r="D23" s="260"/>
      <c r="E23" s="260"/>
      <c r="F23" s="261">
        <f>'数据-取费表'!E26</f>
        <v>0.02</v>
      </c>
      <c r="G23" s="236" t="s">
        <v>1338</v>
      </c>
      <c r="H23" s="239"/>
      <c r="I23" s="239"/>
      <c r="J23" s="239"/>
      <c r="K23" s="240"/>
    </row>
    <row r="24" spans="1:33" s="246" customFormat="1" ht="13.5" customHeight="1">
      <c r="A24" s="1288" t="s">
        <v>1339</v>
      </c>
      <c r="B24" s="257" t="s">
        <v>1340</v>
      </c>
      <c r="C24" s="263">
        <f>ROUND(F24/(1+'数据-取费表'!F30),4)</f>
        <v>2.9000000000000001E-2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530572</v>
      </c>
      <c r="D28" s="263">
        <f>C29</f>
        <v>0.10290000000000001</v>
      </c>
      <c r="E28" s="269" t="s">
        <v>12</v>
      </c>
      <c r="F28" s="280">
        <f>'数据-取费表'!E28</f>
        <v>0.1</v>
      </c>
      <c r="G28" s="265"/>
      <c r="H28" s="266"/>
      <c r="I28" s="266"/>
      <c r="J28" s="266"/>
      <c r="K28" s="267"/>
    </row>
    <row r="29" spans="1:33" s="284" customFormat="1" ht="13.5" customHeight="1">
      <c r="A29" s="1289" t="s">
        <v>1351</v>
      </c>
      <c r="B29" s="282" t="s">
        <v>1352</v>
      </c>
      <c r="C29" s="273">
        <f>ROUND((1+C24)*F28,4)</f>
        <v>0.10290000000000001</v>
      </c>
      <c r="D29" s="273"/>
      <c r="E29" s="274"/>
      <c r="F29" s="283"/>
      <c r="G29" s="227" t="s">
        <v>1353</v>
      </c>
      <c r="H29" s="250"/>
      <c r="I29" s="250"/>
      <c r="J29" s="250"/>
      <c r="K29" s="251"/>
    </row>
    <row r="30" spans="1:33" s="284" customFormat="1" ht="13.5" customHeight="1">
      <c r="A30" s="1289" t="s">
        <v>1354</v>
      </c>
      <c r="B30" s="282" t="s">
        <v>1355</v>
      </c>
      <c r="C30" s="285">
        <f>ROUND((C21+C22+C23)*F28,0)</f>
        <v>530572</v>
      </c>
      <c r="D30" s="273"/>
      <c r="E30" s="286"/>
      <c r="F30" s="283"/>
      <c r="G30" s="227"/>
      <c r="H30" s="250"/>
      <c r="I30" s="250"/>
      <c r="J30" s="250"/>
      <c r="K30" s="251"/>
    </row>
    <row r="31" spans="1:33" s="262" customFormat="1" ht="13.5" customHeight="1" thickBot="1">
      <c r="A31" s="1951" t="s">
        <v>1356</v>
      </c>
      <c r="B31" s="257" t="s">
        <v>1357</v>
      </c>
      <c r="C31" s="287">
        <f>ROUND(C4*F31/(1+'数据-取费表'!F30),0)</f>
        <v>2401411</v>
      </c>
      <c r="D31" s="232"/>
      <c r="E31" s="288"/>
      <c r="F31" s="289">
        <f>'数据-取费表'!E29</f>
        <v>5.6000000000000001E-2</v>
      </c>
      <c r="G31" s="290" t="s">
        <v>1358</v>
      </c>
      <c r="H31" s="291"/>
      <c r="I31" s="291"/>
      <c r="J31" s="291"/>
      <c r="K31" s="292"/>
    </row>
    <row r="32" spans="1:33" s="241" customFormat="1" ht="13.5" customHeight="1" thickBot="1">
      <c r="A32" s="293" t="s">
        <v>1359</v>
      </c>
      <c r="B32" s="294"/>
      <c r="C32" s="295">
        <f ca="1">ROUND((C4-C21-C22-C23-C25-C28-C31)/(1+C24+D25+D28),0)</f>
        <v>32501761</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6"/>
  <sheetViews>
    <sheetView view="pageBreakPreview" zoomScaleNormal="100" zoomScaleSheetLayoutView="100" zoomScalePageLayoutView="80" workbookViewId="0">
      <selection activeCell="L25" sqref="L25"/>
    </sheetView>
  </sheetViews>
  <sheetFormatPr defaultColWidth="12.6640625" defaultRowHeight="21.75" customHeight="1"/>
  <cols>
    <col min="1" max="2" width="12.6640625" style="2172"/>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1762</v>
      </c>
      <c r="B1" s="2171"/>
      <c r="C1" s="2171"/>
      <c r="D1" s="2171"/>
      <c r="E1" s="2171"/>
      <c r="F1" s="2171"/>
      <c r="G1" s="2171"/>
      <c r="H1" s="2171"/>
      <c r="I1" s="2171"/>
    </row>
    <row r="2" spans="1:12" ht="21.75" customHeight="1">
      <c r="A2" s="3037" t="str">
        <f>项目基本情况!B1</f>
        <v>北京市房地产抵押价值预评估</v>
      </c>
      <c r="B2" s="3037"/>
      <c r="C2" s="3037"/>
      <c r="D2" s="3037"/>
      <c r="E2" s="3037"/>
      <c r="F2" s="3037"/>
      <c r="G2" s="3037"/>
      <c r="H2" s="3037"/>
      <c r="I2" s="3037"/>
    </row>
    <row r="3" spans="1:12" ht="13.2">
      <c r="A3" s="3011" t="s">
        <v>1763</v>
      </c>
      <c r="B3" s="3012"/>
      <c r="C3" s="3012"/>
      <c r="D3" s="3012"/>
      <c r="E3" s="3012"/>
      <c r="F3" s="3012"/>
      <c r="G3" s="3012"/>
      <c r="H3" s="3012"/>
      <c r="I3" s="3012"/>
    </row>
    <row r="4" spans="1:12" ht="14.4">
      <c r="A4" s="2173" t="s">
        <v>1764</v>
      </c>
      <c r="B4" s="2174" t="s">
        <v>1765</v>
      </c>
      <c r="C4" s="2175" t="s">
        <v>2917</v>
      </c>
      <c r="D4" s="2175" t="s">
        <v>2918</v>
      </c>
      <c r="E4" s="2998" t="s">
        <v>1766</v>
      </c>
      <c r="F4" s="3007"/>
      <c r="G4" s="3007"/>
      <c r="H4" s="3007"/>
      <c r="I4" s="2999"/>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3.2">
      <c r="A5" s="3013" t="s">
        <v>1767</v>
      </c>
      <c r="B5" s="2912">
        <v>25</v>
      </c>
      <c r="C5" s="3014"/>
      <c r="D5" s="3017"/>
      <c r="E5" s="52" t="s">
        <v>1768</v>
      </c>
      <c r="F5" s="2176"/>
      <c r="G5" s="2176"/>
      <c r="H5" s="2176"/>
      <c r="I5" s="2177"/>
    </row>
    <row r="6" spans="1:12" ht="13.2">
      <c r="A6" s="3013"/>
      <c r="B6" s="2912"/>
      <c r="C6" s="3015"/>
      <c r="D6" s="3017"/>
      <c r="E6" s="52" t="s">
        <v>1769</v>
      </c>
      <c r="F6" s="2176"/>
      <c r="G6" s="2176"/>
      <c r="H6" s="2176"/>
      <c r="I6" s="2177"/>
    </row>
    <row r="7" spans="1:12" ht="13.2">
      <c r="A7" s="3013"/>
      <c r="B7" s="2912"/>
      <c r="C7" s="3016"/>
      <c r="D7" s="3017"/>
      <c r="E7" s="52" t="s">
        <v>1770</v>
      </c>
      <c r="F7" s="2176"/>
      <c r="G7" s="2176"/>
      <c r="H7" s="2176"/>
      <c r="I7" s="2177"/>
    </row>
    <row r="8" spans="1:12" ht="13.2">
      <c r="A8" s="3013" t="s">
        <v>1771</v>
      </c>
      <c r="B8" s="2912">
        <v>15</v>
      </c>
      <c r="C8" s="3014"/>
      <c r="D8" s="3017"/>
      <c r="E8" s="52" t="s">
        <v>1772</v>
      </c>
      <c r="F8" s="2176"/>
      <c r="G8" s="2176"/>
      <c r="H8" s="2176"/>
      <c r="I8" s="2177"/>
    </row>
    <row r="9" spans="1:12" ht="13.2">
      <c r="A9" s="3013"/>
      <c r="B9" s="2912"/>
      <c r="C9" s="3016"/>
      <c r="D9" s="3017"/>
      <c r="E9" s="52" t="s">
        <v>1773</v>
      </c>
      <c r="F9" s="2176"/>
      <c r="G9" s="2176"/>
      <c r="H9" s="2176"/>
      <c r="I9" s="2177"/>
    </row>
    <row r="10" spans="1:12" ht="13.2">
      <c r="A10" s="3013" t="s">
        <v>1774</v>
      </c>
      <c r="B10" s="2912">
        <v>15</v>
      </c>
      <c r="C10" s="3014"/>
      <c r="D10" s="3017"/>
      <c r="E10" s="52" t="s">
        <v>1775</v>
      </c>
      <c r="F10" s="2176"/>
      <c r="G10" s="2176"/>
      <c r="H10" s="2176"/>
      <c r="I10" s="2177"/>
    </row>
    <row r="11" spans="1:12" ht="13.2">
      <c r="A11" s="3013"/>
      <c r="B11" s="2912"/>
      <c r="C11" s="3016"/>
      <c r="D11" s="3017"/>
      <c r="E11" s="52" t="s">
        <v>1776</v>
      </c>
      <c r="F11" s="2176"/>
      <c r="G11" s="2176"/>
      <c r="H11" s="2176"/>
      <c r="I11" s="2177"/>
    </row>
    <row r="12" spans="1:12" ht="13.2">
      <c r="A12" s="3013" t="s">
        <v>1777</v>
      </c>
      <c r="B12" s="2912">
        <v>15</v>
      </c>
      <c r="C12" s="3014"/>
      <c r="D12" s="3017"/>
      <c r="E12" s="52" t="s">
        <v>1778</v>
      </c>
      <c r="F12" s="2176"/>
      <c r="G12" s="2176"/>
      <c r="H12" s="2176"/>
      <c r="I12" s="2177"/>
    </row>
    <row r="13" spans="1:12" ht="13.2">
      <c r="A13" s="3013"/>
      <c r="B13" s="2912"/>
      <c r="C13" s="3016"/>
      <c r="D13" s="3017"/>
      <c r="E13" s="52" t="s">
        <v>1779</v>
      </c>
      <c r="F13" s="2176"/>
      <c r="G13" s="2176"/>
      <c r="H13" s="2176"/>
      <c r="I13" s="2177"/>
    </row>
    <row r="14" spans="1:12" ht="13.2">
      <c r="A14" s="3013" t="s">
        <v>1780</v>
      </c>
      <c r="B14" s="2912">
        <v>30</v>
      </c>
      <c r="C14" s="3014">
        <v>5</v>
      </c>
      <c r="D14" s="3017">
        <v>5</v>
      </c>
      <c r="E14" s="52" t="s">
        <v>1781</v>
      </c>
      <c r="F14" s="2176"/>
      <c r="G14" s="2176"/>
      <c r="H14" s="2176"/>
      <c r="I14" s="2177"/>
    </row>
    <row r="15" spans="1:12" ht="13.2">
      <c r="A15" s="3013"/>
      <c r="B15" s="2912"/>
      <c r="C15" s="3015"/>
      <c r="D15" s="3017"/>
      <c r="E15" s="52" t="s">
        <v>1782</v>
      </c>
      <c r="F15" s="2176"/>
      <c r="G15" s="2176"/>
      <c r="H15" s="2176"/>
      <c r="I15" s="2177"/>
    </row>
    <row r="16" spans="1:12" ht="13.2">
      <c r="A16" s="3013"/>
      <c r="B16" s="2912"/>
      <c r="C16" s="3016"/>
      <c r="D16" s="3017"/>
      <c r="E16" s="52" t="s">
        <v>1783</v>
      </c>
      <c r="F16" s="2176"/>
      <c r="G16" s="2176"/>
      <c r="H16" s="2176"/>
      <c r="I16" s="2177"/>
    </row>
    <row r="17" spans="1:35" ht="14.4">
      <c r="A17" s="2178" t="s">
        <v>1784</v>
      </c>
      <c r="B17" s="2179"/>
      <c r="C17" s="53">
        <f>SUM(C5:C16)</f>
        <v>5</v>
      </c>
      <c r="D17" s="53">
        <f>SUM(D5:D16)</f>
        <v>5</v>
      </c>
      <c r="E17" s="2171"/>
      <c r="F17" s="2171"/>
      <c r="G17" s="2171"/>
      <c r="H17" s="2171"/>
      <c r="I17" s="2171"/>
    </row>
    <row r="18" spans="1:35" ht="15" thickBot="1">
      <c r="A18" s="2180" t="s">
        <v>1785</v>
      </c>
      <c r="B18" s="2181"/>
      <c r="C18" s="54">
        <f>ROUND(C17/SUM(C17:D17),2)</f>
        <v>0.5</v>
      </c>
      <c r="D18" s="54">
        <f>1-C18</f>
        <v>0.5</v>
      </c>
      <c r="E18" s="2171"/>
      <c r="F18" s="2171"/>
      <c r="G18" s="2171"/>
      <c r="H18" s="2171"/>
      <c r="I18" s="2171"/>
    </row>
    <row r="19" spans="1:35" ht="14.4">
      <c r="A19" s="2182" t="s">
        <v>1786</v>
      </c>
      <c r="B19" s="2183" t="s">
        <v>1787</v>
      </c>
      <c r="C19" s="55">
        <f ca="1">SUMIF(INDIRECT("'"&amp;C4&amp;"'"&amp;"!A:A"),结果表!B19,INDIRECT("'"&amp;C4&amp;"'"&amp;"!B:B"))</f>
        <v>4804</v>
      </c>
      <c r="D19" s="56">
        <f ca="1">SUMIF(INDIRECT("'"&amp;D4&amp;"'"&amp;"!A:A"),结果表!B19,INDIRECT("'"&amp;D4&amp;"'"&amp;"!B:B"))</f>
        <v>3982</v>
      </c>
      <c r="E19" s="2182" t="s">
        <v>1788</v>
      </c>
      <c r="F19" s="2183" t="s">
        <v>1787</v>
      </c>
      <c r="G19" s="57">
        <f ca="1">ROUND(C19*$C$18+D19*$D$18,0)</f>
        <v>4393</v>
      </c>
      <c r="H19" s="2184" t="str">
        <f>'数据-取费表'!B3</f>
        <v>万元</v>
      </c>
      <c r="I19" s="2171"/>
    </row>
    <row r="20" spans="1:35" ht="14.4">
      <c r="A20" s="2185"/>
      <c r="B20" s="2186" t="s">
        <v>1789</v>
      </c>
      <c r="C20" s="58">
        <f ca="1">SUMIF(INDIRECT("'"&amp;C4&amp;"'"&amp;"!A:A"),结果表!B20,INDIRECT("'"&amp;C4&amp;"'"&amp;"!B:B"))</f>
        <v>37346</v>
      </c>
      <c r="D20" s="59">
        <f ca="1">SUMIF(INDIRECT("'"&amp;D4&amp;"'"&amp;"!A:A"),结果表!B20,INDIRECT("'"&amp;D4&amp;"'"&amp;"!B:B"))</f>
        <v>30954</v>
      </c>
      <c r="E20" s="2185"/>
      <c r="F20" s="2186" t="s">
        <v>1789</v>
      </c>
      <c r="G20" s="60">
        <f ca="1">ROUND(C20*$C$18+D20*$D$18,0)</f>
        <v>34150</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0.20642893018583619</v>
      </c>
      <c r="E22" s="2171"/>
      <c r="F22" s="2171"/>
      <c r="G22" s="2171"/>
      <c r="H22" s="2171"/>
      <c r="I22" s="2171"/>
    </row>
    <row r="23" spans="1:35" ht="13.8" thickBot="1">
      <c r="A23" s="2171"/>
      <c r="B23" s="2171"/>
      <c r="C23" s="2171"/>
      <c r="D23" s="2171"/>
      <c r="E23" s="2171"/>
      <c r="F23" s="2171"/>
      <c r="G23" s="2171"/>
      <c r="H23" s="2171"/>
      <c r="I23" s="2171"/>
    </row>
    <row r="24" spans="1:35" ht="21.75" customHeight="1">
      <c r="A24" s="3018" t="s">
        <v>1792</v>
      </c>
      <c r="B24" s="2183" t="s">
        <v>1787</v>
      </c>
      <c r="C24" s="57">
        <f>D30</f>
        <v>0</v>
      </c>
      <c r="D24" s="981"/>
      <c r="E24" s="2171"/>
      <c r="F24" s="2171"/>
      <c r="G24" s="2171"/>
      <c r="H24" s="2171"/>
      <c r="I24" s="2171"/>
    </row>
    <row r="25" spans="1:35" ht="21.75" customHeight="1">
      <c r="A25" s="3019"/>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3.8">
      <c r="A27" s="2196"/>
      <c r="B27" s="63">
        <v>0</v>
      </c>
      <c r="C27" s="63">
        <v>0</v>
      </c>
      <c r="D27" s="64">
        <f>ROUND(C27*B27/10000,0)</f>
        <v>0</v>
      </c>
      <c r="E27" s="2171"/>
      <c r="F27" s="2171"/>
      <c r="G27" s="2171"/>
      <c r="H27" s="2171"/>
      <c r="I27" s="2171"/>
    </row>
    <row r="28" spans="1:35" ht="13.8">
      <c r="A28" s="2195"/>
      <c r="B28" s="63"/>
      <c r="C28" s="63"/>
      <c r="D28" s="64">
        <f t="shared" ref="D28:D29" si="0">ROUND(C28*B28/10000,0)</f>
        <v>0</v>
      </c>
      <c r="E28" s="2171"/>
      <c r="F28" s="2171"/>
      <c r="G28" s="2171"/>
      <c r="H28" s="2171"/>
      <c r="I28" s="2171"/>
    </row>
    <row r="29" spans="1:35" ht="13.8">
      <c r="A29" s="2195"/>
      <c r="B29" s="63"/>
      <c r="C29" s="63"/>
      <c r="D29" s="64">
        <f t="shared" si="0"/>
        <v>0</v>
      </c>
      <c r="E29" s="2171"/>
      <c r="F29" s="2171"/>
      <c r="G29" s="2171"/>
      <c r="H29" s="2171"/>
      <c r="I29" s="2171"/>
    </row>
    <row r="30" spans="1:35" ht="14.4">
      <c r="A30" s="63" t="s">
        <v>1797</v>
      </c>
      <c r="B30" s="63"/>
      <c r="C30" s="63"/>
      <c r="D30" s="63"/>
      <c r="E30" s="2679" t="s">
        <v>2794</v>
      </c>
      <c r="F30" s="2171"/>
      <c r="G30" s="2171"/>
      <c r="H30" s="2171"/>
      <c r="I30" s="2171"/>
    </row>
    <row r="31" spans="1:35" s="2198" customFormat="1" ht="14.4"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thickBot="1">
      <c r="A32" s="2199" t="s">
        <v>1798</v>
      </c>
      <c r="B32" s="2200" t="str">
        <f>'数据-取费表'!B4</f>
        <v>楼面单价</v>
      </c>
      <c r="C32" s="1128">
        <f ca="1">IF(B32="总价",G19-C24,G20-C25)</f>
        <v>34150</v>
      </c>
      <c r="D32" s="2171" t="str">
        <f>IF(B32="楼面单价","元/平方米",H19)</f>
        <v>元/平方米</v>
      </c>
      <c r="E32" s="2171"/>
      <c r="F32" s="2171"/>
      <c r="G32" s="2171"/>
      <c r="H32" s="2171"/>
      <c r="I32" s="2171"/>
    </row>
    <row r="33" spans="1:16" ht="14.4">
      <c r="A33" s="2201" t="s">
        <v>1799</v>
      </c>
      <c r="B33" s="2202"/>
      <c r="C33" s="2203"/>
      <c r="D33" s="2204" t="s">
        <v>2940</v>
      </c>
      <c r="E33" s="2205" t="s">
        <v>1800</v>
      </c>
      <c r="F33" s="2206" t="str">
        <f>IF(B32="楼面单价","取值（单价）","取值（总价）")</f>
        <v>取值（单价）</v>
      </c>
      <c r="G33" s="2171"/>
      <c r="H33" s="2171"/>
      <c r="I33" s="2171"/>
    </row>
    <row r="34" spans="1:16" ht="14.4">
      <c r="A34" s="2207"/>
      <c r="B34" s="2208" t="s">
        <v>1801</v>
      </c>
      <c r="C34" s="68">
        <f ca="1">IF(D33="自定义",F34,C32-C35)</f>
        <v>28857</v>
      </c>
      <c r="D34" s="1074">
        <f ca="1">IF(D33="自定义",ROUND(C34/C32,3),1-D35)</f>
        <v>0.84499999999999997</v>
      </c>
      <c r="E34" s="2209" t="s">
        <v>1802</v>
      </c>
      <c r="F34" s="1809">
        <v>2000</v>
      </c>
      <c r="G34" s="2171"/>
      <c r="H34" s="2171"/>
      <c r="I34" s="2171"/>
    </row>
    <row r="35" spans="1:16" ht="15" thickBot="1">
      <c r="A35" s="2210"/>
      <c r="B35" s="2211" t="s">
        <v>1803</v>
      </c>
      <c r="C35" s="69">
        <f ca="1">IF(D33="自定义",F35,ROUND(C32*D35,0))</f>
        <v>5293</v>
      </c>
      <c r="D35" s="1073">
        <f ca="1">IF(D33="自定义",ROUND(C35/C32,3),IF(D33="成本法成本比率",成本法!C56,IF(D33="收益法收益比率",收益法!J38,收益法!J41)))</f>
        <v>0.155</v>
      </c>
      <c r="E35" s="2212" t="s">
        <v>1804</v>
      </c>
      <c r="F35" s="75">
        <v>4460</v>
      </c>
      <c r="G35" s="2171"/>
      <c r="H35" s="2171"/>
      <c r="I35" s="2171"/>
    </row>
    <row r="36" spans="1:16" ht="15" thickBot="1">
      <c r="A36" s="3020" t="s">
        <v>1805</v>
      </c>
      <c r="B36" s="2213" t="s">
        <v>1806</v>
      </c>
      <c r="C36" s="65">
        <v>0</v>
      </c>
      <c r="D36" s="2214"/>
      <c r="E36" s="2215"/>
      <c r="F36" s="2215"/>
      <c r="G36" s="2171"/>
      <c r="H36" s="2171"/>
      <c r="I36" s="2171"/>
    </row>
    <row r="37" spans="1:16" ht="15" thickBot="1">
      <c r="A37" s="3021"/>
      <c r="B37" s="2216" t="s">
        <v>1807</v>
      </c>
      <c r="C37" s="67">
        <v>0</v>
      </c>
      <c r="D37" s="2181"/>
      <c r="E37" s="2181"/>
      <c r="F37" s="2215"/>
      <c r="G37" s="2181"/>
      <c r="H37" s="2181"/>
      <c r="I37" s="2181"/>
    </row>
    <row r="38" spans="1:16" ht="15" thickBot="1">
      <c r="A38" s="3022"/>
      <c r="B38" s="2217" t="s">
        <v>1808</v>
      </c>
      <c r="C38" s="704">
        <v>0</v>
      </c>
      <c r="D38" s="2218" t="s">
        <v>1809</v>
      </c>
      <c r="E38" s="2181"/>
      <c r="F38" s="2215"/>
      <c r="G38" s="2181"/>
      <c r="H38" s="2181"/>
      <c r="I38" s="2181"/>
    </row>
    <row r="39" spans="1:16" ht="14.4">
      <c r="A39" s="2185" t="s">
        <v>1810</v>
      </c>
      <c r="B39" s="2219" t="s">
        <v>1794</v>
      </c>
      <c r="C39" s="2220" t="s">
        <v>1795</v>
      </c>
      <c r="D39" s="2220" t="s">
        <v>1811</v>
      </c>
      <c r="E39" s="2221" t="s">
        <v>1796</v>
      </c>
      <c r="F39" s="2215"/>
      <c r="G39" s="2181"/>
      <c r="H39" s="2181"/>
      <c r="I39" s="2181"/>
    </row>
    <row r="40" spans="1:16" ht="13.8">
      <c r="A40" s="2222" t="s">
        <v>1812</v>
      </c>
      <c r="B40" s="70"/>
      <c r="C40" s="71"/>
      <c r="D40" s="71"/>
      <c r="E40" s="72"/>
      <c r="F40" s="2215"/>
      <c r="G40" s="2181"/>
      <c r="H40" s="2181"/>
      <c r="I40" s="2181"/>
    </row>
    <row r="41" spans="1:16" ht="13.8">
      <c r="A41" s="2222" t="s">
        <v>1813</v>
      </c>
      <c r="B41" s="70"/>
      <c r="C41" s="71"/>
      <c r="D41" s="71"/>
      <c r="E41" s="72"/>
      <c r="F41" s="2215"/>
      <c r="G41" s="2181"/>
      <c r="H41" s="2181"/>
      <c r="I41" s="2181"/>
    </row>
    <row r="42" spans="1:16" ht="14.4" thickBot="1">
      <c r="A42" s="2223"/>
      <c r="B42" s="73"/>
      <c r="C42" s="74"/>
      <c r="D42" s="74"/>
      <c r="E42" s="75"/>
      <c r="F42" s="2215"/>
      <c r="G42" s="2181"/>
      <c r="H42" s="2181"/>
      <c r="I42" s="2181"/>
    </row>
    <row r="43" spans="1:16" ht="13.2">
      <c r="A43" s="2224"/>
      <c r="B43" s="2224"/>
      <c r="C43" s="2224"/>
      <c r="D43" s="2224"/>
      <c r="E43" s="2224"/>
      <c r="F43" s="2225"/>
      <c r="G43" s="2225"/>
      <c r="H43" s="2225"/>
      <c r="I43" s="2226"/>
    </row>
    <row r="44" spans="1:16" ht="17.399999999999999">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3024" t="s">
        <v>1816</v>
      </c>
      <c r="B45" s="3025"/>
      <c r="C45" s="3026"/>
      <c r="D45" s="76">
        <f ca="1">ROUND(I102*F45,0)</f>
        <v>6022</v>
      </c>
      <c r="E45" s="77" t="s">
        <v>1817</v>
      </c>
      <c r="F45" s="78">
        <v>1</v>
      </c>
      <c r="G45" s="79" t="s">
        <v>1818</v>
      </c>
      <c r="H45" s="2171"/>
      <c r="I45" s="2171"/>
      <c r="J45" s="3002" t="s">
        <v>1819</v>
      </c>
      <c r="K45" s="3002"/>
      <c r="L45" s="3002"/>
      <c r="M45" s="3002"/>
      <c r="N45" s="3002"/>
      <c r="O45" s="3002"/>
      <c r="P45" s="1826"/>
    </row>
    <row r="46" spans="1:16" ht="14.25" customHeight="1">
      <c r="A46" s="3027" t="s">
        <v>1820</v>
      </c>
      <c r="B46" s="3028"/>
      <c r="C46" s="3028"/>
      <c r="D46" s="3028"/>
      <c r="E46" s="3028"/>
      <c r="F46" s="3028"/>
      <c r="G46" s="3029"/>
      <c r="H46" s="2233"/>
      <c r="I46" s="1127"/>
      <c r="J46" s="1863">
        <v>1</v>
      </c>
      <c r="K46" s="3002" t="s">
        <v>1821</v>
      </c>
      <c r="L46" s="3002"/>
      <c r="M46" s="3003" t="str">
        <f>项目基本情况!B1</f>
        <v>北京市房地产抵押价值预评估</v>
      </c>
      <c r="N46" s="3003"/>
      <c r="O46" s="3003"/>
      <c r="P46" s="1826"/>
    </row>
    <row r="47" spans="1:16" ht="12" customHeight="1">
      <c r="A47" s="81" t="s">
        <v>1822</v>
      </c>
      <c r="B47" s="82"/>
      <c r="C47" s="83"/>
      <c r="D47" s="84" t="s">
        <v>1823</v>
      </c>
      <c r="E47" s="14" t="s">
        <v>1824</v>
      </c>
      <c r="F47" s="85" t="s">
        <v>1825</v>
      </c>
      <c r="G47" s="86" t="s">
        <v>1826</v>
      </c>
      <c r="H47" s="2233"/>
      <c r="I47" s="1127"/>
      <c r="J47" s="1863">
        <v>2</v>
      </c>
      <c r="K47" s="3002" t="s">
        <v>1827</v>
      </c>
      <c r="L47" s="3002"/>
      <c r="M47" s="3031">
        <f>'数据-取费表'!B2</f>
        <v>43874</v>
      </c>
      <c r="N47" s="3031"/>
      <c r="O47" s="3031"/>
      <c r="P47" s="1826"/>
    </row>
    <row r="48" spans="1:16" ht="26.4">
      <c r="A48" s="3032" t="s">
        <v>1828</v>
      </c>
      <c r="B48" s="2997"/>
      <c r="C48" s="2997"/>
      <c r="D48" s="52">
        <f ca="1">IF(H48="情况1",0,IF(H48="情况2",D52,IF(H48="情况3",D53,IF(H48="情况4",D54))))</f>
        <v>321</v>
      </c>
      <c r="E48" s="1873" t="str">
        <f>IF(H48="情况4","(销售额-原购置价)×税（费）率","销售额×税（费）率")</f>
        <v>销售额×税（费）率</v>
      </c>
      <c r="F48" s="87">
        <f>IF(H48="情况1","免征",'数据-取费表'!E29)</f>
        <v>5.6000000000000001E-2</v>
      </c>
      <c r="G48" s="2234" t="s">
        <v>1829</v>
      </c>
      <c r="H48" s="2235" t="s">
        <v>1830</v>
      </c>
      <c r="I48" s="2233"/>
      <c r="J48" s="1863">
        <v>3</v>
      </c>
      <c r="K48" s="3002" t="s">
        <v>1831</v>
      </c>
      <c r="L48" s="3002"/>
      <c r="M48" s="3003">
        <f ca="1">I102</f>
        <v>6022</v>
      </c>
      <c r="N48" s="3003"/>
      <c r="O48" s="3003"/>
      <c r="P48" s="1826"/>
    </row>
    <row r="49" spans="1:16" ht="25.5" customHeight="1">
      <c r="A49" s="88" t="s">
        <v>1832</v>
      </c>
      <c r="B49" s="2991" t="s">
        <v>1833</v>
      </c>
      <c r="C49" s="2991"/>
      <c r="D49" s="89">
        <v>0</v>
      </c>
      <c r="E49" s="13" t="s">
        <v>1834</v>
      </c>
      <c r="F49" s="18" t="s">
        <v>48</v>
      </c>
      <c r="G49" s="3004"/>
      <c r="H49" s="2171"/>
      <c r="I49" s="2236"/>
      <c r="J49" s="1863">
        <v>4</v>
      </c>
      <c r="K49" s="3002" t="str">
        <f>IF(项目基本情况!F5="房地产抵押价值","房地产抵押价值","抵押担保权已注销时的房地产抵押价值")</f>
        <v>房地产抵押价值</v>
      </c>
      <c r="L49" s="3002"/>
      <c r="M49" s="3003">
        <f ca="1">IF(项目基本情况!F5="房地产抵押价值",I110,I112)</f>
        <v>6022</v>
      </c>
      <c r="N49" s="3003"/>
      <c r="O49" s="3003"/>
      <c r="P49" s="1826"/>
    </row>
    <row r="50" spans="1:16" ht="25.5" customHeight="1">
      <c r="A50" s="90"/>
      <c r="B50" s="2991" t="s">
        <v>1835</v>
      </c>
      <c r="C50" s="2991"/>
      <c r="D50" s="91"/>
      <c r="E50" s="21"/>
      <c r="F50" s="92"/>
      <c r="G50" s="3005"/>
      <c r="H50" s="2171"/>
      <c r="I50" s="2236"/>
      <c r="J50" s="3002" t="s">
        <v>1836</v>
      </c>
      <c r="K50" s="3002"/>
      <c r="L50" s="3002"/>
      <c r="M50" s="3002"/>
      <c r="N50" s="3002"/>
      <c r="O50" s="3002"/>
      <c r="P50" s="1826"/>
    </row>
    <row r="51" spans="1:16" ht="12" customHeight="1">
      <c r="A51" s="93"/>
      <c r="B51" s="2991" t="s">
        <v>1837</v>
      </c>
      <c r="C51" s="2991"/>
      <c r="D51" s="94"/>
      <c r="E51" s="20"/>
      <c r="F51" s="92"/>
      <c r="G51" s="3006"/>
      <c r="H51" s="2171"/>
      <c r="I51" s="2236"/>
      <c r="J51" s="2237" t="s">
        <v>1838</v>
      </c>
      <c r="K51" s="3002" t="s">
        <v>1839</v>
      </c>
      <c r="L51" s="3002"/>
      <c r="M51" s="2237" t="s">
        <v>1840</v>
      </c>
      <c r="N51" s="2237" t="s">
        <v>1841</v>
      </c>
      <c r="O51" s="2237" t="s">
        <v>1842</v>
      </c>
      <c r="P51" s="1826"/>
    </row>
    <row r="52" spans="1:16" ht="24" customHeight="1">
      <c r="A52" s="95" t="s">
        <v>1843</v>
      </c>
      <c r="B52" s="2991" t="s">
        <v>1844</v>
      </c>
      <c r="C52" s="2991"/>
      <c r="D52" s="94">
        <f ca="1">ROUND(D45*'数据-取费表'!E29/(1+'数据-取费表'!F30),0)</f>
        <v>321</v>
      </c>
      <c r="E52" s="10" t="s">
        <v>1845</v>
      </c>
      <c r="F52" s="96">
        <f>'数据-取费表'!E29</f>
        <v>5.6000000000000001E-2</v>
      </c>
      <c r="G52" s="2238"/>
      <c r="H52" s="2171"/>
      <c r="I52" s="2236"/>
      <c r="J52" s="1863">
        <v>1</v>
      </c>
      <c r="K52" s="2995" t="s">
        <v>1846</v>
      </c>
      <c r="L52" s="2995"/>
      <c r="M52" s="770">
        <f ca="1">D48</f>
        <v>321</v>
      </c>
      <c r="N52" s="1863" t="str">
        <f>E48</f>
        <v>销售额×税（费）率</v>
      </c>
      <c r="O52" s="771">
        <f>F48</f>
        <v>5.6000000000000001E-2</v>
      </c>
      <c r="P52" s="1826"/>
    </row>
    <row r="53" spans="1:16" ht="12" customHeight="1">
      <c r="A53" s="95" t="s">
        <v>1847</v>
      </c>
      <c r="B53" s="2990" t="s">
        <v>1848</v>
      </c>
      <c r="C53" s="2866"/>
      <c r="D53" s="94">
        <f ca="1">ROUND(D45*'数据-取费表'!E29/(1+'数据-取费表'!F30),0)</f>
        <v>321</v>
      </c>
      <c r="E53" s="10" t="s">
        <v>1845</v>
      </c>
      <c r="F53" s="96">
        <f>'数据-取费表'!E29</f>
        <v>5.6000000000000001E-2</v>
      </c>
      <c r="G53" s="2238"/>
      <c r="H53" s="2171"/>
      <c r="I53" s="2236"/>
      <c r="J53" s="1863">
        <v>2</v>
      </c>
      <c r="K53" s="2995" t="s">
        <v>1849</v>
      </c>
      <c r="L53" s="2995"/>
      <c r="M53" s="770">
        <f t="shared" ref="M53:O54" ca="1" si="1">D55</f>
        <v>3</v>
      </c>
      <c r="N53" s="1863" t="str">
        <f t="shared" si="1"/>
        <v>销售额×税（费）率</v>
      </c>
      <c r="O53" s="771">
        <f t="shared" si="1"/>
        <v>5.0000000000000001E-4</v>
      </c>
      <c r="P53" s="1826"/>
    </row>
    <row r="54" spans="1:16" ht="12" customHeight="1">
      <c r="A54" s="95" t="s">
        <v>1850</v>
      </c>
      <c r="B54" s="2990" t="s">
        <v>1851</v>
      </c>
      <c r="C54" s="2866"/>
      <c r="D54" s="94">
        <f ca="1">C68</f>
        <v>321</v>
      </c>
      <c r="E54" s="20" t="s">
        <v>1852</v>
      </c>
      <c r="F54" s="96">
        <f>'数据-取费表'!E29</f>
        <v>5.6000000000000001E-2</v>
      </c>
      <c r="G54" s="2238"/>
      <c r="H54" s="2239"/>
      <c r="I54" s="2236"/>
      <c r="J54" s="1863">
        <v>3</v>
      </c>
      <c r="K54" s="2995" t="s">
        <v>1853</v>
      </c>
      <c r="L54" s="2995"/>
      <c r="M54" s="770">
        <f t="shared" ca="1" si="1"/>
        <v>3409</v>
      </c>
      <c r="N54" s="1863" t="str">
        <f t="shared" si="1"/>
        <v>增值额×税（费）率</v>
      </c>
      <c r="O54" s="772" t="str">
        <f t="shared" si="1"/>
        <v>——</v>
      </c>
      <c r="P54" s="1826"/>
    </row>
    <row r="55" spans="1:16" ht="24" customHeight="1">
      <c r="A55" s="2858" t="s">
        <v>1854</v>
      </c>
      <c r="B55" s="2997"/>
      <c r="C55" s="2997"/>
      <c r="D55" s="97">
        <f ca="1">IF(H55="个人住宅",0,ROUND(D45*I55,0))</f>
        <v>3</v>
      </c>
      <c r="E55" s="10" t="s">
        <v>1855</v>
      </c>
      <c r="F55" s="96">
        <f>IF(H55="正常",I55,"免征")</f>
        <v>5.0000000000000001E-4</v>
      </c>
      <c r="G55" s="2238"/>
      <c r="H55" s="2235" t="s">
        <v>1856</v>
      </c>
      <c r="I55" s="98">
        <f>'数据-取费表'!E37</f>
        <v>5.0000000000000001E-4</v>
      </c>
      <c r="J55" s="1863">
        <f>IF(H59="非个人房产","",4)</f>
        <v>4</v>
      </c>
      <c r="K55" s="2995" t="str">
        <f>IF(H59="非个人房产","——","个人所得税")</f>
        <v>个人所得税</v>
      </c>
      <c r="L55" s="2995"/>
      <c r="M55" s="773">
        <f ca="1">D59</f>
        <v>60</v>
      </c>
      <c r="N55" s="1866" t="str">
        <f>E59</f>
        <v>销售额×税（费）率</v>
      </c>
      <c r="O55" s="774">
        <f>F59</f>
        <v>0.01</v>
      </c>
      <c r="P55" s="1826"/>
    </row>
    <row r="56" spans="1:16" ht="25.2">
      <c r="A56" s="2858" t="s">
        <v>1857</v>
      </c>
      <c r="B56" s="2997"/>
      <c r="C56" s="2997"/>
      <c r="D56" s="97">
        <f ca="1">IF(H56="个人住宅",D57,D58)</f>
        <v>3409</v>
      </c>
      <c r="E56" s="10" t="s">
        <v>1858</v>
      </c>
      <c r="F56" s="96" t="str">
        <f>IF(H56="正常",F58,"免征")</f>
        <v>——</v>
      </c>
      <c r="G56" s="2240" t="s">
        <v>1859</v>
      </c>
      <c r="H56" s="2241" t="s">
        <v>1856</v>
      </c>
      <c r="I56" s="1006"/>
      <c r="J56" s="1863" t="str">
        <f>IF(项目基本情况!I6="上海银行",IF(J55="",4,J55+1),"")</f>
        <v/>
      </c>
      <c r="K56" s="3000" t="str">
        <f>IF(项目基本情况!I6="上海银行","其他处置费用","")</f>
        <v/>
      </c>
      <c r="L56" s="3001"/>
      <c r="M56" s="770" t="str">
        <f>IF(项目基本情况!I6="上海银行",M69,"")</f>
        <v/>
      </c>
      <c r="N56" s="3008" t="str">
        <f>IF(项目基本情况!I6="上海银行","包含处置中涉及的律师、诉讼、拍卖、评估等费用","")</f>
        <v/>
      </c>
      <c r="O56" s="3009"/>
      <c r="P56" s="1826"/>
    </row>
    <row r="57" spans="1:16" ht="13.2">
      <c r="A57" s="95" t="s">
        <v>1832</v>
      </c>
      <c r="B57" s="2998" t="s">
        <v>1860</v>
      </c>
      <c r="C57" s="2999"/>
      <c r="D57" s="99">
        <v>0</v>
      </c>
      <c r="E57" s="13" t="s">
        <v>1834</v>
      </c>
      <c r="F57" s="66"/>
      <c r="G57" s="2238"/>
      <c r="H57" s="1006"/>
      <c r="I57" s="1006"/>
      <c r="J57" s="2995">
        <f>IF(AND(J55="",J56=""),4,IF(项目基本情况!I6="上海银行",J56+1,J55+1))</f>
        <v>5</v>
      </c>
      <c r="K57" s="2995" t="s">
        <v>1861</v>
      </c>
      <c r="L57" s="2242" t="s">
        <v>1862</v>
      </c>
      <c r="M57" s="775"/>
      <c r="N57" s="776">
        <f ca="1">SUMIF(M52:M56,"&lt;9e307")</f>
        <v>3793</v>
      </c>
      <c r="O57" s="2243"/>
      <c r="P57" s="1822">
        <f ca="1">N57/M49</f>
        <v>0.6298571903022252</v>
      </c>
    </row>
    <row r="58" spans="1:16" ht="25.2">
      <c r="A58" s="95" t="s">
        <v>1843</v>
      </c>
      <c r="B58" s="2998" t="s">
        <v>1863</v>
      </c>
      <c r="C58" s="3007"/>
      <c r="D58" s="97">
        <f ca="1">IF(H58="转让取得",C81,C97)</f>
        <v>3409</v>
      </c>
      <c r="E58" s="10" t="s">
        <v>1858</v>
      </c>
      <c r="F58" s="14" t="s">
        <v>48</v>
      </c>
      <c r="G58" s="2238"/>
      <c r="H58" s="2241" t="s">
        <v>1864</v>
      </c>
      <c r="I58" s="1006"/>
      <c r="J58" s="2995"/>
      <c r="K58" s="2995"/>
      <c r="L58" s="2242" t="s">
        <v>1865</v>
      </c>
      <c r="M58" s="777"/>
      <c r="N58" s="2244" t="str">
        <f ca="1">IF(H19="元",NUMBERSTRING(INT(N57),2)&amp;"元整",NUMBERSTRING(INT(N57*10000),2)&amp;"元整")</f>
        <v>叁仟柒佰玖拾叁万元整</v>
      </c>
      <c r="O58" s="2245"/>
      <c r="P58" s="1826"/>
    </row>
    <row r="59" spans="1:16" ht="27" thickBot="1">
      <c r="A59" s="2859" t="s">
        <v>1866</v>
      </c>
      <c r="B59" s="2862"/>
      <c r="C59" s="2862"/>
      <c r="D59" s="100">
        <f ca="1">IF(H59="非个人房产","——",IF(H59="个人住宅",0,ROUND(D45*I59,0)))</f>
        <v>60</v>
      </c>
      <c r="E59" s="101" t="str">
        <f>IF(H59="非个人房产","——","销售额×税（费）率")</f>
        <v>销售额×税（费）率</v>
      </c>
      <c r="F59" s="102">
        <f>IF(H59="非个人房产","——",IF(H59="个人住宅","免征",I59))</f>
        <v>0.01</v>
      </c>
      <c r="G59" s="2246" t="s">
        <v>1859</v>
      </c>
      <c r="H59" s="2241" t="s">
        <v>1867</v>
      </c>
      <c r="I59" s="103">
        <v>0.01</v>
      </c>
      <c r="J59" s="2993">
        <f>J57+1</f>
        <v>6</v>
      </c>
      <c r="K59" s="2995" t="s">
        <v>1868</v>
      </c>
      <c r="L59" s="1863" t="s">
        <v>1862</v>
      </c>
      <c r="M59" s="778"/>
      <c r="N59" s="779">
        <f ca="1">M49-N57</f>
        <v>2229</v>
      </c>
      <c r="O59" s="2247"/>
      <c r="P59" s="1826"/>
    </row>
    <row r="60" spans="1:16" ht="12" customHeight="1">
      <c r="A60" s="2045"/>
      <c r="B60" s="2171"/>
      <c r="C60" s="2171"/>
      <c r="D60" s="2171"/>
      <c r="E60" s="1006"/>
      <c r="F60" s="1006"/>
      <c r="G60" s="1006"/>
      <c r="H60" s="2224"/>
      <c r="I60" s="2171"/>
      <c r="J60" s="2994"/>
      <c r="K60" s="2995"/>
      <c r="L60" s="2242" t="s">
        <v>1865</v>
      </c>
      <c r="M60" s="777"/>
      <c r="N60" s="2244" t="str">
        <f ca="1">IF(H19="元",NUMBERSTRING(INT(N59),2)&amp;"元整",NUMBERSTRING(INT(N59*10000),2)&amp;"元整")</f>
        <v>贰仟贰佰贰拾玖万元整</v>
      </c>
      <c r="O60" s="2245"/>
      <c r="P60" s="1826"/>
    </row>
    <row r="61" spans="1:16" ht="13.8" thickBot="1">
      <c r="A61" s="2996" t="s">
        <v>1869</v>
      </c>
      <c r="B61" s="2996"/>
      <c r="C61" s="2996"/>
      <c r="D61" s="2996"/>
      <c r="E61" s="2996"/>
      <c r="F61" s="1006"/>
      <c r="G61" s="1006"/>
      <c r="H61" s="2224"/>
      <c r="I61" s="2171"/>
      <c r="J61" s="1863">
        <f>J59+1</f>
        <v>7</v>
      </c>
      <c r="K61" s="2995" t="s">
        <v>1870</v>
      </c>
      <c r="L61" s="2995"/>
      <c r="M61" s="780"/>
      <c r="N61" s="781">
        <f ca="1">IF(H19="元",ROUND(N59/项目基本情况!C12,0),ROUND(N59*10000/项目基本情况!C12,0))</f>
        <v>12640</v>
      </c>
      <c r="O61" s="2248"/>
      <c r="P61" s="1826"/>
    </row>
    <row r="62" spans="1:16" ht="13.2">
      <c r="A62" s="2977" t="s">
        <v>1871</v>
      </c>
      <c r="B62" s="2978"/>
      <c r="C62" s="1865"/>
      <c r="D62" s="1865" t="s">
        <v>1872</v>
      </c>
      <c r="E62" s="104" t="s">
        <v>1873</v>
      </c>
      <c r="F62" s="1006"/>
      <c r="G62" s="1006"/>
      <c r="H62" s="2224"/>
      <c r="I62" s="2171"/>
      <c r="J62" s="1826"/>
      <c r="K62" s="1826"/>
      <c r="L62" s="1826"/>
      <c r="M62" s="1826"/>
      <c r="N62" s="1826"/>
      <c r="O62" s="1826"/>
      <c r="P62" s="1826"/>
    </row>
    <row r="63" spans="1:16" ht="13.2">
      <c r="A63" s="105">
        <v>1</v>
      </c>
      <c r="B63" s="106" t="s">
        <v>1874</v>
      </c>
      <c r="C63" s="107">
        <f ca="1">ROUND((C64+C65)/(1+'数据-取费表'!F30),0)</f>
        <v>5735</v>
      </c>
      <c r="D63" s="108"/>
      <c r="E63" s="109"/>
      <c r="F63" s="1006"/>
      <c r="G63" s="1006"/>
      <c r="H63" s="2224"/>
      <c r="I63" s="2171"/>
      <c r="J63" s="3023" t="s">
        <v>1875</v>
      </c>
      <c r="K63" s="2249" t="s">
        <v>1876</v>
      </c>
      <c r="L63" s="1825">
        <f ca="1">IF(M49&gt;10000,M49*0.5%,IF(AND(M49&gt;1000,M49&lt;=10000),M49*1%,IF(AND(M49&gt;100,M49&lt;=1000),M49*3%,IF(AND(M49&gt;10,M49&lt;=100),M49*5%,M49*8%))))</f>
        <v>60.22</v>
      </c>
      <c r="M63" s="14">
        <f ca="1">ROUND(L63,1)</f>
        <v>60.2</v>
      </c>
      <c r="N63" s="1826"/>
      <c r="O63" s="1826"/>
      <c r="P63" s="1826"/>
    </row>
    <row r="64" spans="1:16" ht="13.2">
      <c r="A64" s="110" t="s">
        <v>71</v>
      </c>
      <c r="B64" s="111" t="s">
        <v>1877</v>
      </c>
      <c r="C64" s="112">
        <f ca="1">D45</f>
        <v>6022</v>
      </c>
      <c r="D64" s="113" t="s">
        <v>41</v>
      </c>
      <c r="E64" s="114"/>
      <c r="F64" s="1006"/>
      <c r="G64" s="1006"/>
      <c r="H64" s="2224"/>
      <c r="I64" s="2171"/>
      <c r="J64" s="3023"/>
      <c r="K64" s="2249" t="s">
        <v>1878</v>
      </c>
      <c r="L64" s="1825">
        <f ca="1">IF(M49&gt;2000,M49*0.5%,IF(AND(M49&gt;1000,M49&lt;=2000),M49*0.6%,IF(AND(M49&gt;500,M49&lt;=1000),M49*0.7%,IF(AND(M49&gt;200,M49&lt;=500),M49*0.8%,IF(AND(M49&gt;100,M49&lt;=200),M49*0.9%,IF(AND(M49&gt;50,M49&lt;=100),M49*1%,IF(AND(M49&gt;20,M49&lt;=50),M49*1.5%,IF(AND(M49&gt;10,M49&lt;=20),M49*2%,IF(AND(M49&gt;1,M49&lt;=10),M49*2.5%)))))))))</f>
        <v>30.11</v>
      </c>
      <c r="M64" s="14">
        <f t="shared" ref="M64:M65" ca="1" si="2">ROUND(L64,1)</f>
        <v>30.1</v>
      </c>
      <c r="N64" s="1826" t="s">
        <v>1879</v>
      </c>
      <c r="O64" s="1826"/>
      <c r="P64" s="1826"/>
    </row>
    <row r="65" spans="1:35" ht="13.2">
      <c r="A65" s="110" t="s">
        <v>72</v>
      </c>
      <c r="B65" s="111" t="s">
        <v>1880</v>
      </c>
      <c r="C65" s="115"/>
      <c r="D65" s="113"/>
      <c r="E65" s="114"/>
      <c r="F65" s="1006"/>
      <c r="G65" s="1006"/>
      <c r="H65" s="2224"/>
      <c r="I65" s="2171"/>
      <c r="J65" s="3023"/>
      <c r="K65" s="2249" t="s">
        <v>1881</v>
      </c>
      <c r="L65" s="1825">
        <f ca="1">IF(M49&gt;1000,M49*0.1%,IF(AND(M49&gt;500,M49&lt;=1000),M49*0.5%,IF(AND(M49&gt;50,M49&lt;=500),M49*1%,IF(AND(M49&gt;1,M49&lt;=50),M49*1.5%))))</f>
        <v>6.0220000000000002</v>
      </c>
      <c r="M65" s="14">
        <f t="shared" ca="1" si="2"/>
        <v>6</v>
      </c>
      <c r="N65" s="1826" t="s">
        <v>1879</v>
      </c>
      <c r="O65" s="1826"/>
      <c r="P65" s="1826"/>
    </row>
    <row r="66" spans="1:35" ht="25.2">
      <c r="A66" s="116" t="s">
        <v>47</v>
      </c>
      <c r="B66" s="117" t="s">
        <v>1882</v>
      </c>
      <c r="C66" s="118"/>
      <c r="D66" s="119" t="s">
        <v>41</v>
      </c>
      <c r="E66" s="1842" t="s">
        <v>1883</v>
      </c>
      <c r="F66" s="1006"/>
      <c r="G66" s="1006"/>
      <c r="H66" s="2224"/>
      <c r="I66" s="2171"/>
      <c r="J66" s="3023"/>
      <c r="K66" s="2249" t="s">
        <v>1884</v>
      </c>
      <c r="L66" s="1825">
        <f ca="1">M49*0.5%</f>
        <v>30.11</v>
      </c>
      <c r="M66" s="14">
        <f ca="1">IF(L66&gt;0.5,0.5,ROUND(L66,0))</f>
        <v>0.5</v>
      </c>
      <c r="N66" s="1826" t="s">
        <v>1885</v>
      </c>
      <c r="O66" s="1826"/>
      <c r="P66" s="1826"/>
    </row>
    <row r="67" spans="1:35" ht="13.2">
      <c r="A67" s="116" t="s">
        <v>42</v>
      </c>
      <c r="B67" s="117" t="s">
        <v>1886</v>
      </c>
      <c r="C67" s="120">
        <f ca="1">C63-C66</f>
        <v>5735</v>
      </c>
      <c r="D67" s="113" t="s">
        <v>41</v>
      </c>
      <c r="E67" s="114"/>
      <c r="F67" s="1006"/>
      <c r="G67" s="1006"/>
      <c r="H67" s="2224"/>
      <c r="I67" s="2171"/>
      <c r="J67" s="3023"/>
      <c r="K67" s="2249" t="s">
        <v>1887</v>
      </c>
      <c r="L67" s="1825">
        <f ca="1">IF(M49&gt;=10000,(8.25+(M49-10000)*0.01%),IF(AND(M49&gt;=8000,M49&lt;10000),(7.85+(M49-8000)*0.02%),IF(AND(M49&gt;=5000,M49&lt;8000),(6.65+(M49-5000)*0.04%),IF(AND(M49&gt;=2000,M49&lt;5000),(4.25+(PM49-2000)*0.08%),IF(AND(M49&gt;=1000,M49&lt;2000),(2.75+(M49-1000)*0.15%),IF(AND(M49&gt;=100,M49&lt;1000),(0.5+(M49-100)*0.25%),IF(AND(M49&gt;0,M49&lt;100),M49*0.5%)))))))</f>
        <v>7.0588000000000006</v>
      </c>
      <c r="M67" s="14">
        <f ca="1">ROUND(L67*0.9,1)</f>
        <v>6.4</v>
      </c>
      <c r="N67" s="1826"/>
      <c r="O67" s="1826"/>
      <c r="P67" s="1826"/>
    </row>
    <row r="68" spans="1:35" ht="13.8" thickBot="1">
      <c r="A68" s="121" t="s">
        <v>46</v>
      </c>
      <c r="B68" s="122" t="s">
        <v>1888</v>
      </c>
      <c r="C68" s="123">
        <f ca="1">IF(C67&lt;=0,0,ROUND(C67*D68,0))</f>
        <v>321</v>
      </c>
      <c r="D68" s="124">
        <f>'数据-取费表'!E29</f>
        <v>5.6000000000000001E-2</v>
      </c>
      <c r="E68" s="125"/>
      <c r="F68" s="1006"/>
      <c r="G68" s="1006"/>
      <c r="H68" s="2224"/>
      <c r="I68" s="2171"/>
      <c r="J68" s="3023"/>
      <c r="K68" s="2249" t="s">
        <v>1889</v>
      </c>
      <c r="L68" s="1825">
        <f ca="1">IF(M49&gt;10000,M49*0.5%,IF(AND(M49&gt;5000,M49&lt;=10000),M49*1%,IF(AND(M49&gt;1000,M49&lt;=5000),M49*2%,IF(AND(M49&gt;200,M49&lt;=1000),M49*3%,M49*5%))))</f>
        <v>60.22</v>
      </c>
      <c r="M68" s="14">
        <f ca="1">ROUND(L68,1)</f>
        <v>60.2</v>
      </c>
      <c r="N68" s="1826"/>
      <c r="O68" s="1826"/>
      <c r="P68" s="1826"/>
    </row>
    <row r="69" spans="1:35" s="2198" customFormat="1" ht="7.5" customHeight="1">
      <c r="A69" s="2250"/>
      <c r="B69" s="2251"/>
      <c r="C69" s="2252"/>
      <c r="D69" s="2253"/>
      <c r="E69" s="2254"/>
      <c r="F69" s="1006"/>
      <c r="G69" s="1006"/>
      <c r="H69" s="2224"/>
      <c r="I69" s="2171"/>
      <c r="J69" s="3023"/>
      <c r="K69" s="2249" t="s">
        <v>1890</v>
      </c>
      <c r="L69" s="2255"/>
      <c r="M69" s="14">
        <f ca="1">ROUND(SUM(M63:M68),0)</f>
        <v>163</v>
      </c>
      <c r="N69" s="1822">
        <f ca="1">M69/M49</f>
        <v>2.7067419461972768E-2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4.4" thickBot="1">
      <c r="A70" s="2988" t="s">
        <v>1891</v>
      </c>
      <c r="B70" s="2989"/>
      <c r="C70" s="2989"/>
      <c r="D70" s="2989"/>
      <c r="E70" s="2989"/>
      <c r="F70" s="2989"/>
      <c r="G70" s="2989"/>
      <c r="H70" s="2989"/>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3.8">
      <c r="A71" s="2977" t="s">
        <v>1871</v>
      </c>
      <c r="B71" s="2978"/>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129">
        <v>1</v>
      </c>
      <c r="B72" s="117" t="s">
        <v>1892</v>
      </c>
      <c r="C72" s="120">
        <f ca="1">ROUND(D45/(1+'数据-取费表'!F30),0)</f>
        <v>5735</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31">
        <v>2</v>
      </c>
      <c r="B73" s="85" t="s">
        <v>1894</v>
      </c>
      <c r="C73" s="120">
        <f ca="1">C74+C78</f>
        <v>34</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8.8">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90" t="s">
        <v>1901</v>
      </c>
      <c r="F76" s="2991"/>
      <c r="G76" s="2991"/>
      <c r="H76" s="2992"/>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34</v>
      </c>
      <c r="D78" s="141">
        <f>'数据-取费表'!E31</f>
        <v>6.000000000000001E-3</v>
      </c>
      <c r="E78" s="2979" t="s">
        <v>1906</v>
      </c>
      <c r="F78" s="2980"/>
      <c r="G78" s="2980"/>
      <c r="H78" s="2981"/>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3.8">
      <c r="A79" s="142" t="s">
        <v>42</v>
      </c>
      <c r="B79" s="117" t="s">
        <v>1907</v>
      </c>
      <c r="C79" s="120">
        <f ca="1">C72-C73</f>
        <v>5701</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f ca="1">IF(C79&lt;=0,0,C79/C73)</f>
        <v>167.6764705882353</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6" thickBot="1">
      <c r="A81" s="144" t="s">
        <v>44</v>
      </c>
      <c r="B81" s="122" t="s">
        <v>1909</v>
      </c>
      <c r="C81" s="145">
        <f ca="1">ROUND(IF(C79&lt;=0,0,IF(C80&gt;=200%,C79*60%-C73*35%,IF(C80&gt;=100%,C79*50%-C73*15%,IF(C80&gt;=50%,C79*40%-C73*5%,IF(C80&lt;50%,C79*30%,0))))),0)</f>
        <v>3409</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4.4" thickBot="1">
      <c r="A83" s="2988" t="s">
        <v>1910</v>
      </c>
      <c r="B83" s="2989"/>
      <c r="C83" s="2989"/>
      <c r="D83" s="2989"/>
      <c r="E83" s="2989"/>
      <c r="F83" s="2989"/>
      <c r="G83" s="2989"/>
      <c r="H83" s="2989"/>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3.8">
      <c r="A84" s="2977" t="s">
        <v>1871</v>
      </c>
      <c r="B84" s="2978"/>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5735</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31">
        <v>2</v>
      </c>
      <c r="B86" s="85" t="s">
        <v>1894</v>
      </c>
      <c r="C86" s="120">
        <f ca="1">IF(H88="仅含出让金",C87+C90+C91+C92+C93+C94,C87+C91+C92+C93+C94)</f>
        <v>34</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79" t="s">
        <v>1918</v>
      </c>
      <c r="F91" s="2980"/>
      <c r="G91" s="2980"/>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79" t="s">
        <v>1921</v>
      </c>
      <c r="F92" s="2980"/>
      <c r="G92" s="2980"/>
      <c r="H92" s="2981"/>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34</v>
      </c>
      <c r="D93" s="141">
        <f>'数据-取费表'!E31</f>
        <v>6.000000000000001E-3</v>
      </c>
      <c r="E93" s="2979" t="s">
        <v>1906</v>
      </c>
      <c r="F93" s="2980"/>
      <c r="G93" s="2980"/>
      <c r="H93" s="2981"/>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79" t="s">
        <v>1923</v>
      </c>
      <c r="F94" s="2980"/>
      <c r="G94" s="2980"/>
      <c r="H94" s="2981"/>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3.8">
      <c r="A95" s="142" t="s">
        <v>42</v>
      </c>
      <c r="B95" s="117" t="s">
        <v>1907</v>
      </c>
      <c r="C95" s="120">
        <f ca="1">ROUND(C85-C86,0)</f>
        <v>5701</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f ca="1">IF(C95&lt;=0,0,C95/C86)</f>
        <v>167.6764705882353</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6" thickBot="1">
      <c r="A97" s="144" t="s">
        <v>44</v>
      </c>
      <c r="B97" s="122" t="s">
        <v>1909</v>
      </c>
      <c r="C97" s="145">
        <f ca="1">ROUND(IF(C95&lt;=0,0,IF(C96&gt;=200%,C95*60%-C86*35%,IF(C96&gt;=100%,C95*50%-C86*15%,IF(C96&gt;=50%,C95*40%-C86*5%,IF(C96&lt;50%,C95*30%,0))))),0)</f>
        <v>3409</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6">
      <c r="A99" s="2982" t="s">
        <v>1925</v>
      </c>
      <c r="B99" s="2983"/>
      <c r="C99" s="2983"/>
      <c r="D99" s="2984"/>
      <c r="E99" s="2171"/>
      <c r="F99" s="2985" t="s">
        <v>1926</v>
      </c>
      <c r="G99" s="2986"/>
      <c r="H99" s="2986"/>
      <c r="I99" s="2987"/>
    </row>
    <row r="100" spans="1:35" ht="15.6">
      <c r="A100" s="2963" t="s">
        <v>1927</v>
      </c>
      <c r="B100" s="2964"/>
      <c r="C100" s="712" t="str">
        <f>C4</f>
        <v>比较法-办公</v>
      </c>
      <c r="D100" s="713" t="str">
        <f>D4</f>
        <v>收益法</v>
      </c>
      <c r="E100" s="2171"/>
      <c r="F100" s="2965" t="s">
        <v>1928</v>
      </c>
      <c r="G100" s="2966"/>
      <c r="H100" s="2965" t="s">
        <v>1929</v>
      </c>
      <c r="I100" s="2968"/>
    </row>
    <row r="101" spans="1:35" ht="15.6">
      <c r="A101" s="3038" t="s">
        <v>1930</v>
      </c>
      <c r="B101" s="2266" t="str">
        <f>IF(H19="元","总价（元）","总价（万元）")</f>
        <v>总价（万元）</v>
      </c>
      <c r="C101" s="712">
        <f ca="1">C19</f>
        <v>4804</v>
      </c>
      <c r="D101" s="713">
        <f ca="1">D19</f>
        <v>3982</v>
      </c>
      <c r="E101" s="2171"/>
      <c r="F101" s="2965" t="str">
        <f>项目基本情况!I1</f>
        <v>北京市房地产</v>
      </c>
      <c r="G101" s="2966"/>
      <c r="H101" s="2972">
        <f>项目基本情况!C12</f>
        <v>1763.4099999999999</v>
      </c>
      <c r="I101" s="2968"/>
    </row>
    <row r="102" spans="1:35" ht="15.6">
      <c r="A102" s="3038"/>
      <c r="B102" s="2266" t="s">
        <v>1931</v>
      </c>
      <c r="C102" s="714">
        <f ca="1">C20</f>
        <v>37346</v>
      </c>
      <c r="D102" s="715">
        <f ca="1">D20</f>
        <v>30954</v>
      </c>
      <c r="E102" s="2171"/>
      <c r="F102" s="2973" t="s">
        <v>1932</v>
      </c>
      <c r="G102" s="2974"/>
      <c r="H102" s="2267" t="str">
        <f>C106</f>
        <v>总价（万元）</v>
      </c>
      <c r="I102" s="1843">
        <f ca="1">H121</f>
        <v>6022</v>
      </c>
    </row>
    <row r="103" spans="1:35" ht="15.6">
      <c r="A103" s="3038" t="s">
        <v>1933</v>
      </c>
      <c r="B103" s="2268" t="str">
        <f>B101</f>
        <v>总价（万元）</v>
      </c>
      <c r="C103" s="716">
        <f ca="1">H121</f>
        <v>6022</v>
      </c>
      <c r="D103" s="717"/>
      <c r="E103" s="2171"/>
      <c r="F103" s="2973"/>
      <c r="G103" s="2974"/>
      <c r="H103" s="2267" t="s">
        <v>1931</v>
      </c>
      <c r="I103" s="1034">
        <f ca="1">I121</f>
        <v>34150</v>
      </c>
    </row>
    <row r="104" spans="1:35" ht="16.2" thickBot="1">
      <c r="A104" s="2904"/>
      <c r="B104" s="2269" t="s">
        <v>1931</v>
      </c>
      <c r="C104" s="718">
        <f ca="1">I121</f>
        <v>34150</v>
      </c>
      <c r="D104" s="719"/>
      <c r="E104" s="2171"/>
      <c r="F104" s="2934"/>
      <c r="G104" s="2935"/>
      <c r="H104" s="2975"/>
      <c r="I104" s="2976"/>
    </row>
    <row r="105" spans="1:35" ht="15.6">
      <c r="A105" s="2982" t="s">
        <v>1934</v>
      </c>
      <c r="B105" s="2983"/>
      <c r="C105" s="2983"/>
      <c r="D105" s="2984"/>
      <c r="E105" s="2171"/>
      <c r="F105" s="2959" t="s">
        <v>1935</v>
      </c>
      <c r="G105" s="2960"/>
      <c r="H105" s="2270" t="str">
        <f>C108</f>
        <v>总额（万元）</v>
      </c>
      <c r="I105" s="1843">
        <f>SUMIF(I106:I108,"&lt;9E307")</f>
        <v>0</v>
      </c>
    </row>
    <row r="106" spans="1:35" ht="15.6">
      <c r="A106" s="2945" t="s">
        <v>1936</v>
      </c>
      <c r="B106" s="2946"/>
      <c r="C106" s="2267" t="str">
        <f>B101</f>
        <v>总价（万元）</v>
      </c>
      <c r="D106" s="1035">
        <f ca="1">H121</f>
        <v>6022</v>
      </c>
      <c r="E106" s="2171"/>
      <c r="F106" s="2932" t="s">
        <v>1937</v>
      </c>
      <c r="G106" s="2933"/>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6">
      <c r="A107" s="2945"/>
      <c r="B107" s="2946"/>
      <c r="C107" s="2267" t="s">
        <v>1931</v>
      </c>
      <c r="D107" s="1036">
        <f ca="1">I121</f>
        <v>34150</v>
      </c>
      <c r="E107" s="2171"/>
      <c r="F107" s="2932" t="s">
        <v>1938</v>
      </c>
      <c r="G107" s="2933"/>
      <c r="H107" s="2270" t="str">
        <f>C110</f>
        <v>总额（万元）</v>
      </c>
      <c r="I107" s="1034">
        <f>C37</f>
        <v>0</v>
      </c>
      <c r="K107" s="2271"/>
    </row>
    <row r="108" spans="1:35" ht="15.6">
      <c r="A108" s="2961" t="s">
        <v>1939</v>
      </c>
      <c r="B108" s="2962"/>
      <c r="C108" s="2270" t="str">
        <f>IF(H19="元","总额（元）","总额（万元）")</f>
        <v>总额（万元）</v>
      </c>
      <c r="D108" s="1035">
        <f>IF(D36="正常操作",I106+I107+I108,I107+I108)</f>
        <v>0</v>
      </c>
      <c r="E108" s="2171"/>
      <c r="F108" s="2932" t="s">
        <v>1940</v>
      </c>
      <c r="G108" s="2933"/>
      <c r="H108" s="2270" t="str">
        <f>C111</f>
        <v>总额（万元）</v>
      </c>
      <c r="I108" s="1034">
        <f>C38</f>
        <v>0</v>
      </c>
    </row>
    <row r="109" spans="1:35" ht="15.6">
      <c r="A109" s="2932" t="s">
        <v>1937</v>
      </c>
      <c r="B109" s="2933"/>
      <c r="C109" s="2270" t="str">
        <f>C108</f>
        <v>总额（万元）</v>
      </c>
      <c r="D109" s="633">
        <f>IF(D36="同一抵押权人同一抵押物续贷",C36&amp;"（未扣减，详见特别提示）",C36)</f>
        <v>0</v>
      </c>
      <c r="E109" s="2171"/>
      <c r="F109" s="2934"/>
      <c r="G109" s="2935"/>
      <c r="H109" s="2930"/>
      <c r="I109" s="2931"/>
    </row>
    <row r="110" spans="1:35" ht="28.5" customHeight="1">
      <c r="A110" s="2932" t="s">
        <v>1938</v>
      </c>
      <c r="B110" s="2933"/>
      <c r="C110" s="2270" t="str">
        <f>C108</f>
        <v>总额（万元）</v>
      </c>
      <c r="D110" s="633">
        <f>C37</f>
        <v>0</v>
      </c>
      <c r="E110" s="2171"/>
      <c r="F110" s="2936" t="str">
        <f>IF(项目基本情况!F5="已注销","——","3.房地产抵押价值")</f>
        <v>3.房地产抵押价值</v>
      </c>
      <c r="G110" s="2937"/>
      <c r="H110" s="2272" t="str">
        <f>C112</f>
        <v>总价（万元）</v>
      </c>
      <c r="I110" s="1844">
        <f ca="1">IF(F110="——","——",I102-I105)</f>
        <v>6022</v>
      </c>
    </row>
    <row r="111" spans="1:35" ht="15.6">
      <c r="A111" s="2932" t="s">
        <v>1940</v>
      </c>
      <c r="B111" s="2933"/>
      <c r="C111" s="2270" t="str">
        <f>C108</f>
        <v>总额（万元）</v>
      </c>
      <c r="D111" s="633">
        <f>C38</f>
        <v>0</v>
      </c>
      <c r="E111" s="2171"/>
      <c r="F111" s="2938"/>
      <c r="G111" s="2939"/>
      <c r="H111" s="2267" t="s">
        <v>1931</v>
      </c>
      <c r="I111" s="2273">
        <f ca="1">D113</f>
        <v>34150</v>
      </c>
    </row>
    <row r="112" spans="1:35" ht="26.25" customHeight="1">
      <c r="A112" s="2945" t="str">
        <f>IF(项目基本情况!F5="已注销","——","3.房地产抵押价值")</f>
        <v>3.房地产抵押价值</v>
      </c>
      <c r="B112" s="2946"/>
      <c r="C112" s="2267" t="str">
        <f>B101</f>
        <v>总价（万元）</v>
      </c>
      <c r="D112" s="1035">
        <f ca="1">IF(A112="——","——",D106-D108)</f>
        <v>6022</v>
      </c>
      <c r="E112" s="2171"/>
      <c r="F112" s="2936" t="str">
        <f>IF(项目基本情况!F5="已注销及未注销","4.抵押担保权已注销时的房地产抵押价值",IF(项目基本情况!F5="已注销","3.抵押担保权已注销时的房地产抵押价值","——"))</f>
        <v>——</v>
      </c>
      <c r="G112" s="2937"/>
      <c r="H112" s="2272" t="str">
        <f>C114</f>
        <v>总价（万元）</v>
      </c>
      <c r="I112" s="1844" t="str">
        <f>IF(F112="——","——",I102-I107-I108)</f>
        <v>——</v>
      </c>
    </row>
    <row r="113" spans="1:15" ht="15.6">
      <c r="A113" s="2945"/>
      <c r="B113" s="2946"/>
      <c r="C113" s="2267" t="s">
        <v>1931</v>
      </c>
      <c r="D113" s="1036">
        <f ca="1">ROUND(IF(D112=D106,D107,IF(H19="元",D112/项目基本情况!C12,D112*10000/项目基本情况!C12)),0)</f>
        <v>34150</v>
      </c>
      <c r="E113" s="2171"/>
      <c r="F113" s="2938"/>
      <c r="G113" s="2939"/>
      <c r="H113" s="2267" t="s">
        <v>1931</v>
      </c>
      <c r="I113" s="2274" t="str">
        <f>D115</f>
        <v>——</v>
      </c>
    </row>
    <row r="114" spans="1:15" ht="15.6">
      <c r="A114" s="2945" t="str">
        <f>IF(项目基本情况!F5="已注销及未注销","4.抵押担保权已注销时的房地产抵押价值",IF(项目基本情况!F5="已注销","3.抵押担保权已注销时的房地产抵押价值","——"))</f>
        <v>——</v>
      </c>
      <c r="B114" s="2946"/>
      <c r="C114" s="2267" t="str">
        <f>B101</f>
        <v>总价（万元）</v>
      </c>
      <c r="D114" s="1035" t="str">
        <f>IF(A114="——","——",D106-D110-D111)</f>
        <v>——</v>
      </c>
      <c r="E114" s="2171"/>
      <c r="F114" s="2936" t="str">
        <f>IF(项目基本情况!G5="抵押净值",IF(OR(项目基本情况!F5="已注销",项目基本情况!F5="房地产抵押价值"),"4.抵押净值","5.抵押净值"),"——")</f>
        <v>——</v>
      </c>
      <c r="G114" s="2937"/>
      <c r="H114" s="2267" t="str">
        <f>C116</f>
        <v>总价（万元）</v>
      </c>
      <c r="I114" s="1843" t="str">
        <f>IF(F114="——","——",N59)</f>
        <v>——</v>
      </c>
    </row>
    <row r="115" spans="1:15" ht="16.2" thickBot="1">
      <c r="A115" s="2945"/>
      <c r="B115" s="2946"/>
      <c r="C115" s="2267" t="s">
        <v>1931</v>
      </c>
      <c r="D115" s="1036" t="str">
        <f>IF(A114="——","——",ROUND(IF(D114=D106,D107,IF(H19="元",D114/项目基本情况!C12,D114*10000/项目基本情况!C12)),0))</f>
        <v>——</v>
      </c>
      <c r="E115" s="2171"/>
      <c r="F115" s="2947"/>
      <c r="G115" s="2948"/>
      <c r="H115" s="2275" t="s">
        <v>1931</v>
      </c>
      <c r="I115" s="1845" t="str">
        <f ca="1">D117</f>
        <v>——</v>
      </c>
    </row>
    <row r="116" spans="1:15" ht="15.6">
      <c r="A116" s="2945" t="str">
        <f>IF(项目基本情况!G5="抵押净值",IF(OR(项目基本情况!F5="已注销",项目基本情况!F5="房地产抵押价值"),"4.抵押净值","5.抵押净值"),"——")</f>
        <v>——</v>
      </c>
      <c r="B116" s="2946"/>
      <c r="C116" s="2267" t="str">
        <f>B101</f>
        <v>总价（万元）</v>
      </c>
      <c r="D116" s="1035" t="str">
        <f>IF(A116="——","——",N59)</f>
        <v>——</v>
      </c>
      <c r="E116" s="2171"/>
      <c r="F116" s="2951"/>
      <c r="G116" s="2951"/>
      <c r="H116" s="2952"/>
      <c r="I116" s="2952"/>
      <c r="N116" s="51"/>
      <c r="O116" s="51"/>
    </row>
    <row r="117" spans="1:15" ht="16.2" thickBot="1">
      <c r="A117" s="2949"/>
      <c r="B117" s="2950"/>
      <c r="C117" s="2275" t="s">
        <v>1931</v>
      </c>
      <c r="D117" s="1037" t="str">
        <f ca="1">IF(D116=D112,D113,IF(A116="——","——",N61))</f>
        <v>——</v>
      </c>
      <c r="E117" s="2171"/>
      <c r="F117" s="3036" t="str">
        <f>IF(B32="总价","（以上估价结果中单价为总价除以建筑面积得出）","（以上估价结果中总价为楼面单价乘以建筑面积得出）")</f>
        <v>（以上估价结果中总价为楼面单价乘以建筑面积得出）</v>
      </c>
      <c r="G117" s="3036"/>
      <c r="H117" s="3036"/>
      <c r="I117" s="3036"/>
      <c r="N117" s="51"/>
      <c r="O117" s="51"/>
    </row>
    <row r="118" spans="1:15" ht="14.4">
      <c r="A118" s="2954" t="s">
        <v>1941</v>
      </c>
      <c r="B118" s="2955"/>
      <c r="C118" s="2955"/>
      <c r="D118" s="2955"/>
      <c r="E118" s="2955"/>
      <c r="F118" s="2955"/>
      <c r="G118" s="2955"/>
      <c r="H118" s="2955"/>
      <c r="I118" s="2955"/>
    </row>
    <row r="119" spans="1:15" ht="13.8">
      <c r="A119" s="2911" t="s">
        <v>1942</v>
      </c>
      <c r="B119" s="2940" t="s">
        <v>1943</v>
      </c>
      <c r="C119" s="2940" t="s">
        <v>1944</v>
      </c>
      <c r="D119" s="2942" t="s">
        <v>1945</v>
      </c>
      <c r="E119" s="2943"/>
      <c r="F119" s="2912" t="s">
        <v>1803</v>
      </c>
      <c r="G119" s="2912"/>
      <c r="H119" s="2912" t="s">
        <v>1946</v>
      </c>
      <c r="I119" s="2944"/>
    </row>
    <row r="120" spans="1:15" ht="14.4">
      <c r="A120" s="2911"/>
      <c r="B120" s="2941"/>
      <c r="C120" s="2941"/>
      <c r="D120" s="1867" t="s">
        <v>1947</v>
      </c>
      <c r="E120" s="1867" t="s">
        <v>1948</v>
      </c>
      <c r="F120" s="1867" t="s">
        <v>1947</v>
      </c>
      <c r="G120" s="1867" t="s">
        <v>1949</v>
      </c>
      <c r="H120" s="1867" t="s">
        <v>1947</v>
      </c>
      <c r="I120" s="633" t="s">
        <v>1949</v>
      </c>
    </row>
    <row r="121" spans="1:15" ht="27.6">
      <c r="A121" s="2157" t="str">
        <f>项目基本情况!I1</f>
        <v>北京市房地产</v>
      </c>
      <c r="B121" s="1867">
        <f>项目基本情况!C12</f>
        <v>1763.4099999999999</v>
      </c>
      <c r="C121" s="1867">
        <f>项目基本情况!C13</f>
        <v>202.08</v>
      </c>
      <c r="D121" s="1867">
        <f ca="1">ROUND(IF(B32="总价",C34,IF('数据-取费表'!B3="万元",E121*B121/10000,E121*B121)),0)</f>
        <v>5089</v>
      </c>
      <c r="E121" s="1867">
        <f ca="1">ROUND(IF(B32="楼面单价",C34,IF(H19="元",D121/B121,D121*10000/B121)),0)</f>
        <v>28857</v>
      </c>
      <c r="F121" s="1867">
        <f ca="1">ROUND(IF(B32="总价",C35,IF('数据-取费表'!B3="万元",G121*B121/10000,G121*B121)),0)</f>
        <v>933</v>
      </c>
      <c r="G121" s="1867">
        <f ca="1">ROUND(IF(B32="楼面单价",C35,IF(H19="元",F121/B121,F121*10000/B121)),0)</f>
        <v>5293</v>
      </c>
      <c r="H121" s="1867">
        <f ca="1">ROUND(IF(B32="总价",C32,IF('数据-取费表'!B3="万元",I121*B121/10000,I121*B121)),0)</f>
        <v>6022</v>
      </c>
      <c r="I121" s="633">
        <f ca="1">ROUND(IF(B32="楼面单价",C32,IF(H19="元",H121/B121,H121*10000/B121)),0)</f>
        <v>34150</v>
      </c>
    </row>
    <row r="122" spans="1:15" ht="13.8">
      <c r="A122" s="2911" t="s">
        <v>1950</v>
      </c>
      <c r="B122" s="2912"/>
      <c r="C122" s="2912"/>
      <c r="D122" s="2925" t="str">
        <f ca="1">IF(H19="元",NUMBERSTRING(INT(D121),2)&amp;"元整",NUMBERSTRING(INT(D121*10000),2)&amp;"元整")</f>
        <v>伍仟零捌拾玖万元整</v>
      </c>
      <c r="E122" s="2926"/>
      <c r="F122" s="2925" t="str">
        <f ca="1">IF(H19="元",NUMBERSTRING(INT(F121),2)&amp;"元整",NUMBERSTRING(INT(F121*10000),2)&amp;"元整")</f>
        <v>玖佰叁拾叁万元整</v>
      </c>
      <c r="G122" s="2926"/>
      <c r="H122" s="2925" t="str">
        <f ca="1">IF(H19="元",NUMBERSTRING(INT(H121),2)&amp;"元整",NUMBERSTRING(INT(H121*10000),2)&amp;"元整")</f>
        <v>陆仟零贰拾贰万元整</v>
      </c>
      <c r="I122" s="2927"/>
    </row>
    <row r="123" spans="1:15" ht="13.8">
      <c r="A123" s="2928" t="str">
        <f>IF(项目基本情况!D5="房地产市场价值","——",MID(A108,3,LEN(A108)-2))</f>
        <v>估价师所知悉的法定优先受偿款</v>
      </c>
      <c r="B123" s="2923"/>
      <c r="C123" s="2929"/>
      <c r="D123" s="2915">
        <f>I105</f>
        <v>0</v>
      </c>
      <c r="E123" s="2923"/>
      <c r="F123" s="2923"/>
      <c r="G123" s="2923"/>
      <c r="H123" s="2923"/>
      <c r="I123" s="2924"/>
    </row>
    <row r="124" spans="1:15" ht="13.8">
      <c r="A124" s="2917" t="s">
        <v>1950</v>
      </c>
      <c r="B124" s="2918"/>
      <c r="C124" s="2919"/>
      <c r="D124" s="2920">
        <f>H109</f>
        <v>0</v>
      </c>
      <c r="E124" s="2921"/>
      <c r="F124" s="2921"/>
      <c r="G124" s="2921"/>
      <c r="H124" s="2921"/>
      <c r="I124" s="2922"/>
    </row>
    <row r="125" spans="1:15" ht="13.8">
      <c r="A125" s="2906" t="str">
        <f>IF(项目基本情况!D5="房地产市场价值","——",MID(A112,3,LEN(A112)-2))</f>
        <v>房地产抵押价值</v>
      </c>
      <c r="B125" s="2907"/>
      <c r="C125" s="2907"/>
      <c r="D125" s="2915">
        <f ca="1">I110</f>
        <v>6022</v>
      </c>
      <c r="E125" s="2923"/>
      <c r="F125" s="2923"/>
      <c r="G125" s="2923"/>
      <c r="H125" s="2923"/>
      <c r="I125" s="2924"/>
    </row>
    <row r="126" spans="1:15" ht="13.8">
      <c r="A126" s="2911" t="s">
        <v>1950</v>
      </c>
      <c r="B126" s="2912"/>
      <c r="C126" s="2912"/>
      <c r="D126" s="2920">
        <f ca="1">I111</f>
        <v>34150</v>
      </c>
      <c r="E126" s="2921"/>
      <c r="F126" s="2921"/>
      <c r="G126" s="2921"/>
      <c r="H126" s="2921"/>
      <c r="I126" s="2922"/>
    </row>
    <row r="127" spans="1:15" ht="14.4" thickBot="1">
      <c r="A127" s="2906" t="str">
        <f>IF(项目基本情况!D5="房地产市场价值","——",MID(A114,3,LEN(A114)-2))</f>
        <v/>
      </c>
      <c r="B127" s="2907"/>
      <c r="C127" s="2907"/>
      <c r="D127" s="2908" t="str">
        <f>I112</f>
        <v>——</v>
      </c>
      <c r="E127" s="2909"/>
      <c r="F127" s="2909"/>
      <c r="G127" s="2909"/>
      <c r="H127" s="2909"/>
      <c r="I127" s="2910"/>
    </row>
    <row r="128" spans="1:15" ht="15" thickTop="1" thickBot="1">
      <c r="A128" s="2911" t="s">
        <v>1950</v>
      </c>
      <c r="B128" s="2912"/>
      <c r="C128" s="2913"/>
      <c r="D128" s="2914" t="str">
        <f>I113</f>
        <v>——</v>
      </c>
      <c r="E128" s="2914"/>
      <c r="F128" s="2914"/>
      <c r="G128" s="2914"/>
      <c r="H128" s="2914"/>
      <c r="I128" s="2914"/>
    </row>
    <row r="129" spans="1:9" ht="15" thickTop="1" thickBot="1">
      <c r="A129" s="2906" t="str">
        <f>IF(项目基本情况!D5="房地产市场价值","——",MID(F114,3,LEN(F114)-2))</f>
        <v/>
      </c>
      <c r="B129" s="2907"/>
      <c r="C129" s="2915"/>
      <c r="D129" s="2916" t="str">
        <f>I114</f>
        <v>——</v>
      </c>
      <c r="E129" s="2916"/>
      <c r="F129" s="2916"/>
      <c r="G129" s="2916"/>
      <c r="H129" s="2916"/>
      <c r="I129" s="2916"/>
    </row>
    <row r="130" spans="1:9" ht="15" thickTop="1" thickBot="1">
      <c r="A130" s="2897" t="s">
        <v>1950</v>
      </c>
      <c r="B130" s="2898"/>
      <c r="C130" s="2898"/>
      <c r="D130" s="2899">
        <f>H116</f>
        <v>0</v>
      </c>
      <c r="E130" s="2900"/>
      <c r="F130" s="2900"/>
      <c r="G130" s="2900"/>
      <c r="H130" s="2900"/>
      <c r="I130" s="2901"/>
    </row>
    <row r="131" spans="1:9" ht="13.2">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8" thickBot="1">
      <c r="A132" s="2902" t="str">
        <f>IF(B32="总价","（以上估价结果中楼面单价为总价除以建筑面积得出）","（以上估价结果中总价为楼面单价乘以建筑面积得出）")</f>
        <v>（以上估价结果中总价为楼面单价乘以建筑面积得出）</v>
      </c>
      <c r="B132" s="2902"/>
      <c r="C132" s="2902"/>
      <c r="D132" s="2902"/>
      <c r="E132" s="2902"/>
      <c r="F132" s="2902"/>
      <c r="G132" s="2902"/>
      <c r="H132" s="2902"/>
      <c r="I132" s="2902"/>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F45" xr:uid="{00000000-0002-0000-1200-000004000000}">
      <formula1>"100%,80%,60%,64%"</formula1>
    </dataValidation>
    <dataValidation type="list" allowBlank="1" showInputMessage="1" showErrorMessage="1" sqref="D33" xr:uid="{00000000-0002-0000-1200-000005000000}">
      <formula1>"成本法成本比率,收益法收益比率,收益法成本比率,自定义"</formula1>
    </dataValidation>
    <dataValidation type="list" allowBlank="1" showInputMessage="1" showErrorMessage="1" sqref="H88" xr:uid="{00000000-0002-0000-1200-000006000000}">
      <formula1>"仅含出让金,出让金+开发费"</formula1>
    </dataValidation>
    <dataValidation type="list" allowBlank="1" showInputMessage="1" showErrorMessage="1" sqref="F75" xr:uid="{00000000-0002-0000-1200-000007000000}">
      <formula1>"买卖合同,购房发票"</formula1>
    </dataValidation>
    <dataValidation type="list" allowBlank="1" showInputMessage="1" showErrorMessage="1" sqref="D36" xr:uid="{00000000-0002-0000-1200-000008000000}">
      <formula1>"同一抵押权人同一抵押物续贷,注销后放款,正常操作"</formula1>
    </dataValidation>
    <dataValidation type="list" allowBlank="1" showInputMessage="1" showErrorMessage="1" sqref="D119:E119" xr:uid="{00000000-0002-0000-1200-000009000000}">
      <formula1>"出让国有建设用地使用权价值,划拨国有建设用地使用权价值"</formula1>
    </dataValidation>
    <dataValidation type="list" allowBlank="1" showInputMessage="1" showErrorMessage="1" sqref="C133" xr:uid="{00000000-0002-0000-1200-00000A000000}">
      <formula1>"无,有"</formula1>
    </dataValidation>
    <dataValidation type="list" allowBlank="1" showInputMessage="1" showErrorMessage="1" sqref="H59" xr:uid="{00000000-0002-0000-1200-00000B000000}">
      <formula1>"非个人房产,个人住宅,个人非住宅"</formula1>
    </dataValidation>
    <dataValidation type="list" allowBlank="1" showInputMessage="1" showErrorMessage="1" sqref="H91" xr:uid="{00000000-0002-0000-1200-00000C000000}">
      <formula1>"企业提供（在右侧录入）,——"</formula1>
    </dataValidation>
    <dataValidation type="list" allowBlank="1" showInputMessage="1" showErrorMessage="1" sqref="G77" xr:uid="{00000000-0002-0000-1200-00000D000000}">
      <formula1>"个人住宅,2016年5月1日前购买,2016年5月1日后购买"</formula1>
    </dataValidation>
    <dataValidation type="list" allowBlank="1" showInputMessage="1" showErrorMessage="1" sqref="A27" xr:uid="{00000000-0002-0000-12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C132"/>
  <sheetViews>
    <sheetView topLeftCell="A28" zoomScale="90" zoomScaleNormal="90" workbookViewId="0">
      <selection activeCell="G27" sqref="G27"/>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6.332031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4804</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37346</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070" t="s">
        <v>2335</v>
      </c>
      <c r="Q4" s="3044"/>
      <c r="R4" s="3057" t="s">
        <v>2331</v>
      </c>
      <c r="S4" s="3058"/>
      <c r="T4" s="3057" t="s">
        <v>2332</v>
      </c>
      <c r="U4" s="3058"/>
      <c r="V4" s="3056" t="s">
        <v>2333</v>
      </c>
      <c r="W4" s="3056"/>
      <c r="X4" s="2734"/>
      <c r="Y4" s="3057" t="s">
        <v>2335</v>
      </c>
      <c r="Z4" s="3058"/>
      <c r="AA4" s="3063" t="s">
        <v>2331</v>
      </c>
      <c r="AB4" s="3063" t="s">
        <v>2332</v>
      </c>
      <c r="AC4" s="3063" t="s">
        <v>2333</v>
      </c>
    </row>
    <row r="5" spans="1:29" ht="13.95" customHeight="1">
      <c r="A5" s="379"/>
      <c r="B5" s="380"/>
      <c r="C5" s="3074" t="s">
        <v>2336</v>
      </c>
      <c r="D5" s="3075"/>
      <c r="E5" s="3076" t="s">
        <v>2868</v>
      </c>
      <c r="F5" s="3077"/>
      <c r="G5" s="3076" t="s">
        <v>2868</v>
      </c>
      <c r="H5" s="3077"/>
      <c r="I5" s="3076" t="s">
        <v>2868</v>
      </c>
      <c r="J5" s="3077"/>
      <c r="K5" s="590"/>
      <c r="L5" s="1225"/>
      <c r="M5" s="1226"/>
      <c r="N5" s="1226"/>
      <c r="O5" s="1226"/>
      <c r="P5" s="3071"/>
      <c r="Q5" s="3045"/>
      <c r="R5" s="3059"/>
      <c r="S5" s="3060"/>
      <c r="T5" s="3059"/>
      <c r="U5" s="3060"/>
      <c r="V5" s="3056"/>
      <c r="W5" s="3056"/>
      <c r="X5" s="2734"/>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072"/>
      <c r="Q6" s="3073"/>
      <c r="R6" s="3059"/>
      <c r="S6" s="3060"/>
      <c r="T6" s="3061"/>
      <c r="U6" s="3062"/>
      <c r="V6" s="3056"/>
      <c r="W6" s="3056"/>
      <c r="X6" s="2734"/>
      <c r="Y6" s="3061"/>
      <c r="Z6" s="3062"/>
      <c r="AA6" s="3065"/>
      <c r="AB6" s="3065"/>
      <c r="AC6" s="3065"/>
    </row>
    <row r="7" spans="1:29" s="34" customFormat="1" ht="15" thickBot="1">
      <c r="A7" s="383" t="s">
        <v>2342</v>
      </c>
      <c r="B7" s="384"/>
      <c r="C7" s="385">
        <f>'数据-取费表'!B2</f>
        <v>43874</v>
      </c>
      <c r="D7" s="386">
        <v>100</v>
      </c>
      <c r="E7" s="387">
        <v>43837</v>
      </c>
      <c r="F7" s="388">
        <f>SUMIF(59:59,YEAR(E7)&amp;"-"&amp;MONTH(E7),60:60)</f>
        <v>100</v>
      </c>
      <c r="G7" s="2442">
        <v>43864</v>
      </c>
      <c r="H7" s="386">
        <f>SUMIF(59:59,YEAR(G7)&amp;"-"&amp;MONTH(G7),60:60)</f>
        <v>100</v>
      </c>
      <c r="I7" s="2442">
        <v>43846</v>
      </c>
      <c r="J7" s="386">
        <f>SUMIF(59:59,YEAR(I7)&amp;"-"&amp;MONTH(I7),60:60)</f>
        <v>100</v>
      </c>
      <c r="K7" s="591"/>
      <c r="L7" s="1227"/>
      <c r="M7" s="1228"/>
      <c r="N7" s="1228"/>
      <c r="O7" s="1228"/>
      <c r="P7" s="3053" t="s">
        <v>2343</v>
      </c>
      <c r="Q7" s="3053"/>
      <c r="R7" s="741" t="s">
        <v>25</v>
      </c>
      <c r="S7" s="742">
        <f t="shared" ref="S7:S15" si="0">F7</f>
        <v>100</v>
      </c>
      <c r="T7" s="741" t="s">
        <v>25</v>
      </c>
      <c r="U7" s="742">
        <f t="shared" ref="U7:U15" si="1">H7</f>
        <v>100</v>
      </c>
      <c r="V7" s="741" t="s">
        <v>25</v>
      </c>
      <c r="W7" s="742">
        <f t="shared" ref="W7:W15" si="2">J7</f>
        <v>100</v>
      </c>
      <c r="X7" s="743"/>
      <c r="Y7" s="3055" t="s">
        <v>2343</v>
      </c>
      <c r="Z7" s="3054"/>
      <c r="AA7" s="744">
        <f>D7/F7</f>
        <v>1</v>
      </c>
      <c r="AB7" s="744">
        <f>D7/H7</f>
        <v>1</v>
      </c>
      <c r="AC7" s="744">
        <f>D7/J7</f>
        <v>1</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3" t="s">
        <v>2346</v>
      </c>
      <c r="Q8" s="3054"/>
      <c r="R8" s="741" t="s">
        <v>25</v>
      </c>
      <c r="S8" s="742">
        <f t="shared" si="0"/>
        <v>100</v>
      </c>
      <c r="T8" s="741" t="s">
        <v>25</v>
      </c>
      <c r="U8" s="742">
        <f t="shared" si="1"/>
        <v>100</v>
      </c>
      <c r="V8" s="741" t="s">
        <v>25</v>
      </c>
      <c r="W8" s="742">
        <f t="shared" si="2"/>
        <v>100</v>
      </c>
      <c r="X8" s="743"/>
      <c r="Y8" s="3055" t="s">
        <v>2346</v>
      </c>
      <c r="Z8" s="3054"/>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39" t="s">
        <v>2349</v>
      </c>
      <c r="Q9" s="2729"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39"/>
      <c r="Q10" s="2729"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39"/>
      <c r="Q11" s="2729" t="str">
        <f t="shared" si="6"/>
        <v>容积率</v>
      </c>
      <c r="R11" s="741" t="s">
        <v>25</v>
      </c>
      <c r="S11" s="742">
        <f t="shared" si="0"/>
        <v>100</v>
      </c>
      <c r="T11" s="741" t="s">
        <v>25</v>
      </c>
      <c r="U11" s="742">
        <f t="shared" si="1"/>
        <v>100</v>
      </c>
      <c r="V11" s="741" t="s">
        <v>25</v>
      </c>
      <c r="W11" s="742">
        <f t="shared" si="2"/>
        <v>100</v>
      </c>
      <c r="X11" s="743"/>
      <c r="Y11" s="2912"/>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39"/>
      <c r="Q12" s="2729">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39"/>
      <c r="Q13" s="2729">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39"/>
      <c r="Q14" s="2729">
        <f t="shared" si="6"/>
        <v>111</v>
      </c>
      <c r="R14" s="741" t="s">
        <v>25</v>
      </c>
      <c r="S14" s="742">
        <f t="shared" si="0"/>
        <v>100</v>
      </c>
      <c r="T14" s="741" t="s">
        <v>25</v>
      </c>
      <c r="U14" s="742">
        <f t="shared" si="1"/>
        <v>100</v>
      </c>
      <c r="V14" s="741" t="s">
        <v>25</v>
      </c>
      <c r="W14" s="742">
        <f t="shared" si="2"/>
        <v>100</v>
      </c>
      <c r="X14" s="743"/>
      <c r="Y14" s="2912"/>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4" t="s">
        <v>2354</v>
      </c>
      <c r="Q15" s="2733" t="str">
        <f t="shared" si="6"/>
        <v>办公集聚程度</v>
      </c>
      <c r="R15" s="745" t="s">
        <v>25</v>
      </c>
      <c r="S15" s="746">
        <f t="shared" si="0"/>
        <v>100</v>
      </c>
      <c r="T15" s="745" t="s">
        <v>25</v>
      </c>
      <c r="U15" s="746">
        <f t="shared" si="1"/>
        <v>100</v>
      </c>
      <c r="V15" s="745" t="s">
        <v>25</v>
      </c>
      <c r="W15" s="746">
        <f t="shared" si="2"/>
        <v>100</v>
      </c>
      <c r="X15" s="2734"/>
      <c r="Y15" s="3046"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5"/>
      <c r="Q16" s="2733"/>
      <c r="R16" s="745"/>
      <c r="S16" s="746"/>
      <c r="T16" s="745"/>
      <c r="U16" s="746"/>
      <c r="V16" s="745"/>
      <c r="W16" s="746"/>
      <c r="X16" s="2734"/>
      <c r="Y16" s="3047"/>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5"/>
      <c r="Q17" s="2733" t="str">
        <f>B17</f>
        <v>交通便捷度</v>
      </c>
      <c r="R17" s="745" t="s">
        <v>25</v>
      </c>
      <c r="S17" s="746">
        <f>F17</f>
        <v>100</v>
      </c>
      <c r="T17" s="745" t="s">
        <v>25</v>
      </c>
      <c r="U17" s="746">
        <f>H17</f>
        <v>100</v>
      </c>
      <c r="V17" s="745" t="s">
        <v>25</v>
      </c>
      <c r="W17" s="746">
        <f>J17</f>
        <v>100</v>
      </c>
      <c r="X17" s="2734"/>
      <c r="Y17" s="3047"/>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5"/>
      <c r="Q18" s="2733"/>
      <c r="R18" s="745"/>
      <c r="S18" s="746"/>
      <c r="T18" s="745"/>
      <c r="U18" s="746"/>
      <c r="V18" s="745"/>
      <c r="W18" s="746"/>
      <c r="X18" s="2734"/>
      <c r="Y18" s="3047"/>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5"/>
      <c r="Q19" s="2733" t="str">
        <f>B19</f>
        <v>公共配套设施</v>
      </c>
      <c r="R19" s="745" t="s">
        <v>25</v>
      </c>
      <c r="S19" s="746">
        <f>F19</f>
        <v>100</v>
      </c>
      <c r="T19" s="745" t="s">
        <v>25</v>
      </c>
      <c r="U19" s="746">
        <f>H19</f>
        <v>100</v>
      </c>
      <c r="V19" s="745" t="s">
        <v>25</v>
      </c>
      <c r="W19" s="746">
        <f>J19</f>
        <v>100</v>
      </c>
      <c r="X19" s="2734"/>
      <c r="Y19" s="3047"/>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5"/>
      <c r="Q20" s="2733"/>
      <c r="R20" s="745"/>
      <c r="S20" s="746"/>
      <c r="T20" s="745"/>
      <c r="U20" s="746"/>
      <c r="V20" s="745"/>
      <c r="W20" s="746"/>
      <c r="X20" s="2734"/>
      <c r="Y20" s="3047"/>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5"/>
      <c r="Q21" s="2733" t="str">
        <f>B21</f>
        <v>基础设施水平</v>
      </c>
      <c r="R21" s="745" t="s">
        <v>25</v>
      </c>
      <c r="S21" s="746">
        <f>F21</f>
        <v>100</v>
      </c>
      <c r="T21" s="745" t="s">
        <v>25</v>
      </c>
      <c r="U21" s="746">
        <f>H21</f>
        <v>100</v>
      </c>
      <c r="V21" s="745" t="s">
        <v>25</v>
      </c>
      <c r="W21" s="746">
        <f>J21</f>
        <v>100</v>
      </c>
      <c r="X21" s="2734"/>
      <c r="Y21" s="3047"/>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5"/>
      <c r="Q22" s="2733"/>
      <c r="R22" s="745"/>
      <c r="S22" s="746"/>
      <c r="T22" s="745"/>
      <c r="U22" s="746"/>
      <c r="V22" s="745"/>
      <c r="W22" s="746"/>
      <c r="X22" s="2734"/>
      <c r="Y22" s="3047"/>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5"/>
      <c r="Q23" s="2733" t="str">
        <f>B23</f>
        <v>环境质量</v>
      </c>
      <c r="R23" s="745" t="s">
        <v>25</v>
      </c>
      <c r="S23" s="746">
        <f>F23</f>
        <v>100</v>
      </c>
      <c r="T23" s="745" t="s">
        <v>25</v>
      </c>
      <c r="U23" s="746">
        <f>H23</f>
        <v>100</v>
      </c>
      <c r="V23" s="745" t="s">
        <v>25</v>
      </c>
      <c r="W23" s="746">
        <f>J23</f>
        <v>100</v>
      </c>
      <c r="X23" s="2734"/>
      <c r="Y23" s="3047"/>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5"/>
      <c r="Q24" s="2733"/>
      <c r="R24" s="745"/>
      <c r="S24" s="746"/>
      <c r="T24" s="745"/>
      <c r="U24" s="746"/>
      <c r="V24" s="745"/>
      <c r="W24" s="746"/>
      <c r="X24" s="2734"/>
      <c r="Y24" s="3047"/>
      <c r="Z24" s="2735"/>
      <c r="AA24" s="2731">
        <v>1</v>
      </c>
      <c r="AB24" s="2731">
        <v>1</v>
      </c>
      <c r="AC24" s="2731">
        <v>1</v>
      </c>
    </row>
    <row r="25" spans="1:29" ht="28.8">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5"/>
      <c r="Q25" s="2733" t="str">
        <f>B25</f>
        <v>毗邻道路的类型与等级</v>
      </c>
      <c r="R25" s="745" t="s">
        <v>25</v>
      </c>
      <c r="S25" s="746">
        <f>F25</f>
        <v>100</v>
      </c>
      <c r="T25" s="745" t="s">
        <v>25</v>
      </c>
      <c r="U25" s="746">
        <f>H25</f>
        <v>100</v>
      </c>
      <c r="V25" s="745" t="s">
        <v>25</v>
      </c>
      <c r="W25" s="746">
        <f>J25</f>
        <v>100</v>
      </c>
      <c r="X25" s="2734"/>
      <c r="Y25" s="3047"/>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5"/>
      <c r="Q26" s="2733"/>
      <c r="R26" s="745"/>
      <c r="S26" s="746"/>
      <c r="T26" s="745"/>
      <c r="U26" s="746"/>
      <c r="V26" s="745"/>
      <c r="W26" s="746"/>
      <c r="X26" s="2734"/>
      <c r="Y26" s="3047"/>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2914</v>
      </c>
      <c r="J27" s="411">
        <f>SUMIF(89:89,I27,90:90)-SUMIF(89:89,C27,90:90)+100</f>
        <v>104</v>
      </c>
      <c r="K27" s="592">
        <v>2</v>
      </c>
      <c r="L27" s="1235"/>
      <c r="M27" s="1226"/>
      <c r="N27" s="1226"/>
      <c r="O27" s="1226"/>
      <c r="P27" s="3045"/>
      <c r="Q27" s="2733" t="str">
        <f t="shared" ref="Q27:Q47" si="11">B27</f>
        <v>楼层</v>
      </c>
      <c r="R27" s="745" t="s">
        <v>25</v>
      </c>
      <c r="S27" s="746">
        <f>F27</f>
        <v>102</v>
      </c>
      <c r="T27" s="745" t="s">
        <v>25</v>
      </c>
      <c r="U27" s="746">
        <f>H27</f>
        <v>100</v>
      </c>
      <c r="V27" s="745" t="s">
        <v>25</v>
      </c>
      <c r="W27" s="746">
        <f>J27</f>
        <v>104</v>
      </c>
      <c r="X27" s="2734"/>
      <c r="Y27" s="3047"/>
      <c r="Z27" s="2735" t="str">
        <f>Q27</f>
        <v>楼层</v>
      </c>
      <c r="AA27" s="2731">
        <f t="shared" si="3"/>
        <v>0.98039215686274506</v>
      </c>
      <c r="AB27" s="2731">
        <f t="shared" si="4"/>
        <v>1</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5"/>
      <c r="Q28" s="2729" t="str">
        <f t="shared" si="11"/>
        <v>朝向</v>
      </c>
      <c r="R28" s="741" t="s">
        <v>25</v>
      </c>
      <c r="S28" s="742">
        <f>F28</f>
        <v>100</v>
      </c>
      <c r="T28" s="741" t="s">
        <v>25</v>
      </c>
      <c r="U28" s="742">
        <f>H28</f>
        <v>100</v>
      </c>
      <c r="V28" s="741" t="s">
        <v>25</v>
      </c>
      <c r="W28" s="742">
        <f>J28</f>
        <v>100</v>
      </c>
      <c r="X28" s="743"/>
      <c r="Y28" s="3047"/>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5"/>
      <c r="Q29" s="2733">
        <f t="shared" si="11"/>
        <v>111</v>
      </c>
      <c r="R29" s="745" t="s">
        <v>25</v>
      </c>
      <c r="S29" s="746">
        <f t="shared" ref="S29:S47" si="12">F29</f>
        <v>100</v>
      </c>
      <c r="T29" s="745" t="s">
        <v>25</v>
      </c>
      <c r="U29" s="746">
        <f t="shared" ref="U29:U47" si="13">H29</f>
        <v>100</v>
      </c>
      <c r="V29" s="745" t="s">
        <v>25</v>
      </c>
      <c r="W29" s="746">
        <f t="shared" ref="W29:W47" si="14">J29</f>
        <v>100</v>
      </c>
      <c r="X29" s="2734"/>
      <c r="Y29" s="3047"/>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5"/>
      <c r="Q30" s="2733">
        <f t="shared" si="11"/>
        <v>111</v>
      </c>
      <c r="R30" s="745" t="s">
        <v>25</v>
      </c>
      <c r="S30" s="746">
        <f t="shared" si="12"/>
        <v>100</v>
      </c>
      <c r="T30" s="745" t="s">
        <v>25</v>
      </c>
      <c r="U30" s="746">
        <f t="shared" si="13"/>
        <v>100</v>
      </c>
      <c r="V30" s="745" t="s">
        <v>25</v>
      </c>
      <c r="W30" s="746">
        <f t="shared" si="14"/>
        <v>100</v>
      </c>
      <c r="X30" s="2734"/>
      <c r="Y30" s="3047"/>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5"/>
      <c r="Q31" s="2733">
        <f t="shared" si="11"/>
        <v>111</v>
      </c>
      <c r="R31" s="745" t="s">
        <v>25</v>
      </c>
      <c r="S31" s="746">
        <f t="shared" si="12"/>
        <v>100</v>
      </c>
      <c r="T31" s="745" t="s">
        <v>25</v>
      </c>
      <c r="U31" s="746">
        <f t="shared" si="13"/>
        <v>100</v>
      </c>
      <c r="V31" s="745" t="s">
        <v>25</v>
      </c>
      <c r="W31" s="746">
        <f t="shared" si="14"/>
        <v>100</v>
      </c>
      <c r="X31" s="2734"/>
      <c r="Y31" s="3047"/>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5"/>
      <c r="Q32" s="2733">
        <f t="shared" si="11"/>
        <v>111</v>
      </c>
      <c r="R32" s="745" t="s">
        <v>25</v>
      </c>
      <c r="S32" s="746">
        <f t="shared" si="12"/>
        <v>100</v>
      </c>
      <c r="T32" s="745" t="s">
        <v>25</v>
      </c>
      <c r="U32" s="746">
        <f t="shared" si="13"/>
        <v>100</v>
      </c>
      <c r="V32" s="745" t="s">
        <v>25</v>
      </c>
      <c r="W32" s="746">
        <f t="shared" si="14"/>
        <v>100</v>
      </c>
      <c r="X32" s="2734"/>
      <c r="Y32" s="3047"/>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48" t="s">
        <v>2360</v>
      </c>
      <c r="Q33" s="2733" t="str">
        <f t="shared" si="11"/>
        <v>建筑类型</v>
      </c>
      <c r="R33" s="745" t="s">
        <v>25</v>
      </c>
      <c r="S33" s="746">
        <f t="shared" si="12"/>
        <v>100</v>
      </c>
      <c r="T33" s="745" t="s">
        <v>25</v>
      </c>
      <c r="U33" s="746">
        <f t="shared" si="13"/>
        <v>100</v>
      </c>
      <c r="V33" s="745" t="s">
        <v>25</v>
      </c>
      <c r="W33" s="746">
        <f t="shared" si="14"/>
        <v>100</v>
      </c>
      <c r="X33" s="2734"/>
      <c r="Y33" s="3051"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1372.4</v>
      </c>
      <c r="F34" s="401">
        <f>LOOKUP(E34,104:104,105:105)-LOOKUP(C34,104:104,105:105)+100</f>
        <v>99.5</v>
      </c>
      <c r="G34" s="446">
        <v>1350</v>
      </c>
      <c r="H34" s="48">
        <f>LOOKUP(G34,104:104,105:105)-LOOKUP(C34,104:104,105:105)+100</f>
        <v>99.5</v>
      </c>
      <c r="I34" s="446">
        <v>1164.8</v>
      </c>
      <c r="J34" s="48">
        <f>LOOKUP(I34,104:104,105:105)-LOOKUP(C34,104:104,105:105)+100</f>
        <v>100</v>
      </c>
      <c r="K34" s="593"/>
      <c r="L34" s="1233"/>
      <c r="M34" s="1236"/>
      <c r="N34" s="1236"/>
      <c r="O34" s="1236"/>
      <c r="P34" s="3049"/>
      <c r="Q34" s="747" t="str">
        <f t="shared" si="11"/>
        <v>项目建筑规模</v>
      </c>
      <c r="R34" s="748" t="s">
        <v>25</v>
      </c>
      <c r="S34" s="749">
        <f t="shared" si="12"/>
        <v>99.5</v>
      </c>
      <c r="T34" s="748" t="s">
        <v>25</v>
      </c>
      <c r="U34" s="749">
        <f t="shared" si="13"/>
        <v>99.5</v>
      </c>
      <c r="V34" s="748" t="s">
        <v>25</v>
      </c>
      <c r="W34" s="749">
        <f t="shared" si="14"/>
        <v>100</v>
      </c>
      <c r="X34" s="750"/>
      <c r="Y34" s="3051"/>
      <c r="Z34" s="751" t="str">
        <f t="shared" si="15"/>
        <v>项目建筑规模</v>
      </c>
      <c r="AA34" s="2731">
        <f t="shared" si="3"/>
        <v>1.0050251256281406</v>
      </c>
      <c r="AB34" s="2731">
        <f t="shared" si="4"/>
        <v>1.0050251256281406</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49"/>
      <c r="Q35" s="2733" t="str">
        <f t="shared" si="11"/>
        <v>建筑结构</v>
      </c>
      <c r="R35" s="745" t="s">
        <v>25</v>
      </c>
      <c r="S35" s="746">
        <f t="shared" si="12"/>
        <v>100</v>
      </c>
      <c r="T35" s="745" t="s">
        <v>25</v>
      </c>
      <c r="U35" s="746">
        <f t="shared" si="13"/>
        <v>100</v>
      </c>
      <c r="V35" s="745" t="s">
        <v>25</v>
      </c>
      <c r="W35" s="746">
        <f t="shared" si="14"/>
        <v>100</v>
      </c>
      <c r="X35" s="2734"/>
      <c r="Y35" s="3051"/>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49"/>
      <c r="Q36" s="2733" t="str">
        <f t="shared" si="11"/>
        <v>公共部分装修</v>
      </c>
      <c r="R36" s="745" t="s">
        <v>25</v>
      </c>
      <c r="S36" s="746">
        <f t="shared" si="12"/>
        <v>100</v>
      </c>
      <c r="T36" s="745" t="s">
        <v>25</v>
      </c>
      <c r="U36" s="746">
        <f t="shared" si="13"/>
        <v>100</v>
      </c>
      <c r="V36" s="745" t="s">
        <v>25</v>
      </c>
      <c r="W36" s="746">
        <f t="shared" si="14"/>
        <v>100</v>
      </c>
      <c r="X36" s="2734"/>
      <c r="Y36" s="3051"/>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49"/>
      <c r="Q37" s="2733" t="str">
        <f t="shared" si="11"/>
        <v>成新度</v>
      </c>
      <c r="R37" s="745" t="s">
        <v>25</v>
      </c>
      <c r="S37" s="746">
        <f t="shared" si="12"/>
        <v>100</v>
      </c>
      <c r="T37" s="745" t="s">
        <v>25</v>
      </c>
      <c r="U37" s="746">
        <f t="shared" si="13"/>
        <v>100</v>
      </c>
      <c r="V37" s="745" t="s">
        <v>25</v>
      </c>
      <c r="W37" s="746">
        <f t="shared" si="14"/>
        <v>100</v>
      </c>
      <c r="X37" s="2734"/>
      <c r="Y37" s="3051"/>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49"/>
      <c r="Q38" s="2729" t="str">
        <f t="shared" si="11"/>
        <v>写字楼等级</v>
      </c>
      <c r="R38" s="741" t="s">
        <v>25</v>
      </c>
      <c r="S38" s="742">
        <f t="shared" si="12"/>
        <v>100</v>
      </c>
      <c r="T38" s="741" t="s">
        <v>25</v>
      </c>
      <c r="U38" s="742">
        <f t="shared" si="13"/>
        <v>100</v>
      </c>
      <c r="V38" s="741" t="s">
        <v>25</v>
      </c>
      <c r="W38" s="742">
        <f t="shared" si="14"/>
        <v>100</v>
      </c>
      <c r="X38" s="743"/>
      <c r="Y38" s="3051"/>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49" t="s">
        <v>2360</v>
      </c>
      <c r="Q39" s="2733" t="str">
        <f t="shared" si="11"/>
        <v>物业管理</v>
      </c>
      <c r="R39" s="745" t="s">
        <v>25</v>
      </c>
      <c r="S39" s="746">
        <f t="shared" si="12"/>
        <v>100</v>
      </c>
      <c r="T39" s="745" t="s">
        <v>25</v>
      </c>
      <c r="U39" s="746">
        <f t="shared" si="13"/>
        <v>100</v>
      </c>
      <c r="V39" s="745" t="s">
        <v>25</v>
      </c>
      <c r="W39" s="746">
        <f t="shared" si="14"/>
        <v>100</v>
      </c>
      <c r="X39" s="2734"/>
      <c r="Y39" s="3051"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49"/>
      <c r="Q40" s="2733" t="str">
        <f t="shared" si="11"/>
        <v>市政基础设施</v>
      </c>
      <c r="R40" s="745" t="s">
        <v>25</v>
      </c>
      <c r="S40" s="746">
        <f t="shared" si="12"/>
        <v>100</v>
      </c>
      <c r="T40" s="745" t="s">
        <v>25</v>
      </c>
      <c r="U40" s="746">
        <f t="shared" si="13"/>
        <v>100</v>
      </c>
      <c r="V40" s="745" t="s">
        <v>25</v>
      </c>
      <c r="W40" s="746">
        <f t="shared" si="14"/>
        <v>100</v>
      </c>
      <c r="X40" s="2734"/>
      <c r="Y40" s="3051"/>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49"/>
      <c r="Q41" s="2733" t="str">
        <f t="shared" si="11"/>
        <v>层高</v>
      </c>
      <c r="R41" s="745" t="s">
        <v>25</v>
      </c>
      <c r="S41" s="746">
        <f t="shared" si="12"/>
        <v>100</v>
      </c>
      <c r="T41" s="745" t="s">
        <v>25</v>
      </c>
      <c r="U41" s="746">
        <f t="shared" si="13"/>
        <v>100</v>
      </c>
      <c r="V41" s="745" t="s">
        <v>25</v>
      </c>
      <c r="W41" s="746">
        <f t="shared" si="14"/>
        <v>100</v>
      </c>
      <c r="X41" s="2734"/>
      <c r="Y41" s="3051"/>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49"/>
      <c r="Q42" s="747" t="str">
        <f t="shared" si="11"/>
        <v>单套建筑面积</v>
      </c>
      <c r="R42" s="748" t="s">
        <v>25</v>
      </c>
      <c r="S42" s="749">
        <f t="shared" si="12"/>
        <v>100</v>
      </c>
      <c r="T42" s="748" t="s">
        <v>25</v>
      </c>
      <c r="U42" s="749">
        <f t="shared" si="13"/>
        <v>100</v>
      </c>
      <c r="V42" s="748" t="s">
        <v>25</v>
      </c>
      <c r="W42" s="749">
        <f t="shared" si="14"/>
        <v>100</v>
      </c>
      <c r="X42" s="750"/>
      <c r="Y42" s="3051"/>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2915</v>
      </c>
      <c r="F43" s="438">
        <f>SUMIF(123:123,E43,124:124)-SUMIF(123:123,C43,124:124)+100</f>
        <v>98</v>
      </c>
      <c r="G43" s="437" t="s">
        <v>2916</v>
      </c>
      <c r="H43" s="411">
        <f>SUMIF(123:123,G43,124:124)-SUMIF(123:123,C43,124:124)+100</f>
        <v>96</v>
      </c>
      <c r="I43" s="437" t="s">
        <v>2916</v>
      </c>
      <c r="J43" s="411">
        <f>SUMIF(123:123,I43,124:124)-SUMIF(123:123,C43,124:124)+100</f>
        <v>96</v>
      </c>
      <c r="K43" s="592">
        <v>2</v>
      </c>
      <c r="L43" s="1235"/>
      <c r="M43" s="1226"/>
      <c r="N43" s="1226"/>
      <c r="O43" s="1226"/>
      <c r="P43" s="3049"/>
      <c r="Q43" s="2733" t="str">
        <f t="shared" si="11"/>
        <v>内部装修</v>
      </c>
      <c r="R43" s="745" t="s">
        <v>25</v>
      </c>
      <c r="S43" s="746">
        <f t="shared" si="12"/>
        <v>98</v>
      </c>
      <c r="T43" s="745" t="s">
        <v>25</v>
      </c>
      <c r="U43" s="746">
        <f t="shared" si="13"/>
        <v>96</v>
      </c>
      <c r="V43" s="745" t="s">
        <v>25</v>
      </c>
      <c r="W43" s="746">
        <f t="shared" si="14"/>
        <v>96</v>
      </c>
      <c r="X43" s="2734"/>
      <c r="Y43" s="3051"/>
      <c r="Z43" s="2735" t="str">
        <f t="shared" si="15"/>
        <v>内部装修</v>
      </c>
      <c r="AA43" s="2731">
        <f t="shared" si="3"/>
        <v>1.0204081632653061</v>
      </c>
      <c r="AB43" s="2731">
        <f t="shared" si="4"/>
        <v>1.0416666666666667</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49"/>
      <c r="Q44" s="2733" t="str">
        <f t="shared" si="11"/>
        <v>内部装修维护情况</v>
      </c>
      <c r="R44" s="745" t="s">
        <v>25</v>
      </c>
      <c r="S44" s="746">
        <f t="shared" si="12"/>
        <v>100</v>
      </c>
      <c r="T44" s="745" t="s">
        <v>25</v>
      </c>
      <c r="U44" s="746">
        <f t="shared" si="13"/>
        <v>100</v>
      </c>
      <c r="V44" s="745" t="s">
        <v>25</v>
      </c>
      <c r="W44" s="746">
        <f t="shared" si="14"/>
        <v>100</v>
      </c>
      <c r="X44" s="2734"/>
      <c r="Y44" s="3051"/>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49"/>
      <c r="Q45" s="2729">
        <f t="shared" si="11"/>
        <v>111</v>
      </c>
      <c r="R45" s="741" t="s">
        <v>25</v>
      </c>
      <c r="S45" s="742">
        <f t="shared" si="12"/>
        <v>100</v>
      </c>
      <c r="T45" s="741" t="s">
        <v>25</v>
      </c>
      <c r="U45" s="742">
        <f t="shared" si="13"/>
        <v>100</v>
      </c>
      <c r="V45" s="741" t="s">
        <v>25</v>
      </c>
      <c r="W45" s="742">
        <f t="shared" si="14"/>
        <v>100</v>
      </c>
      <c r="X45" s="743"/>
      <c r="Y45" s="3051"/>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49"/>
      <c r="Q46" s="2733">
        <f t="shared" si="11"/>
        <v>111</v>
      </c>
      <c r="R46" s="745" t="s">
        <v>25</v>
      </c>
      <c r="S46" s="746">
        <f t="shared" si="12"/>
        <v>100</v>
      </c>
      <c r="T46" s="745" t="s">
        <v>25</v>
      </c>
      <c r="U46" s="746">
        <f t="shared" si="13"/>
        <v>100</v>
      </c>
      <c r="V46" s="745" t="s">
        <v>25</v>
      </c>
      <c r="W46" s="746">
        <f t="shared" si="14"/>
        <v>100</v>
      </c>
      <c r="X46" s="2734"/>
      <c r="Y46" s="3051"/>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50"/>
      <c r="Q47" s="2733">
        <f t="shared" si="11"/>
        <v>111</v>
      </c>
      <c r="R47" s="745" t="s">
        <v>25</v>
      </c>
      <c r="S47" s="746">
        <f t="shared" si="12"/>
        <v>100</v>
      </c>
      <c r="T47" s="745" t="s">
        <v>25</v>
      </c>
      <c r="U47" s="746">
        <f t="shared" si="13"/>
        <v>100</v>
      </c>
      <c r="V47" s="745" t="s">
        <v>25</v>
      </c>
      <c r="W47" s="746">
        <f t="shared" si="14"/>
        <v>100</v>
      </c>
      <c r="X47" s="2734"/>
      <c r="Y47" s="3052"/>
      <c r="Z47" s="2735">
        <f t="shared" si="15"/>
        <v>111</v>
      </c>
      <c r="AA47" s="2731">
        <f t="shared" si="3"/>
        <v>1</v>
      </c>
      <c r="AB47" s="2731">
        <f t="shared" si="4"/>
        <v>1</v>
      </c>
      <c r="AC47" s="2731">
        <f t="shared" si="5"/>
        <v>1</v>
      </c>
    </row>
    <row r="48" spans="1:29" ht="14.4">
      <c r="A48" s="456" t="s">
        <v>2372</v>
      </c>
      <c r="B48" s="457"/>
      <c r="C48" s="1484" t="s">
        <v>1</v>
      </c>
      <c r="D48" s="1485"/>
      <c r="E48" s="1486">
        <v>37000</v>
      </c>
      <c r="F48" s="1487"/>
      <c r="G48" s="1488">
        <v>38000</v>
      </c>
      <c r="H48" s="1489"/>
      <c r="I48" s="1486">
        <v>35000</v>
      </c>
      <c r="J48" s="1489"/>
      <c r="K48" s="754"/>
      <c r="L48" s="1238"/>
      <c r="M48" s="1226"/>
      <c r="N48" s="1226"/>
      <c r="O48" s="1226"/>
      <c r="P48" s="3039" t="str">
        <f>A48</f>
        <v>成交单价（元/平方米）</v>
      </c>
      <c r="Q48" s="3040"/>
      <c r="R48" s="3041">
        <f>E48</f>
        <v>37000</v>
      </c>
      <c r="S48" s="3041"/>
      <c r="T48" s="3041">
        <f>G48</f>
        <v>38000</v>
      </c>
      <c r="U48" s="3041"/>
      <c r="V48" s="3041">
        <f>I48</f>
        <v>35000</v>
      </c>
      <c r="W48" s="3041"/>
      <c r="X48" s="730"/>
      <c r="Y48" s="752"/>
      <c r="Z48" s="730"/>
      <c r="AA48" s="730"/>
      <c r="AB48" s="730"/>
      <c r="AC48" s="730"/>
    </row>
    <row r="49" spans="1:29" ht="15" thickBot="1">
      <c r="A49" s="463" t="s">
        <v>2373</v>
      </c>
      <c r="B49" s="464"/>
      <c r="C49" s="1490">
        <f>R50</f>
        <v>37346</v>
      </c>
      <c r="D49" s="1491"/>
      <c r="E49" s="1492">
        <f>R49</f>
        <v>37201</v>
      </c>
      <c r="F49" s="1492"/>
      <c r="G49" s="1490">
        <f>T49</f>
        <v>39782</v>
      </c>
      <c r="H49" s="1491"/>
      <c r="I49" s="1492">
        <f>V49</f>
        <v>35056</v>
      </c>
      <c r="J49" s="1491"/>
      <c r="K49" s="755"/>
      <c r="L49" s="1238"/>
      <c r="M49" s="1226"/>
      <c r="N49" s="1226"/>
      <c r="O49" s="1226"/>
      <c r="P49" s="3039" t="str">
        <f>A49</f>
        <v>比较价值（元/平方米）</v>
      </c>
      <c r="Q49" s="3040"/>
      <c r="R49" s="3041">
        <f>IF(E1="售价",ROUND(PRODUCT(R48,AA7:AA47),0),ROUND(PRODUCT(R48,AA7:AA47),1))</f>
        <v>37201</v>
      </c>
      <c r="S49" s="3041"/>
      <c r="T49" s="3041">
        <f>IF(E1="售价",ROUND(PRODUCT(T48,AB7:AB47),0),ROUND(PRODUCT(T48,AB7:AB47),1))</f>
        <v>39782</v>
      </c>
      <c r="U49" s="3041"/>
      <c r="V49" s="3041">
        <f>IF(E1="售价",ROUND(PRODUCT(V48,AC7:AC47),0),ROUND(PRODUCT(V48,AC7:AC47),1))</f>
        <v>35056</v>
      </c>
      <c r="W49" s="3041"/>
      <c r="X49" s="730"/>
      <c r="Y49" s="730"/>
      <c r="Z49" s="730"/>
      <c r="AA49" s="730"/>
      <c r="AB49" s="730"/>
      <c r="AC49" s="730"/>
    </row>
    <row r="50" spans="1:29" ht="15" thickBot="1">
      <c r="A50" s="469" t="s">
        <v>2374</v>
      </c>
      <c r="B50" s="470"/>
      <c r="C50" s="1494">
        <f>R50</f>
        <v>37346</v>
      </c>
      <c r="D50" s="1494"/>
      <c r="E50" s="1494"/>
      <c r="F50" s="1494"/>
      <c r="G50" s="1494"/>
      <c r="H50" s="1494"/>
      <c r="I50" s="1494"/>
      <c r="J50" s="1494"/>
      <c r="K50" s="756"/>
      <c r="L50" s="1238"/>
      <c r="M50" s="1226"/>
      <c r="N50" s="1226"/>
      <c r="O50" s="1226"/>
      <c r="P50" s="3042" t="str">
        <f>A50</f>
        <v>估价对象XX用房的比较价值（楼面单价，元/平方米）</v>
      </c>
      <c r="Q50" s="3039"/>
      <c r="R50" s="3043">
        <f>IF(E1="售价",ROUND(AVERAGE(R49:V49),0),ROUND(AVERAGE(R49:V49),1))</f>
        <v>37346</v>
      </c>
      <c r="S50" s="3043"/>
      <c r="T50" s="3043"/>
      <c r="U50" s="3043"/>
      <c r="V50" s="3043"/>
      <c r="W50" s="304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5.4324324324324103E-3</v>
      </c>
      <c r="F53" s="477" t="str">
        <f>IF(OR(E53&gt;=0.3,E53&lt;=-0.3),"超过30%","")</f>
        <v/>
      </c>
      <c r="G53" s="476">
        <f>IF(G48&lt;G49,G49/G48-1,G48/G49-1)</f>
        <v>4.6894736842105322E-2</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6.9379855380231614E-2</v>
      </c>
      <c r="F54" s="477" t="str">
        <f>IF(OR(E54&gt;=0.2,E54&lt;=-0.2),"超过20%","")</f>
        <v/>
      </c>
      <c r="G54" s="476">
        <f>IF(G49&lt;I49,I49/G49-1,G49/I49-1)</f>
        <v>0.13481287083523497</v>
      </c>
      <c r="H54" s="477" t="str">
        <f>IF(OR(G54&gt;=0.2,G54&lt;=-0.2),"超过20%","")</f>
        <v/>
      </c>
      <c r="I54" s="476">
        <f>IF(I49&lt;E49,E49/I49-1,I49/E49-1)</f>
        <v>6.1187813783660339E-2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2.7027027027026973E-2</v>
      </c>
      <c r="F55" s="477" t="str">
        <f>IF(OR(E55&gt;=0.3,E55&lt;=-0.3),"超过30%","")</f>
        <v/>
      </c>
      <c r="G55" s="476">
        <f>IF(G48&lt;I48,I48/G48-1,G48/I48-1)</f>
        <v>8.5714285714285632E-2</v>
      </c>
      <c r="H55" s="477" t="str">
        <f>IF(OR(G55&gt;=0.3,G55&lt;=-0.3),"超过30%","")</f>
        <v/>
      </c>
      <c r="I55" s="476">
        <f>IF(I48&lt;E48,E48/I48-1,I48/E48-1)</f>
        <v>5.7142857142857162E-2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xr:uid="{00000000-0002-0000-1300-000000000000}">
      <formula1>办公建筑结构</formula1>
    </dataValidation>
    <dataValidation type="list" allowBlank="1" showInputMessage="1" showErrorMessage="1" sqref="E24 G24 I24 C24" xr:uid="{00000000-0002-0000-1300-000001000000}">
      <formula1>环境</formula1>
    </dataValidation>
    <dataValidation type="list" allowBlank="1" showInputMessage="1" showErrorMessage="1" sqref="E18 G18 I18 C18" xr:uid="{00000000-0002-0000-1300-000002000000}">
      <formula1>交通便捷度</formula1>
    </dataValidation>
    <dataValidation type="list" allowBlank="1" showInputMessage="1" showErrorMessage="1" sqref="E20 G20 C20 I20" xr:uid="{00000000-0002-0000-1300-000003000000}">
      <formula1>公共配套设施</formula1>
    </dataValidation>
    <dataValidation type="list" allowBlank="1" showInputMessage="1" showErrorMessage="1" sqref="C44 E44 G44 I44" xr:uid="{00000000-0002-0000-1300-000004000000}">
      <formula1>内部装修维护情况</formula1>
    </dataValidation>
    <dataValidation type="list" allowBlank="1" showInputMessage="1" showErrorMessage="1" sqref="C10 E10 G10 I10" xr:uid="{00000000-0002-0000-1300-000005000000}">
      <formula1>土地年限区间</formula1>
    </dataValidation>
    <dataValidation type="list" allowBlank="1" showInputMessage="1" showErrorMessage="1" sqref="E9 G9 I9" xr:uid="{00000000-0002-0000-1300-000006000000}">
      <formula1>办公用途</formula1>
    </dataValidation>
    <dataValidation type="list" allowBlank="1" showInputMessage="1" showErrorMessage="1" sqref="C16 E16 G16 I16" xr:uid="{00000000-0002-0000-1300-000007000000}">
      <formula1>办公集聚程度</formula1>
    </dataValidation>
    <dataValidation type="list" allowBlank="1" showInputMessage="1" showErrorMessage="1" sqref="G26 C26 E26 I26" xr:uid="{00000000-0002-0000-1300-000008000000}">
      <formula1>办公道路级别</formula1>
    </dataValidation>
    <dataValidation type="list" allowBlank="1" showInputMessage="1" showErrorMessage="1" sqref="C28 E28 G28 I28" xr:uid="{00000000-0002-0000-1300-000009000000}">
      <formula1>办公朝向</formula1>
    </dataValidation>
    <dataValidation type="list" allowBlank="1" showInputMessage="1" showErrorMessage="1" sqref="C27 E27 G27 I27" xr:uid="{00000000-0002-0000-1300-00000A000000}">
      <formula1>办公楼层</formula1>
    </dataValidation>
    <dataValidation type="list" allowBlank="1" showInputMessage="1" showErrorMessage="1" sqref="C33 E33 G33 I33" xr:uid="{00000000-0002-0000-1300-00000B000000}">
      <formula1>办公建筑类型</formula1>
    </dataValidation>
    <dataValidation type="list" allowBlank="1" showInputMessage="1" showErrorMessage="1" sqref="C36 E36 G36 I36" xr:uid="{00000000-0002-0000-1300-00000C000000}">
      <formula1>办公公共部分装修</formula1>
    </dataValidation>
    <dataValidation type="list" allowBlank="1" showInputMessage="1" showErrorMessage="1" sqref="C38 E38 G38 I38" xr:uid="{00000000-0002-0000-1300-00000D000000}">
      <formula1>写字楼等级</formula1>
    </dataValidation>
    <dataValidation type="list" allowBlank="1" showInputMessage="1" showErrorMessage="1" sqref="C39 E39 G39 I39" xr:uid="{00000000-0002-0000-1300-00000E000000}">
      <formula1>办公物业管理</formula1>
    </dataValidation>
    <dataValidation type="list" allowBlank="1" showInputMessage="1" showErrorMessage="1" sqref="C40 E40 G40 I40" xr:uid="{00000000-0002-0000-1300-00000F000000}">
      <formula1>办公基础设施水平</formula1>
    </dataValidation>
    <dataValidation type="list" allowBlank="1" showInputMessage="1" showErrorMessage="1" sqref="C41 E41 G41 I41" xr:uid="{00000000-0002-0000-1300-000010000000}">
      <formula1>办公层高</formula1>
    </dataValidation>
    <dataValidation type="list" allowBlank="1" showInputMessage="1" showErrorMessage="1" sqref="C43 E43 G43 I43" xr:uid="{00000000-0002-0000-1300-000011000000}">
      <formula1>办公内部装修</formula1>
    </dataValidation>
    <dataValidation type="list" allowBlank="1" showInputMessage="1" showErrorMessage="1" sqref="C8 E8 G8 I8" xr:uid="{00000000-0002-0000-1300-000012000000}">
      <formula1>办公交易情况</formula1>
    </dataValidation>
    <dataValidation type="list" allowBlank="1" showInputMessage="1" showErrorMessage="1" sqref="C1" xr:uid="{00000000-0002-0000-1300-000013000000}">
      <formula1>"估价对象,仅计算典型户型"</formula1>
    </dataValidation>
    <dataValidation type="list" allowBlank="1" showInputMessage="1" showErrorMessage="1" sqref="C22 E22 G22 I22" xr:uid="{00000000-0002-0000-1300-000014000000}">
      <formula1>基础设施水平</formula1>
    </dataValidation>
    <dataValidation type="list" allowBlank="1" showInputMessage="1" showErrorMessage="1" sqref="E1" xr:uid="{00000000-0002-0000-1300-000015000000}">
      <formula1>"售价,租金"</formula1>
    </dataValidation>
    <dataValidation type="list" allowBlank="1" showInputMessage="1" showErrorMessage="1" sqref="D2" xr:uid="{00000000-0002-0000-1300-000016000000}">
      <formula1>"需扣减承租人权益,——"</formula1>
    </dataValidation>
    <dataValidation type="list" allowBlank="1" showInputMessage="1" showErrorMessage="1" sqref="G2" xr:uid="{00000000-0002-0000-1300-000017000000}">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28" zoomScale="70" zoomScaleNormal="70" zoomScaleSheetLayoutView="100" workbookViewId="0">
      <selection activeCell="G33" sqref="G33"/>
    </sheetView>
  </sheetViews>
  <sheetFormatPr defaultColWidth="9" defaultRowHeight="15"/>
  <cols>
    <col min="1" max="1" width="9" style="305" customWidth="1"/>
    <col min="2" max="2" width="20.6640625" style="368" customWidth="1"/>
    <col min="3" max="3" width="11.88671875" style="368" customWidth="1"/>
    <col min="4" max="4" width="40.44140625" style="305" customWidth="1"/>
    <col min="5" max="5" width="15.77734375" style="305" customWidth="1"/>
    <col min="6" max="6" width="10.6640625" style="305" customWidth="1"/>
    <col min="7" max="7" width="4.88671875" style="305" customWidth="1"/>
    <col min="8" max="8" width="8.44140625" style="305" customWidth="1"/>
    <col min="9" max="9" width="21.21875" style="305" customWidth="1"/>
    <col min="10" max="10" width="12.21875" style="305" customWidth="1"/>
    <col min="11" max="11" width="40.109375" style="358" customWidth="1"/>
    <col min="12" max="12" width="18.33203125" style="305" customWidth="1"/>
    <col min="13" max="13" width="13" style="305" customWidth="1"/>
    <col min="14" max="14" width="13.109375" style="783" customWidth="1"/>
    <col min="15" max="15" width="5.21875" style="783" customWidth="1"/>
    <col min="16" max="16" width="24.88671875" style="783" customWidth="1"/>
    <col min="17" max="17" width="13.77734375" style="787" customWidth="1"/>
    <col min="18" max="18" width="26.109375" style="783" customWidth="1"/>
    <col min="19" max="19" width="1.44140625" style="783" customWidth="1"/>
    <col min="20" max="37" width="9" style="783"/>
    <col min="38" max="16384" width="9" style="305"/>
  </cols>
  <sheetData>
    <row r="1" spans="1:37" s="303" customFormat="1" ht="21.6">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3982</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30954</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2877309</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2873717</v>
      </c>
      <c r="D6" s="76" t="s">
        <v>2791</v>
      </c>
      <c r="E6" s="315" t="s">
        <v>2101</v>
      </c>
      <c r="F6" s="316">
        <f>'数据-取费表'!B29</f>
        <v>6.8</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0.1</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3592</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4401752</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6288217</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120126</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57244</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5.6000000000000001E-2</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52821</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99251</v>
      </c>
      <c r="D20" s="340" t="s">
        <v>2149</v>
      </c>
      <c r="E20" s="315" t="s">
        <v>2150</v>
      </c>
      <c r="F20" s="338">
        <f>'数据-取费表'!E25</f>
        <v>0.02</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0.02</v>
      </c>
      <c r="D21" s="340" t="s">
        <v>2156</v>
      </c>
      <c r="E21" s="315" t="s">
        <v>2157</v>
      </c>
      <c r="F21" s="338">
        <f>'数据-取费表'!E26</f>
        <v>0.02</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62882</v>
      </c>
      <c r="K22" s="1873" t="s">
        <v>2162</v>
      </c>
      <c r="L22" s="315" t="s">
        <v>2125</v>
      </c>
      <c r="M22" s="346">
        <f>'数据-取费表'!B44</f>
        <v>0.01</v>
      </c>
    </row>
    <row r="23" spans="1:37" ht="18" customHeight="1">
      <c r="A23" s="333" t="s">
        <v>2142</v>
      </c>
      <c r="B23" s="315" t="s">
        <v>2163</v>
      </c>
      <c r="C23" s="14">
        <f ca="1">IF('数据-取费表'!B23&lt;=1,ROUND(C19*F24*F23/2,0)+ROUND(C20*F24*F23/2,0),ROUND(C19*(POWER((1+F24),F23/2)-1),0)+ROUND(C20*(POWER((1+F24),F23/2)-1),0))</f>
        <v>240436</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2E-3</v>
      </c>
    </row>
    <row r="24" spans="1:37" s="337" customFormat="1" ht="18" customHeight="1" thickBot="1">
      <c r="A24" s="333" t="s">
        <v>2168</v>
      </c>
      <c r="B24" s="315" t="s">
        <v>2169</v>
      </c>
      <c r="C24" s="14">
        <f ca="1">ROUND(IF('数据-取费表'!B23&lt;=1,F21*F24*F23/2,F21*(POWER((1+F24),F23/2)-1)),4)</f>
        <v>1E-3</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-120126</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506181</v>
      </c>
      <c r="D26" s="340" t="s">
        <v>2178</v>
      </c>
      <c r="E26" s="326" t="s">
        <v>2179</v>
      </c>
      <c r="F26" s="325">
        <f>'数据-取费表'!E28</f>
        <v>0.1</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2E-3</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5.33E-2</v>
      </c>
      <c r="D28" s="340" t="s">
        <v>2190</v>
      </c>
      <c r="E28" s="315" t="s">
        <v>2150</v>
      </c>
      <c r="F28" s="338">
        <f>'数据-取费表'!E29</f>
        <v>5.6000000000000001E-2</v>
      </c>
      <c r="G28" s="783"/>
      <c r="H28" s="321"/>
      <c r="I28" s="322"/>
      <c r="J28" s="323"/>
      <c r="K28" s="345"/>
      <c r="L28" s="315" t="s">
        <v>2191</v>
      </c>
      <c r="M28" s="325">
        <f>'数据-取费表'!B37</f>
        <v>0</v>
      </c>
    </row>
    <row r="29" spans="1:37" ht="18" customHeight="1" thickBot="1">
      <c r="A29" s="1412" t="s">
        <v>2192</v>
      </c>
      <c r="B29" s="1413" t="s">
        <v>2193</v>
      </c>
      <c r="C29" s="1414">
        <f ca="1">ROUND((C19+C20+C23+C26)/(1-F21-C24-C27-C28),0)</f>
        <v>6288217</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600959</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486113</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153265</v>
      </c>
      <c r="D32" s="1873" t="s">
        <v>2818</v>
      </c>
      <c r="E32" s="315" t="s">
        <v>2150</v>
      </c>
      <c r="F32" s="348">
        <f>'数据-取费表'!E29</f>
        <v>5.6000000000000001E-2</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328425</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352140</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62882</v>
      </c>
      <c r="D36" s="1873" t="s">
        <v>2206</v>
      </c>
      <c r="E36" s="315" t="s">
        <v>2150</v>
      </c>
      <c r="F36" s="346">
        <f>'数据-取费表'!B44</f>
        <v>0.01</v>
      </c>
      <c r="G36" s="783"/>
      <c r="H36" s="1212"/>
      <c r="I36" s="365" t="s">
        <v>2207</v>
      </c>
      <c r="J36" s="366"/>
      <c r="K36" s="1216"/>
      <c r="L36" s="1212"/>
      <c r="M36" s="1212"/>
    </row>
    <row r="37" spans="1:18" ht="18" customHeight="1">
      <c r="A37" s="333" t="s">
        <v>2154</v>
      </c>
      <c r="B37" s="315" t="s">
        <v>2165</v>
      </c>
      <c r="C37" s="14">
        <f ca="1">ROUND(C13*F37,0)</f>
        <v>8804</v>
      </c>
      <c r="D37" s="1873" t="s">
        <v>2166</v>
      </c>
      <c r="E37" s="315" t="s">
        <v>2167</v>
      </c>
      <c r="F37" s="347">
        <f>'数据-取费表'!B45</f>
        <v>2E-3</v>
      </c>
      <c r="G37" s="783"/>
      <c r="H37" s="1212"/>
      <c r="I37" s="212" t="s">
        <v>2208</v>
      </c>
      <c r="J37" s="367"/>
      <c r="K37" s="1216"/>
      <c r="L37" s="1212"/>
      <c r="M37" s="1212"/>
    </row>
    <row r="38" spans="1:18" ht="18" customHeight="1" thickBot="1">
      <c r="A38" s="1412" t="s">
        <v>2159</v>
      </c>
      <c r="B38" s="1413" t="s">
        <v>2148</v>
      </c>
      <c r="C38" s="1414">
        <f ca="1">ROUND(C5*F38,0)</f>
        <v>43160</v>
      </c>
      <c r="D38" s="1415" t="s">
        <v>2171</v>
      </c>
      <c r="E38" s="1413" t="s">
        <v>2167</v>
      </c>
      <c r="F38" s="1408">
        <f>'数据-取费表'!B46</f>
        <v>1.4999999999999999E-2</v>
      </c>
      <c r="G38" s="783"/>
      <c r="H38" s="1212"/>
      <c r="I38" s="361" t="s">
        <v>2209</v>
      </c>
      <c r="J38" s="216">
        <f ca="1">ROUND(J34/C39,3)</f>
        <v>0.155</v>
      </c>
      <c r="K38" s="1217"/>
      <c r="L38" s="1212"/>
      <c r="M38" s="1212"/>
    </row>
    <row r="39" spans="1:18" ht="18" customHeight="1" thickTop="1">
      <c r="A39" s="1402" t="s">
        <v>22</v>
      </c>
      <c r="B39" s="1417" t="s">
        <v>2210</v>
      </c>
      <c r="C39" s="323">
        <f ca="1">C5-C30</f>
        <v>2276350</v>
      </c>
      <c r="D39" s="1418" t="s">
        <v>2211</v>
      </c>
      <c r="E39" s="1419"/>
      <c r="F39" s="1420"/>
      <c r="G39" s="783"/>
      <c r="H39" s="1212"/>
      <c r="I39" s="361" t="s">
        <v>2212</v>
      </c>
      <c r="J39" s="216">
        <f ca="1">1-J38</f>
        <v>0.84499999999999997</v>
      </c>
      <c r="K39" s="1217"/>
      <c r="L39" s="1212"/>
      <c r="M39" s="1212"/>
    </row>
    <row r="40" spans="1:18" s="783" customFormat="1" ht="18" customHeight="1">
      <c r="A40" s="312" t="s">
        <v>23</v>
      </c>
      <c r="B40" s="313" t="s">
        <v>2213</v>
      </c>
      <c r="C40" s="314">
        <f ca="1">ROUND(C39*(1-((1+F42)/(1+F40))^F41)/(F40-F42),0)</f>
        <v>39821955</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0.111</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0.88900000000000001</v>
      </c>
      <c r="K42" s="1216"/>
      <c r="L42" s="1219"/>
      <c r="M42" s="1219"/>
      <c r="Q42" s="787"/>
    </row>
    <row r="43" spans="1:18" s="783" customFormat="1" ht="18" customHeight="1" thickBot="1">
      <c r="A43" s="352" t="s">
        <v>24</v>
      </c>
      <c r="B43" s="353" t="s">
        <v>2216</v>
      </c>
      <c r="C43" s="354">
        <f ca="1">ROUND(C40/F43,0)</f>
        <v>30954</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39821955</v>
      </c>
      <c r="R45" s="1352" t="s">
        <v>2225</v>
      </c>
    </row>
    <row r="46" spans="1:18" s="783" customFormat="1" ht="18" customHeight="1" thickBot="1">
      <c r="A46" s="768"/>
      <c r="D46" s="768"/>
      <c r="E46" s="768"/>
      <c r="F46" s="768"/>
      <c r="K46" s="784"/>
      <c r="O46" s="1349" t="s">
        <v>954</v>
      </c>
      <c r="P46" s="1350" t="s">
        <v>2226</v>
      </c>
      <c r="Q46" s="1351" t="str">
        <f>J61</f>
        <v>0</v>
      </c>
      <c r="R46" s="1352" t="s">
        <v>2227</v>
      </c>
    </row>
    <row r="47" spans="1:18" s="783" customFormat="1" ht="22.2" thickBot="1">
      <c r="A47" s="2320" t="s">
        <v>2228</v>
      </c>
      <c r="C47" s="1285">
        <f ca="1">IF(C2="元",C69-C40,ROUND((C69-C40)/10000,0))</f>
        <v>-4777</v>
      </c>
      <c r="D47" s="2321" t="str">
        <f>C2</f>
        <v>万元</v>
      </c>
      <c r="E47" s="768"/>
      <c r="F47" s="768"/>
      <c r="I47" s="2322" t="s">
        <v>2229</v>
      </c>
      <c r="J47" s="1325"/>
      <c r="K47" s="1326"/>
      <c r="L47" s="1339" t="str">
        <f>IF(M48="住宅",0,IF(L49&gt;J52,L61,J61))</f>
        <v>0</v>
      </c>
      <c r="O47" s="1353" t="s">
        <v>955</v>
      </c>
      <c r="P47" s="1350" t="s">
        <v>2230</v>
      </c>
      <c r="Q47" s="1351">
        <f ca="1">C29</f>
        <v>6288217</v>
      </c>
      <c r="R47" s="1352" t="s">
        <v>2225</v>
      </c>
    </row>
    <row r="48" spans="1:18" s="783" customFormat="1" ht="16.2"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t="e">
        <f>J59</f>
        <v>#VALUE!</v>
      </c>
      <c r="R48" s="1352"/>
    </row>
    <row r="49" spans="1:18" s="783" customFormat="1" ht="16.2"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0.09</v>
      </c>
      <c r="R49" s="1352"/>
    </row>
    <row r="50" spans="1:18" s="783" customFormat="1" ht="16.2"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6.2"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3982</v>
      </c>
      <c r="R51" s="1352" t="s">
        <v>960</v>
      </c>
    </row>
    <row r="52" spans="1:18" s="783" customFormat="1" ht="16.2" thickBot="1">
      <c r="A52" s="317"/>
      <c r="B52" s="318"/>
      <c r="C52" s="319"/>
      <c r="D52" s="320"/>
      <c r="E52" s="315" t="s">
        <v>2104</v>
      </c>
      <c r="F52" s="316">
        <f>F8</f>
        <v>365</v>
      </c>
      <c r="I52" s="2331" t="s">
        <v>2251</v>
      </c>
      <c r="J52" s="1330">
        <f>IF(J50="",J51,J50+J51-YEAR('数据-取费表'!B2))</f>
        <v>36</v>
      </c>
      <c r="K52" s="2332" t="s">
        <v>2252</v>
      </c>
      <c r="L52" s="1331">
        <f ca="1">ROUND(-PV('数据-取费表'!B15,L49,(C40-C13*J35)),0)</f>
        <v>544390876</v>
      </c>
      <c r="O52" s="1343" t="s">
        <v>2253</v>
      </c>
      <c r="P52" s="1344"/>
      <c r="Q52" s="1340"/>
      <c r="R52" s="1344"/>
    </row>
    <row r="53" spans="1:18" s="783" customFormat="1" ht="16.2" thickBot="1">
      <c r="A53" s="321"/>
      <c r="B53" s="322"/>
      <c r="C53" s="323"/>
      <c r="D53" s="324"/>
      <c r="E53" s="315" t="s">
        <v>2105</v>
      </c>
      <c r="F53" s="1338"/>
      <c r="I53" s="2333" t="s">
        <v>2254</v>
      </c>
      <c r="J53" s="1332">
        <v>0.09</v>
      </c>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82" t="s">
        <v>2790</v>
      </c>
      <c r="L54" s="3083"/>
      <c r="O54" s="1349" t="s">
        <v>953</v>
      </c>
      <c r="P54" s="1350" t="s">
        <v>2224</v>
      </c>
      <c r="Q54" s="1351">
        <f ca="1">C40+J29</f>
        <v>39821955</v>
      </c>
      <c r="R54" s="1352" t="s">
        <v>2225</v>
      </c>
    </row>
    <row r="55" spans="1:18" s="783" customFormat="1" ht="19.2"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19.2" thickBot="1">
      <c r="A56" s="1406" t="s">
        <v>2113</v>
      </c>
      <c r="B56" s="2318" t="s">
        <v>2114</v>
      </c>
      <c r="C56" s="1407"/>
      <c r="D56" s="1423"/>
      <c r="E56" s="2337"/>
      <c r="F56" s="1483"/>
      <c r="I56" s="2338" t="s">
        <v>2258</v>
      </c>
      <c r="J56" s="1852" t="e">
        <f>ROUND(IF(J48="钢混",J58/J51,1-(1-2%)*(J51-J58)/J51),3)</f>
        <v>#VALUE!</v>
      </c>
      <c r="K56" s="2339" t="s">
        <v>2259</v>
      </c>
      <c r="L56" s="1334"/>
      <c r="O56" s="1353" t="s">
        <v>955</v>
      </c>
      <c r="P56" s="1350" t="s">
        <v>2260</v>
      </c>
      <c r="Q56" s="1351">
        <f>IF(L56="比较法",L50,IF(L56="基准地价",L51,0))</f>
        <v>0</v>
      </c>
      <c r="R56" s="1352" t="s">
        <v>2225</v>
      </c>
    </row>
    <row r="57" spans="1:18" s="783" customFormat="1" ht="48" thickTop="1" thickBot="1">
      <c r="A57" s="1402">
        <v>2</v>
      </c>
      <c r="B57" s="1403" t="s">
        <v>2115</v>
      </c>
      <c r="C57" s="1482">
        <f ca="1">C13</f>
        <v>4401752</v>
      </c>
      <c r="D57" s="1276"/>
      <c r="E57" s="1277"/>
      <c r="F57" s="1284"/>
      <c r="I57" s="2340" t="s">
        <v>2261</v>
      </c>
      <c r="J57" s="1337" t="s">
        <v>2812</v>
      </c>
      <c r="K57" s="2326" t="s">
        <v>2262</v>
      </c>
      <c r="L57" s="1111" t="str">
        <f>IF(L49&lt;J52,"——",L49-J52)</f>
        <v>——</v>
      </c>
      <c r="O57" s="1353" t="s">
        <v>956</v>
      </c>
      <c r="P57" s="1350" t="s">
        <v>2263</v>
      </c>
      <c r="Q57" s="1354">
        <f>L53</f>
        <v>0</v>
      </c>
      <c r="R57" s="1352"/>
    </row>
    <row r="58" spans="1:18" s="783" customFormat="1" ht="31.8" thickBot="1">
      <c r="A58" s="1283"/>
      <c r="B58" s="315" t="s">
        <v>2193</v>
      </c>
      <c r="C58" s="184">
        <f ca="1">C29</f>
        <v>6288217</v>
      </c>
      <c r="D58" s="1276"/>
      <c r="E58" s="1277"/>
      <c r="F58" s="1284"/>
      <c r="I58" s="2341" t="s">
        <v>2264</v>
      </c>
      <c r="J58" s="1336" t="str">
        <f>IF(OR(M48="住宅",J52&lt;L49,J57="是"),"——",J52-L49)</f>
        <v>——</v>
      </c>
      <c r="K58" s="2326" t="s">
        <v>2265</v>
      </c>
      <c r="L58" s="1111" t="str">
        <f>IF(L49&lt;J52,"——",IF(L56="比较法",L50,IF(L56="基准地价",L51,L52)))</f>
        <v>——</v>
      </c>
      <c r="O58" s="1353" t="s">
        <v>957</v>
      </c>
      <c r="P58" s="1350" t="s">
        <v>2266</v>
      </c>
      <c r="Q58" s="1351" t="e">
        <f>L59</f>
        <v>#DIV/0!</v>
      </c>
      <c r="R58" s="1352" t="s">
        <v>2267</v>
      </c>
    </row>
    <row r="59" spans="1:18" s="783" customFormat="1" ht="31.8" thickBot="1">
      <c r="A59" s="328" t="s">
        <v>14</v>
      </c>
      <c r="B59" s="329" t="s">
        <v>2196</v>
      </c>
      <c r="C59" s="330">
        <f ca="1">ROUND(C60+C65+C66+C67,0)</f>
        <v>604319</v>
      </c>
      <c r="D59" s="12" t="s">
        <v>2197</v>
      </c>
      <c r="E59" s="1878"/>
      <c r="F59" s="16"/>
      <c r="I59" s="2341" t="s">
        <v>2268</v>
      </c>
      <c r="J59" s="1851" t="e">
        <f>IF(J56&lt;0.4,0.4,J56)</f>
        <v>#VALUE!</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31.8" thickBot="1">
      <c r="A60" s="333" t="s">
        <v>15</v>
      </c>
      <c r="B60" s="315" t="s">
        <v>2137</v>
      </c>
      <c r="C60" s="14">
        <f ca="1">ROUND(IF(项目基本情况!B7="自然人",C49*F60,C61+C62+C63),0)</f>
        <v>532633</v>
      </c>
      <c r="D60" s="1868" t="s">
        <v>2198</v>
      </c>
      <c r="E60" s="1873" t="s">
        <v>2199</v>
      </c>
      <c r="F60" s="339" t="str">
        <f>IF(项目基本情况!B7="企业","",IF('数据-取费表'!B10="住宅",5%,IF(F50*F51*F52/12/(1+'数据-取费表'!F30)&gt;20000,12%,7%)))</f>
        <v/>
      </c>
      <c r="I60" s="2341" t="s">
        <v>2271</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3982</v>
      </c>
      <c r="R60" s="1352" t="s">
        <v>960</v>
      </c>
    </row>
    <row r="61" spans="1:18" s="783" customFormat="1" ht="16.2" thickBot="1">
      <c r="A61" s="333" t="s">
        <v>16</v>
      </c>
      <c r="B61" s="315" t="s">
        <v>2200</v>
      </c>
      <c r="C61" s="14">
        <f ca="1">IF(项目基本情况!B7="自然人","——",ROUND(C49*F61/(1+'数据-取费表'!F30),0))</f>
        <v>0</v>
      </c>
      <c r="D61" s="1873" t="s">
        <v>2201</v>
      </c>
      <c r="E61" s="315" t="s">
        <v>2150</v>
      </c>
      <c r="F61" s="348">
        <f t="shared" ref="F61:F67" si="0">F32</f>
        <v>5.6000000000000001E-2</v>
      </c>
      <c r="I61" s="2342" t="s">
        <v>2272</v>
      </c>
      <c r="J61" s="1335" t="str">
        <f>IF(OR(M48="住宅",J52&lt;L49,J57="是"),"0",ROUND(J60/(1+J53)^J54,0))</f>
        <v>0</v>
      </c>
      <c r="K61" s="2343" t="s">
        <v>2273</v>
      </c>
      <c r="L61" s="1335">
        <f>IF(OR(M48="住宅",L49&lt;J52),0,ROUND(L58*(L59/L60-1),0))</f>
        <v>0</v>
      </c>
      <c r="O61" s="1343" t="s">
        <v>2274</v>
      </c>
      <c r="P61" s="1344"/>
      <c r="Q61" s="1340"/>
      <c r="R61" s="1344"/>
    </row>
    <row r="62" spans="1:18" s="783" customFormat="1" ht="16.2" thickBot="1">
      <c r="A62" s="333" t="s">
        <v>17</v>
      </c>
      <c r="B62" s="315" t="s">
        <v>2275</v>
      </c>
      <c r="C62" s="14">
        <f ca="1">IF(项目基本情况!B7="自然人","——",IF(D62="按租金收入计税",ROUND(C49*F62,0),IF(D62="按房产原值计税",ROUND(C58*F62*0.7,0),'数据-取费表'!B43)))</f>
        <v>528210</v>
      </c>
      <c r="D62" s="1992" t="s">
        <v>2147</v>
      </c>
      <c r="E62" s="315" t="s">
        <v>2150</v>
      </c>
      <c r="F62" s="338">
        <f t="shared" si="0"/>
        <v>0.12</v>
      </c>
      <c r="O62" s="1345" t="s">
        <v>2220</v>
      </c>
      <c r="P62" s="1346" t="s">
        <v>2221</v>
      </c>
      <c r="Q62" s="1347" t="s">
        <v>2222</v>
      </c>
      <c r="R62" s="1348" t="s">
        <v>2223</v>
      </c>
    </row>
    <row r="63" spans="1:18" s="783" customFormat="1" ht="16.2"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39821955</v>
      </c>
      <c r="R63" s="1352" t="s">
        <v>2225</v>
      </c>
    </row>
    <row r="64" spans="1:18" s="783" customFormat="1" ht="19.2"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1.6" thickBot="1">
      <c r="A65" s="333" t="s">
        <v>19</v>
      </c>
      <c r="B65" s="315" t="s">
        <v>2205</v>
      </c>
      <c r="C65" s="14">
        <f ca="1">ROUND(C58*F65,0)</f>
        <v>62882</v>
      </c>
      <c r="D65" s="1873" t="s">
        <v>2206</v>
      </c>
      <c r="E65" s="315" t="s">
        <v>2150</v>
      </c>
      <c r="F65" s="346">
        <f t="shared" si="0"/>
        <v>0.01</v>
      </c>
      <c r="I65" s="2344" t="s">
        <v>2286</v>
      </c>
      <c r="J65" s="1855">
        <v>50</v>
      </c>
      <c r="K65" s="1855">
        <v>35</v>
      </c>
      <c r="L65" s="1855">
        <v>60</v>
      </c>
      <c r="M65" s="1854">
        <v>0</v>
      </c>
      <c r="O65" s="1353" t="s">
        <v>955</v>
      </c>
      <c r="P65" s="1350" t="s">
        <v>2260</v>
      </c>
      <c r="Q65" s="1355">
        <f ca="1">L52</f>
        <v>544390876</v>
      </c>
      <c r="R65" s="1356" t="s">
        <v>2287</v>
      </c>
    </row>
    <row r="66" spans="1:18" s="783" customFormat="1" ht="19.2" thickBot="1">
      <c r="A66" s="333" t="s">
        <v>20</v>
      </c>
      <c r="B66" s="315" t="s">
        <v>2165</v>
      </c>
      <c r="C66" s="14">
        <f ca="1">ROUND(C57*F66,0)</f>
        <v>8804</v>
      </c>
      <c r="D66" s="1873" t="s">
        <v>2166</v>
      </c>
      <c r="E66" s="315" t="s">
        <v>2167</v>
      </c>
      <c r="F66" s="347">
        <f t="shared" si="0"/>
        <v>2E-3</v>
      </c>
      <c r="I66" s="2344" t="s">
        <v>2288</v>
      </c>
      <c r="J66" s="1855">
        <v>40</v>
      </c>
      <c r="K66" s="1855">
        <v>30</v>
      </c>
      <c r="L66" s="1855">
        <v>50</v>
      </c>
      <c r="M66" s="1853">
        <v>0.02</v>
      </c>
      <c r="O66" s="1353" t="s">
        <v>956</v>
      </c>
      <c r="P66" s="1357" t="s">
        <v>2289</v>
      </c>
      <c r="Q66" s="1351">
        <f ca="1">ROUND(Q67-Q68*Q69,0)</f>
        <v>1924210</v>
      </c>
      <c r="R66" s="1352"/>
    </row>
    <row r="67" spans="1:18" s="783" customFormat="1" ht="16.2" thickBot="1">
      <c r="A67" s="333" t="s">
        <v>21</v>
      </c>
      <c r="B67" s="315" t="s">
        <v>2148</v>
      </c>
      <c r="C67" s="14">
        <f ca="1">ROUND(C49*F67,0)</f>
        <v>0</v>
      </c>
      <c r="D67" s="1873" t="s">
        <v>2171</v>
      </c>
      <c r="E67" s="315" t="s">
        <v>2167</v>
      </c>
      <c r="F67" s="325">
        <f t="shared" si="0"/>
        <v>1.4999999999999999E-2</v>
      </c>
      <c r="O67" s="1353" t="s">
        <v>961</v>
      </c>
      <c r="P67" s="1357" t="s">
        <v>2290</v>
      </c>
      <c r="Q67" s="1351">
        <f ca="1">C39</f>
        <v>2276350</v>
      </c>
      <c r="R67" s="1352" t="s">
        <v>2225</v>
      </c>
    </row>
    <row r="68" spans="1:18" ht="24.6" thickBot="1">
      <c r="A68" s="328" t="s">
        <v>22</v>
      </c>
      <c r="B68" s="85" t="s">
        <v>2175</v>
      </c>
      <c r="C68" s="330">
        <f ca="1">C49-C59</f>
        <v>-604319</v>
      </c>
      <c r="D68" s="1868" t="s">
        <v>2176</v>
      </c>
      <c r="E68" s="1872"/>
      <c r="F68" s="349"/>
      <c r="H68" s="783"/>
      <c r="I68" s="783"/>
      <c r="J68" s="783"/>
      <c r="K68" s="783"/>
      <c r="L68" s="783"/>
      <c r="M68" s="783"/>
      <c r="O68" s="1353" t="s">
        <v>962</v>
      </c>
      <c r="P68" s="1357" t="s">
        <v>2291</v>
      </c>
      <c r="Q68" s="1351">
        <f ca="1">C13</f>
        <v>4401752</v>
      </c>
      <c r="R68" s="1352" t="s">
        <v>2225</v>
      </c>
    </row>
    <row r="69" spans="1:18" ht="16.2" thickBot="1">
      <c r="A69" s="312" t="s">
        <v>23</v>
      </c>
      <c r="B69" s="313" t="s">
        <v>2213</v>
      </c>
      <c r="C69" s="314">
        <f ca="1">ROUND(C68*(1-((1+F71)/(1+F69))^F70)/(F69-F71),0)</f>
        <v>-7944565</v>
      </c>
      <c r="D69" s="342" t="s">
        <v>2181</v>
      </c>
      <c r="E69" s="315" t="s">
        <v>2182</v>
      </c>
      <c r="F69" s="325">
        <f>F40</f>
        <v>5.5E-2</v>
      </c>
      <c r="H69" s="783"/>
      <c r="I69" s="783"/>
      <c r="J69" s="783"/>
      <c r="K69" s="783"/>
      <c r="L69" s="783"/>
      <c r="M69" s="783"/>
      <c r="O69" s="1353" t="s">
        <v>963</v>
      </c>
      <c r="P69" s="1357" t="s">
        <v>2292</v>
      </c>
      <c r="Q69" s="1354">
        <f>J35</f>
        <v>0.08</v>
      </c>
      <c r="R69" s="1352"/>
    </row>
    <row r="70" spans="1:18" ht="16.2"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19.2" thickBot="1">
      <c r="A71" s="321"/>
      <c r="B71" s="322"/>
      <c r="C71" s="323"/>
      <c r="D71" s="345"/>
      <c r="E71" s="315" t="s">
        <v>2191</v>
      </c>
      <c r="F71" s="1338"/>
      <c r="H71" s="783"/>
      <c r="M71" s="783"/>
      <c r="O71" s="1353" t="s">
        <v>958</v>
      </c>
      <c r="P71" s="1350" t="s">
        <v>2266</v>
      </c>
      <c r="Q71" s="1351" t="e">
        <f>L59</f>
        <v>#DIV/0!</v>
      </c>
      <c r="R71" s="1352" t="s">
        <v>2267</v>
      </c>
    </row>
    <row r="72" spans="1:18" ht="16.2" thickBot="1">
      <c r="A72" s="352" t="s">
        <v>24</v>
      </c>
      <c r="B72" s="353" t="s">
        <v>2216</v>
      </c>
      <c r="C72" s="354">
        <f ca="1">ROUND(C69/F72,0)</f>
        <v>-6175</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6" thickBot="1">
      <c r="A73" s="783"/>
      <c r="B73" s="787"/>
      <c r="C73" s="787"/>
      <c r="D73" s="783"/>
      <c r="E73" s="783"/>
      <c r="F73" s="783"/>
      <c r="O73" s="1349" t="s">
        <v>959</v>
      </c>
      <c r="P73" s="1350" t="str">
        <f>IF(C2="元","收益价值(元)","收益价值(万元)")</f>
        <v>收益价值(万元)</v>
      </c>
      <c r="Q73" s="1351">
        <f ca="1">ROUND(IF(C2="元",Q63+Q64,(Q63+Q64)/10000),0)</f>
        <v>3982</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100" t="s">
        <v>1020</v>
      </c>
      <c r="B1" s="3101"/>
      <c r="C1" s="3102"/>
      <c r="D1" s="3103">
        <f>SUM(I10,I15,I20,I21,I23)</f>
        <v>0</v>
      </c>
      <c r="E1" s="3103"/>
      <c r="F1" s="3103"/>
      <c r="G1" s="3103"/>
      <c r="H1" s="3103"/>
      <c r="I1" s="3104"/>
    </row>
    <row r="2" spans="1:9">
      <c r="A2" s="3090" t="s">
        <v>1021</v>
      </c>
      <c r="B2" s="3091" t="s">
        <v>970</v>
      </c>
      <c r="C2" s="3091"/>
      <c r="D2" s="1371" t="s">
        <v>971</v>
      </c>
      <c r="E2" s="1371" t="s">
        <v>972</v>
      </c>
      <c r="F2" s="1371" t="s">
        <v>973</v>
      </c>
      <c r="G2" s="1371" t="s">
        <v>974</v>
      </c>
      <c r="H2" s="1371" t="s">
        <v>975</v>
      </c>
      <c r="I2" s="1372" t="s">
        <v>976</v>
      </c>
    </row>
    <row r="3" spans="1:9">
      <c r="A3" s="3090"/>
      <c r="B3" s="3091" t="s">
        <v>977</v>
      </c>
      <c r="C3" s="3091"/>
      <c r="D3" s="1373"/>
      <c r="E3" s="1371"/>
      <c r="F3" s="1374"/>
      <c r="G3" s="1374"/>
      <c r="H3" s="1375"/>
      <c r="I3" s="1376">
        <f>ROUND(D3*E3*F3*G3*H3/10000,0)</f>
        <v>0</v>
      </c>
    </row>
    <row r="4" spans="1:9">
      <c r="A4" s="3090"/>
      <c r="B4" s="3091" t="s">
        <v>978</v>
      </c>
      <c r="C4" s="3091"/>
      <c r="D4" s="1373"/>
      <c r="E4" s="1371"/>
      <c r="F4" s="1374"/>
      <c r="G4" s="1374"/>
      <c r="H4" s="1375"/>
      <c r="I4" s="1376">
        <f t="shared" ref="I4:I9" si="0">ROUND(D4*E4*F4*G4*H4/10000,0)</f>
        <v>0</v>
      </c>
    </row>
    <row r="5" spans="1:9">
      <c r="A5" s="3090"/>
      <c r="B5" s="3091" t="s">
        <v>979</v>
      </c>
      <c r="C5" s="3091"/>
      <c r="D5" s="1373"/>
      <c r="E5" s="1371"/>
      <c r="F5" s="1374"/>
      <c r="G5" s="1374"/>
      <c r="H5" s="1375"/>
      <c r="I5" s="1376">
        <f t="shared" si="0"/>
        <v>0</v>
      </c>
    </row>
    <row r="6" spans="1:9">
      <c r="A6" s="3090"/>
      <c r="B6" s="3091" t="s">
        <v>980</v>
      </c>
      <c r="C6" s="3091"/>
      <c r="D6" s="1373"/>
      <c r="E6" s="1371"/>
      <c r="F6" s="1374"/>
      <c r="G6" s="1374"/>
      <c r="H6" s="1375"/>
      <c r="I6" s="1376">
        <f t="shared" si="0"/>
        <v>0</v>
      </c>
    </row>
    <row r="7" spans="1:9">
      <c r="A7" s="3090"/>
      <c r="B7" s="3091" t="s">
        <v>981</v>
      </c>
      <c r="C7" s="3091"/>
      <c r="D7" s="1373"/>
      <c r="E7" s="1371"/>
      <c r="F7" s="1374"/>
      <c r="G7" s="1374"/>
      <c r="H7" s="1375"/>
      <c r="I7" s="1376">
        <f t="shared" si="0"/>
        <v>0</v>
      </c>
    </row>
    <row r="8" spans="1:9">
      <c r="A8" s="3090"/>
      <c r="B8" s="3091" t="s">
        <v>982</v>
      </c>
      <c r="C8" s="3091"/>
      <c r="D8" s="1373"/>
      <c r="E8" s="1371"/>
      <c r="F8" s="1374"/>
      <c r="G8" s="1374"/>
      <c r="H8" s="1375"/>
      <c r="I8" s="1376">
        <f t="shared" si="0"/>
        <v>0</v>
      </c>
    </row>
    <row r="9" spans="1:9">
      <c r="A9" s="3090"/>
      <c r="B9" s="3091" t="s">
        <v>983</v>
      </c>
      <c r="C9" s="3091"/>
      <c r="D9" s="1373"/>
      <c r="E9" s="1371"/>
      <c r="F9" s="1374"/>
      <c r="G9" s="1374"/>
      <c r="H9" s="1375"/>
      <c r="I9" s="1376">
        <f t="shared" si="0"/>
        <v>0</v>
      </c>
    </row>
    <row r="10" spans="1:9">
      <c r="A10" s="3090"/>
      <c r="B10" s="3092" t="s">
        <v>984</v>
      </c>
      <c r="C10" s="3092"/>
      <c r="D10" s="1377">
        <v>527</v>
      </c>
      <c r="E10" s="1377" t="e">
        <f>ROUND(D1*10000/D10/H9,0)</f>
        <v>#DIV/0!</v>
      </c>
      <c r="F10" s="1378"/>
      <c r="G10" s="1378"/>
      <c r="H10" s="1379"/>
      <c r="I10" s="1380">
        <f>SUM(I3:I9)</f>
        <v>0</v>
      </c>
    </row>
    <row r="11" spans="1:9" ht="15.6">
      <c r="A11" s="3090" t="s">
        <v>1022</v>
      </c>
      <c r="B11" s="3091" t="s">
        <v>985</v>
      </c>
      <c r="C11" s="3091"/>
      <c r="D11" s="1373" t="s">
        <v>986</v>
      </c>
      <c r="E11" s="1373" t="s">
        <v>987</v>
      </c>
      <c r="F11" s="1374" t="s">
        <v>988</v>
      </c>
      <c r="G11" s="1374" t="s">
        <v>975</v>
      </c>
      <c r="H11" s="1381" t="s">
        <v>989</v>
      </c>
      <c r="I11" s="1372" t="s">
        <v>976</v>
      </c>
    </row>
    <row r="12" spans="1:9">
      <c r="A12" s="3090"/>
      <c r="B12" s="3091" t="s">
        <v>990</v>
      </c>
      <c r="C12" s="3091"/>
      <c r="D12" s="1373"/>
      <c r="E12" s="1373"/>
      <c r="F12" s="1374"/>
      <c r="G12" s="1375"/>
      <c r="H12" s="1382"/>
      <c r="I12" s="1372">
        <f>ROUND(D12*E12*F12*G12/10000,0)</f>
        <v>0</v>
      </c>
    </row>
    <row r="13" spans="1:9">
      <c r="A13" s="3090"/>
      <c r="B13" s="3091" t="s">
        <v>991</v>
      </c>
      <c r="C13" s="3091"/>
      <c r="D13" s="1373"/>
      <c r="E13" s="1373"/>
      <c r="F13" s="1374"/>
      <c r="G13" s="1375"/>
      <c r="H13" s="1382"/>
      <c r="I13" s="1372">
        <f>ROUND(D13*E13*F13*G13/10000,0)</f>
        <v>0</v>
      </c>
    </row>
    <row r="14" spans="1:9">
      <c r="A14" s="3090"/>
      <c r="B14" s="3091" t="s">
        <v>992</v>
      </c>
      <c r="C14" s="3091"/>
      <c r="D14" s="1373"/>
      <c r="E14" s="1373"/>
      <c r="F14" s="1374"/>
      <c r="G14" s="1375"/>
      <c r="H14" s="1382"/>
      <c r="I14" s="1372">
        <f>ROUND(D14*E14*F14*G14/10000,0)</f>
        <v>0</v>
      </c>
    </row>
    <row r="15" spans="1:9">
      <c r="A15" s="3090"/>
      <c r="B15" s="3092" t="s">
        <v>984</v>
      </c>
      <c r="C15" s="3092"/>
      <c r="D15" s="1377"/>
      <c r="E15" s="1377">
        <f>SUM(E12:E14)</f>
        <v>0</v>
      </c>
      <c r="F15" s="1378"/>
      <c r="G15" s="1375"/>
      <c r="H15" s="1382"/>
      <c r="I15" s="1383">
        <f>SUM(I12:I14)</f>
        <v>0</v>
      </c>
    </row>
    <row r="16" spans="1:9" ht="24">
      <c r="A16" s="3090" t="s">
        <v>1023</v>
      </c>
      <c r="B16" s="3091" t="s">
        <v>993</v>
      </c>
      <c r="C16" s="3091"/>
      <c r="D16" s="1373" t="s">
        <v>971</v>
      </c>
      <c r="E16" s="1384" t="s">
        <v>994</v>
      </c>
      <c r="F16" s="1374" t="s">
        <v>995</v>
      </c>
      <c r="G16" s="1375" t="s">
        <v>975</v>
      </c>
      <c r="H16" s="1381" t="s">
        <v>989</v>
      </c>
      <c r="I16" s="1372" t="s">
        <v>976</v>
      </c>
    </row>
    <row r="17" spans="1:9" ht="15.6">
      <c r="A17" s="3090"/>
      <c r="B17" s="3091" t="s">
        <v>996</v>
      </c>
      <c r="C17" s="3091"/>
      <c r="D17" s="1373"/>
      <c r="E17" s="1373"/>
      <c r="F17" s="1374"/>
      <c r="G17" s="1375"/>
      <c r="H17" s="1385"/>
      <c r="I17" s="1386">
        <f>ROUND(D17*E17*F17*G17/10000,0)</f>
        <v>0</v>
      </c>
    </row>
    <row r="18" spans="1:9" ht="15.6">
      <c r="A18" s="3090"/>
      <c r="B18" s="3091" t="s">
        <v>997</v>
      </c>
      <c r="C18" s="3091"/>
      <c r="D18" s="1373"/>
      <c r="E18" s="1373"/>
      <c r="F18" s="1374"/>
      <c r="G18" s="1375"/>
      <c r="H18" s="1385"/>
      <c r="I18" s="1386">
        <f>ROUND(D18*E18*F18*G18/10000,0)</f>
        <v>0</v>
      </c>
    </row>
    <row r="19" spans="1:9" ht="15.6">
      <c r="A19" s="3090"/>
      <c r="B19" s="3091" t="s">
        <v>998</v>
      </c>
      <c r="C19" s="3091"/>
      <c r="D19" s="1373"/>
      <c r="E19" s="1373"/>
      <c r="F19" s="1374"/>
      <c r="G19" s="1375"/>
      <c r="H19" s="1385"/>
      <c r="I19" s="1386">
        <f>ROUND(D19*E19*F19*G19/10000,0)</f>
        <v>0</v>
      </c>
    </row>
    <row r="20" spans="1:9">
      <c r="A20" s="3090"/>
      <c r="B20" s="3092" t="s">
        <v>984</v>
      </c>
      <c r="C20" s="3092"/>
      <c r="D20" s="1377">
        <f>SUM(D17:D19)</f>
        <v>0</v>
      </c>
      <c r="E20" s="1377"/>
      <c r="F20" s="1378"/>
      <c r="G20" s="1375"/>
      <c r="H20" s="1382"/>
      <c r="I20" s="1383">
        <f>SUM(I17:I19)</f>
        <v>0</v>
      </c>
    </row>
    <row r="21" spans="1:9">
      <c r="A21" s="3090" t="s">
        <v>1024</v>
      </c>
      <c r="B21" s="3093"/>
      <c r="C21" s="3093"/>
      <c r="D21" s="3093"/>
      <c r="E21" s="3093"/>
      <c r="F21" s="3093"/>
      <c r="G21" s="3093"/>
      <c r="H21" s="1387">
        <v>0.1</v>
      </c>
      <c r="I21" s="1380">
        <f>ROUND(I10*H21,0)</f>
        <v>0</v>
      </c>
    </row>
    <row r="22" spans="1:9" ht="15.6">
      <c r="A22" s="3094" t="s">
        <v>1025</v>
      </c>
      <c r="B22" s="3095"/>
      <c r="C22" s="3096"/>
      <c r="D22" s="1388" t="s">
        <v>999</v>
      </c>
      <c r="E22" s="1388" t="s">
        <v>1000</v>
      </c>
      <c r="F22" s="1389" t="s">
        <v>975</v>
      </c>
      <c r="G22" s="1389" t="s">
        <v>1001</v>
      </c>
      <c r="H22" s="1381" t="s">
        <v>989</v>
      </c>
      <c r="I22" s="1372" t="s">
        <v>976</v>
      </c>
    </row>
    <row r="23" spans="1:9" ht="15" thickBot="1">
      <c r="A23" s="3097"/>
      <c r="B23" s="3098"/>
      <c r="C23" s="3099"/>
      <c r="D23" s="1390"/>
      <c r="E23" s="1390"/>
      <c r="F23" s="1390"/>
      <c r="G23" s="1391"/>
      <c r="H23" s="1392"/>
      <c r="I23" s="1393">
        <f>ROUND(E23*D23*F23*(1-G23)/10000,0)</f>
        <v>0</v>
      </c>
    </row>
    <row r="26" spans="1:9">
      <c r="A26" s="1394" t="s">
        <v>1002</v>
      </c>
      <c r="B26" s="1394"/>
      <c r="C26" s="1394"/>
      <c r="D26" s="1394"/>
      <c r="E26" s="3087">
        <f>C27-C30-C31-C32</f>
        <v>0</v>
      </c>
      <c r="F26" s="3087"/>
      <c r="G26" s="3087"/>
      <c r="H26" s="1810" t="s">
        <v>1213</v>
      </c>
    </row>
    <row r="27" spans="1:9">
      <c r="A27" s="1395">
        <v>1</v>
      </c>
      <c r="B27" s="1396" t="s">
        <v>1003</v>
      </c>
      <c r="C27" s="1396">
        <f>C28+C29</f>
        <v>0</v>
      </c>
      <c r="D27" s="1396"/>
      <c r="E27" s="3088"/>
      <c r="F27" s="3088"/>
      <c r="G27" s="3088"/>
    </row>
    <row r="28" spans="1:9">
      <c r="A28" s="1397" t="s">
        <v>1004</v>
      </c>
      <c r="B28" s="1396" t="s">
        <v>1005</v>
      </c>
      <c r="C28" s="1396"/>
      <c r="D28" s="1396"/>
      <c r="E28" s="3088"/>
      <c r="F28" s="3088"/>
      <c r="G28" s="3088"/>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89"/>
      <c r="F32" s="3089"/>
      <c r="G32" s="3089"/>
    </row>
    <row r="33" spans="1:7" hidden="1">
      <c r="A33" s="3084" t="s">
        <v>1014</v>
      </c>
      <c r="B33" s="3085"/>
      <c r="C33" s="3085"/>
      <c r="D33" s="3086"/>
      <c r="E33" s="3087"/>
      <c r="F33" s="3087"/>
      <c r="G33" s="3087"/>
    </row>
    <row r="34" spans="1:7" hidden="1">
      <c r="A34" s="1399">
        <v>1</v>
      </c>
      <c r="B34" s="1396" t="s">
        <v>1015</v>
      </c>
      <c r="C34" s="1396"/>
      <c r="D34" s="1396"/>
      <c r="E34" s="3088"/>
      <c r="F34" s="3088"/>
      <c r="G34" s="3088"/>
    </row>
    <row r="35" spans="1:7" hidden="1">
      <c r="A35" s="1399">
        <v>2</v>
      </c>
      <c r="B35" s="1396" t="s">
        <v>1016</v>
      </c>
      <c r="C35" s="1396"/>
      <c r="D35" s="1396"/>
      <c r="E35" s="3088"/>
      <c r="F35" s="3088"/>
      <c r="G35" s="3088"/>
    </row>
    <row r="36" spans="1:7" hidden="1">
      <c r="A36" s="1399">
        <v>3</v>
      </c>
      <c r="B36" s="1396" t="s">
        <v>1017</v>
      </c>
      <c r="C36" s="1396"/>
      <c r="D36" s="1396"/>
      <c r="E36" s="3088"/>
      <c r="F36" s="3088"/>
      <c r="G36" s="3088"/>
    </row>
    <row r="37" spans="1:7" hidden="1">
      <c r="A37" s="1399">
        <v>4</v>
      </c>
      <c r="B37" s="1396" t="s">
        <v>1018</v>
      </c>
      <c r="C37" s="1396"/>
      <c r="D37" s="1396"/>
      <c r="E37" s="3088"/>
      <c r="F37" s="3088"/>
      <c r="G37" s="3088"/>
    </row>
    <row r="38" spans="1:7" hidden="1">
      <c r="A38" s="3084" t="s">
        <v>1019</v>
      </c>
      <c r="B38" s="3085"/>
      <c r="C38" s="3085"/>
      <c r="D38" s="3086"/>
      <c r="E38" s="3087"/>
      <c r="F38" s="3087"/>
      <c r="G38" s="30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C132"/>
  <sheetViews>
    <sheetView topLeftCell="A25" zoomScale="90" zoomScaleNormal="90" workbookViewId="0">
      <selection activeCell="H52" sqref="H52"/>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7.441406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070" t="s">
        <v>2335</v>
      </c>
      <c r="Q4" s="3044"/>
      <c r="R4" s="3057" t="s">
        <v>2331</v>
      </c>
      <c r="S4" s="3058"/>
      <c r="T4" s="3057" t="s">
        <v>2332</v>
      </c>
      <c r="U4" s="3058"/>
      <c r="V4" s="3056" t="s">
        <v>2333</v>
      </c>
      <c r="W4" s="3056"/>
      <c r="X4" s="2734"/>
      <c r="Y4" s="3057" t="s">
        <v>2335</v>
      </c>
      <c r="Z4" s="3058"/>
      <c r="AA4" s="3063" t="s">
        <v>2331</v>
      </c>
      <c r="AB4" s="3063" t="s">
        <v>2332</v>
      </c>
      <c r="AC4" s="3063" t="s">
        <v>2333</v>
      </c>
    </row>
    <row r="5" spans="1:29" ht="13.95" customHeight="1">
      <c r="A5" s="379"/>
      <c r="B5" s="380"/>
      <c r="C5" s="3074" t="s">
        <v>2336</v>
      </c>
      <c r="D5" s="3075"/>
      <c r="E5" s="3076" t="s">
        <v>2868</v>
      </c>
      <c r="F5" s="3077"/>
      <c r="G5" s="3076" t="s">
        <v>2868</v>
      </c>
      <c r="H5" s="3077"/>
      <c r="I5" s="3076" t="s">
        <v>2868</v>
      </c>
      <c r="J5" s="3077"/>
      <c r="K5" s="590"/>
      <c r="L5" s="1225"/>
      <c r="M5" s="1226"/>
      <c r="N5" s="1226"/>
      <c r="O5" s="1226"/>
      <c r="P5" s="3071"/>
      <c r="Q5" s="3045"/>
      <c r="R5" s="3059"/>
      <c r="S5" s="3060"/>
      <c r="T5" s="3059"/>
      <c r="U5" s="3060"/>
      <c r="V5" s="3056"/>
      <c r="W5" s="3056"/>
      <c r="X5" s="2734"/>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072"/>
      <c r="Q6" s="3073"/>
      <c r="R6" s="3059"/>
      <c r="S6" s="3060"/>
      <c r="T6" s="3061"/>
      <c r="U6" s="3062"/>
      <c r="V6" s="3056"/>
      <c r="W6" s="3056"/>
      <c r="X6" s="2734"/>
      <c r="Y6" s="3061"/>
      <c r="Z6" s="3062"/>
      <c r="AA6" s="3065"/>
      <c r="AB6" s="3065"/>
      <c r="AC6" s="3065"/>
    </row>
    <row r="7" spans="1:29" s="34" customFormat="1" ht="15" thickBot="1">
      <c r="A7" s="383" t="s">
        <v>2342</v>
      </c>
      <c r="B7" s="384"/>
      <c r="C7" s="385">
        <f>'数据-取费表'!B2</f>
        <v>43874</v>
      </c>
      <c r="D7" s="386">
        <v>100</v>
      </c>
      <c r="E7" s="387">
        <v>43845</v>
      </c>
      <c r="F7" s="388">
        <f>SUMIF(59:59,YEAR(E7)&amp;"-"&amp;MONTH(E7),60:60)</f>
        <v>100</v>
      </c>
      <c r="G7" s="2442">
        <v>43847</v>
      </c>
      <c r="H7" s="386">
        <f>SUMIF(59:59,YEAR(G7)&amp;"-"&amp;MONTH(G7),60:60)</f>
        <v>100</v>
      </c>
      <c r="I7" s="2442">
        <v>43790</v>
      </c>
      <c r="J7" s="386">
        <f>SUMIF(59:59,YEAR(I7)&amp;"-"&amp;MONTH(I7),60:60)</f>
        <v>99.5</v>
      </c>
      <c r="K7" s="591"/>
      <c r="L7" s="1227"/>
      <c r="M7" s="1228"/>
      <c r="N7" s="1228"/>
      <c r="O7" s="1228"/>
      <c r="P7" s="3053" t="s">
        <v>2343</v>
      </c>
      <c r="Q7" s="3053"/>
      <c r="R7" s="741" t="s">
        <v>25</v>
      </c>
      <c r="S7" s="742">
        <f t="shared" ref="S7:S15" si="0">F7</f>
        <v>100</v>
      </c>
      <c r="T7" s="741" t="s">
        <v>25</v>
      </c>
      <c r="U7" s="742">
        <f t="shared" ref="U7:U15" si="1">H7</f>
        <v>100</v>
      </c>
      <c r="V7" s="741" t="s">
        <v>25</v>
      </c>
      <c r="W7" s="742">
        <f t="shared" ref="W7:W15" si="2">J7</f>
        <v>99.5</v>
      </c>
      <c r="X7" s="743"/>
      <c r="Y7" s="3055" t="s">
        <v>2343</v>
      </c>
      <c r="Z7" s="3054"/>
      <c r="AA7" s="744">
        <f>D7/F7</f>
        <v>1</v>
      </c>
      <c r="AB7" s="744">
        <f>D7/H7</f>
        <v>1</v>
      </c>
      <c r="AC7" s="744">
        <f>D7/J7</f>
        <v>1.0050251256281406</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3" t="s">
        <v>2346</v>
      </c>
      <c r="Q8" s="3054"/>
      <c r="R8" s="741" t="s">
        <v>25</v>
      </c>
      <c r="S8" s="742">
        <f t="shared" si="0"/>
        <v>100</v>
      </c>
      <c r="T8" s="741" t="s">
        <v>25</v>
      </c>
      <c r="U8" s="742">
        <f t="shared" si="1"/>
        <v>100</v>
      </c>
      <c r="V8" s="741" t="s">
        <v>25</v>
      </c>
      <c r="W8" s="742">
        <f t="shared" si="2"/>
        <v>100</v>
      </c>
      <c r="X8" s="743"/>
      <c r="Y8" s="3055" t="s">
        <v>2346</v>
      </c>
      <c r="Z8" s="3054"/>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39" t="s">
        <v>2349</v>
      </c>
      <c r="Q9" s="2729"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39"/>
      <c r="Q10" s="2729"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39"/>
      <c r="Q11" s="2729" t="str">
        <f t="shared" si="6"/>
        <v>容积率</v>
      </c>
      <c r="R11" s="741" t="s">
        <v>25</v>
      </c>
      <c r="S11" s="742">
        <f t="shared" si="0"/>
        <v>100</v>
      </c>
      <c r="T11" s="741" t="s">
        <v>25</v>
      </c>
      <c r="U11" s="742">
        <f t="shared" si="1"/>
        <v>100</v>
      </c>
      <c r="V11" s="741" t="s">
        <v>25</v>
      </c>
      <c r="W11" s="742">
        <f t="shared" si="2"/>
        <v>100</v>
      </c>
      <c r="X11" s="743"/>
      <c r="Y11" s="2912"/>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39"/>
      <c r="Q12" s="2729">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39"/>
      <c r="Q13" s="2729">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39"/>
      <c r="Q14" s="2729">
        <f t="shared" si="6"/>
        <v>111</v>
      </c>
      <c r="R14" s="741" t="s">
        <v>25</v>
      </c>
      <c r="S14" s="742">
        <f t="shared" si="0"/>
        <v>100</v>
      </c>
      <c r="T14" s="741" t="s">
        <v>25</v>
      </c>
      <c r="U14" s="742">
        <f t="shared" si="1"/>
        <v>100</v>
      </c>
      <c r="V14" s="741" t="s">
        <v>25</v>
      </c>
      <c r="W14" s="742">
        <f t="shared" si="2"/>
        <v>100</v>
      </c>
      <c r="X14" s="743"/>
      <c r="Y14" s="2912"/>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4" t="s">
        <v>2354</v>
      </c>
      <c r="Q15" s="2733" t="str">
        <f t="shared" si="6"/>
        <v>办公集聚程度</v>
      </c>
      <c r="R15" s="745" t="s">
        <v>25</v>
      </c>
      <c r="S15" s="746">
        <f t="shared" si="0"/>
        <v>100</v>
      </c>
      <c r="T15" s="745" t="s">
        <v>25</v>
      </c>
      <c r="U15" s="746">
        <f t="shared" si="1"/>
        <v>100</v>
      </c>
      <c r="V15" s="745" t="s">
        <v>25</v>
      </c>
      <c r="W15" s="746">
        <f t="shared" si="2"/>
        <v>100</v>
      </c>
      <c r="X15" s="2734"/>
      <c r="Y15" s="3046"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5"/>
      <c r="Q16" s="2733"/>
      <c r="R16" s="745"/>
      <c r="S16" s="746"/>
      <c r="T16" s="745"/>
      <c r="U16" s="746"/>
      <c r="V16" s="745"/>
      <c r="W16" s="746"/>
      <c r="X16" s="2734"/>
      <c r="Y16" s="3047"/>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5"/>
      <c r="Q17" s="2733" t="str">
        <f>B17</f>
        <v>交通便捷度</v>
      </c>
      <c r="R17" s="745" t="s">
        <v>25</v>
      </c>
      <c r="S17" s="746">
        <f>F17</f>
        <v>100</v>
      </c>
      <c r="T17" s="745" t="s">
        <v>25</v>
      </c>
      <c r="U17" s="746">
        <f>H17</f>
        <v>100</v>
      </c>
      <c r="V17" s="745" t="s">
        <v>25</v>
      </c>
      <c r="W17" s="746">
        <f>J17</f>
        <v>100</v>
      </c>
      <c r="X17" s="2734"/>
      <c r="Y17" s="3047"/>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5"/>
      <c r="Q18" s="2733"/>
      <c r="R18" s="745"/>
      <c r="S18" s="746"/>
      <c r="T18" s="745"/>
      <c r="U18" s="746"/>
      <c r="V18" s="745"/>
      <c r="W18" s="746"/>
      <c r="X18" s="2734"/>
      <c r="Y18" s="3047"/>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5"/>
      <c r="Q19" s="2733" t="str">
        <f>B19</f>
        <v>公共配套设施</v>
      </c>
      <c r="R19" s="745" t="s">
        <v>25</v>
      </c>
      <c r="S19" s="746">
        <f>F19</f>
        <v>100</v>
      </c>
      <c r="T19" s="745" t="s">
        <v>25</v>
      </c>
      <c r="U19" s="746">
        <f>H19</f>
        <v>100</v>
      </c>
      <c r="V19" s="745" t="s">
        <v>25</v>
      </c>
      <c r="W19" s="746">
        <f>J19</f>
        <v>100</v>
      </c>
      <c r="X19" s="2734"/>
      <c r="Y19" s="3047"/>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5"/>
      <c r="Q20" s="2733"/>
      <c r="R20" s="745"/>
      <c r="S20" s="746"/>
      <c r="T20" s="745"/>
      <c r="U20" s="746"/>
      <c r="V20" s="745"/>
      <c r="W20" s="746"/>
      <c r="X20" s="2734"/>
      <c r="Y20" s="3047"/>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5"/>
      <c r="Q21" s="2733" t="str">
        <f>B21</f>
        <v>基础设施水平</v>
      </c>
      <c r="R21" s="745" t="s">
        <v>25</v>
      </c>
      <c r="S21" s="746">
        <f>F21</f>
        <v>100</v>
      </c>
      <c r="T21" s="745" t="s">
        <v>25</v>
      </c>
      <c r="U21" s="746">
        <f>H21</f>
        <v>100</v>
      </c>
      <c r="V21" s="745" t="s">
        <v>25</v>
      </c>
      <c r="W21" s="746">
        <f>J21</f>
        <v>100</v>
      </c>
      <c r="X21" s="2734"/>
      <c r="Y21" s="3047"/>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5"/>
      <c r="Q22" s="2733"/>
      <c r="R22" s="745"/>
      <c r="S22" s="746"/>
      <c r="T22" s="745"/>
      <c r="U22" s="746"/>
      <c r="V22" s="745"/>
      <c r="W22" s="746"/>
      <c r="X22" s="2734"/>
      <c r="Y22" s="3047"/>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5"/>
      <c r="Q23" s="2733" t="str">
        <f>B23</f>
        <v>环境质量</v>
      </c>
      <c r="R23" s="745" t="s">
        <v>25</v>
      </c>
      <c r="S23" s="746">
        <f>F23</f>
        <v>100</v>
      </c>
      <c r="T23" s="745" t="s">
        <v>25</v>
      </c>
      <c r="U23" s="746">
        <f>H23</f>
        <v>100</v>
      </c>
      <c r="V23" s="745" t="s">
        <v>25</v>
      </c>
      <c r="W23" s="746">
        <f>J23</f>
        <v>100</v>
      </c>
      <c r="X23" s="2734"/>
      <c r="Y23" s="3047"/>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5"/>
      <c r="Q24" s="2733"/>
      <c r="R24" s="745"/>
      <c r="S24" s="746"/>
      <c r="T24" s="745"/>
      <c r="U24" s="746"/>
      <c r="V24" s="745"/>
      <c r="W24" s="746"/>
      <c r="X24" s="2734"/>
      <c r="Y24" s="3047"/>
      <c r="Z24" s="2735"/>
      <c r="AA24" s="2731">
        <v>1</v>
      </c>
      <c r="AB24" s="2731">
        <v>1</v>
      </c>
      <c r="AC24" s="2731">
        <v>1</v>
      </c>
    </row>
    <row r="25" spans="1:29" ht="28.8">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5"/>
      <c r="Q25" s="2733" t="str">
        <f>B25</f>
        <v>毗邻道路的类型与等级</v>
      </c>
      <c r="R25" s="745" t="s">
        <v>25</v>
      </c>
      <c r="S25" s="746">
        <f>F25</f>
        <v>100</v>
      </c>
      <c r="T25" s="745" t="s">
        <v>25</v>
      </c>
      <c r="U25" s="746">
        <f>H25</f>
        <v>100</v>
      </c>
      <c r="V25" s="745" t="s">
        <v>25</v>
      </c>
      <c r="W25" s="746">
        <f>J25</f>
        <v>100</v>
      </c>
      <c r="X25" s="2734"/>
      <c r="Y25" s="3047"/>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5"/>
      <c r="Q26" s="2733"/>
      <c r="R26" s="745"/>
      <c r="S26" s="746"/>
      <c r="T26" s="745"/>
      <c r="U26" s="746"/>
      <c r="V26" s="745"/>
      <c r="W26" s="746"/>
      <c r="X26" s="2734"/>
      <c r="Y26" s="3047"/>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2907</v>
      </c>
      <c r="J27" s="411">
        <f>SUMIF(89:89,I27,90:90)-SUMIF(89:89,C27,90:90)+100</f>
        <v>100</v>
      </c>
      <c r="K27" s="592">
        <v>2</v>
      </c>
      <c r="L27" s="1235"/>
      <c r="M27" s="1226"/>
      <c r="N27" s="1226"/>
      <c r="O27" s="1226"/>
      <c r="P27" s="3045"/>
      <c r="Q27" s="2733" t="str">
        <f t="shared" ref="Q27:Q47" si="11">B27</f>
        <v>楼层</v>
      </c>
      <c r="R27" s="745" t="s">
        <v>25</v>
      </c>
      <c r="S27" s="746">
        <f>F27</f>
        <v>102</v>
      </c>
      <c r="T27" s="745" t="s">
        <v>25</v>
      </c>
      <c r="U27" s="746">
        <f>H27</f>
        <v>100</v>
      </c>
      <c r="V27" s="745" t="s">
        <v>25</v>
      </c>
      <c r="W27" s="746">
        <f>J27</f>
        <v>100</v>
      </c>
      <c r="X27" s="2734"/>
      <c r="Y27" s="3047"/>
      <c r="Z27" s="2735" t="str">
        <f>Q27</f>
        <v>楼层</v>
      </c>
      <c r="AA27" s="2731">
        <f t="shared" si="3"/>
        <v>0.98039215686274506</v>
      </c>
      <c r="AB27" s="2731">
        <f t="shared" si="4"/>
        <v>1</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5"/>
      <c r="Q28" s="2729" t="str">
        <f t="shared" si="11"/>
        <v>朝向</v>
      </c>
      <c r="R28" s="741" t="s">
        <v>25</v>
      </c>
      <c r="S28" s="742">
        <f>F28</f>
        <v>100</v>
      </c>
      <c r="T28" s="741" t="s">
        <v>25</v>
      </c>
      <c r="U28" s="742">
        <f>H28</f>
        <v>100</v>
      </c>
      <c r="V28" s="741" t="s">
        <v>25</v>
      </c>
      <c r="W28" s="742">
        <f>J28</f>
        <v>100</v>
      </c>
      <c r="X28" s="743"/>
      <c r="Y28" s="3047"/>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5"/>
      <c r="Q29" s="2733">
        <f t="shared" si="11"/>
        <v>111</v>
      </c>
      <c r="R29" s="745" t="s">
        <v>25</v>
      </c>
      <c r="S29" s="746">
        <f t="shared" ref="S29:S47" si="12">F29</f>
        <v>100</v>
      </c>
      <c r="T29" s="745" t="s">
        <v>25</v>
      </c>
      <c r="U29" s="746">
        <f t="shared" ref="U29:U47" si="13">H29</f>
        <v>100</v>
      </c>
      <c r="V29" s="745" t="s">
        <v>25</v>
      </c>
      <c r="W29" s="746">
        <f t="shared" ref="W29:W47" si="14">J29</f>
        <v>100</v>
      </c>
      <c r="X29" s="2734"/>
      <c r="Y29" s="3047"/>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5"/>
      <c r="Q30" s="2733">
        <f t="shared" si="11"/>
        <v>111</v>
      </c>
      <c r="R30" s="745" t="s">
        <v>25</v>
      </c>
      <c r="S30" s="746">
        <f t="shared" si="12"/>
        <v>100</v>
      </c>
      <c r="T30" s="745" t="s">
        <v>25</v>
      </c>
      <c r="U30" s="746">
        <f t="shared" si="13"/>
        <v>100</v>
      </c>
      <c r="V30" s="745" t="s">
        <v>25</v>
      </c>
      <c r="W30" s="746">
        <f t="shared" si="14"/>
        <v>100</v>
      </c>
      <c r="X30" s="2734"/>
      <c r="Y30" s="3047"/>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5"/>
      <c r="Q31" s="2733">
        <f t="shared" si="11"/>
        <v>111</v>
      </c>
      <c r="R31" s="745" t="s">
        <v>25</v>
      </c>
      <c r="S31" s="746">
        <f t="shared" si="12"/>
        <v>100</v>
      </c>
      <c r="T31" s="745" t="s">
        <v>25</v>
      </c>
      <c r="U31" s="746">
        <f t="shared" si="13"/>
        <v>100</v>
      </c>
      <c r="V31" s="745" t="s">
        <v>25</v>
      </c>
      <c r="W31" s="746">
        <f t="shared" si="14"/>
        <v>100</v>
      </c>
      <c r="X31" s="2734"/>
      <c r="Y31" s="3047"/>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5"/>
      <c r="Q32" s="2733">
        <f t="shared" si="11"/>
        <v>111</v>
      </c>
      <c r="R32" s="745" t="s">
        <v>25</v>
      </c>
      <c r="S32" s="746">
        <f t="shared" si="12"/>
        <v>100</v>
      </c>
      <c r="T32" s="745" t="s">
        <v>25</v>
      </c>
      <c r="U32" s="746">
        <f t="shared" si="13"/>
        <v>100</v>
      </c>
      <c r="V32" s="745" t="s">
        <v>25</v>
      </c>
      <c r="W32" s="746">
        <f t="shared" si="14"/>
        <v>100</v>
      </c>
      <c r="X32" s="2734"/>
      <c r="Y32" s="3047"/>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48" t="s">
        <v>2360</v>
      </c>
      <c r="Q33" s="2733" t="str">
        <f t="shared" si="11"/>
        <v>建筑类型</v>
      </c>
      <c r="R33" s="745" t="s">
        <v>25</v>
      </c>
      <c r="S33" s="746">
        <f t="shared" si="12"/>
        <v>100</v>
      </c>
      <c r="T33" s="745" t="s">
        <v>25</v>
      </c>
      <c r="U33" s="746">
        <f t="shared" si="13"/>
        <v>100</v>
      </c>
      <c r="V33" s="745" t="s">
        <v>25</v>
      </c>
      <c r="W33" s="746">
        <f t="shared" si="14"/>
        <v>100</v>
      </c>
      <c r="X33" s="2734"/>
      <c r="Y33" s="3051"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691</v>
      </c>
      <c r="H34" s="48">
        <f>LOOKUP(G34,104:104,105:105)-LOOKUP(C34,104:104,105:105)+100</f>
        <v>101.5</v>
      </c>
      <c r="I34" s="446">
        <v>3500</v>
      </c>
      <c r="J34" s="48">
        <f>LOOKUP(I34,104:104,105:105)-LOOKUP(C34,104:104,105:105)+100</f>
        <v>97.5</v>
      </c>
      <c r="K34" s="593"/>
      <c r="L34" s="1233"/>
      <c r="M34" s="1236"/>
      <c r="N34" s="1236"/>
      <c r="O34" s="1236"/>
      <c r="P34" s="3049"/>
      <c r="Q34" s="747" t="str">
        <f t="shared" si="11"/>
        <v>项目建筑规模</v>
      </c>
      <c r="R34" s="748" t="s">
        <v>25</v>
      </c>
      <c r="S34" s="749">
        <f t="shared" si="12"/>
        <v>101.5</v>
      </c>
      <c r="T34" s="748" t="s">
        <v>25</v>
      </c>
      <c r="U34" s="749">
        <f t="shared" si="13"/>
        <v>101.5</v>
      </c>
      <c r="V34" s="748" t="s">
        <v>25</v>
      </c>
      <c r="W34" s="749">
        <f t="shared" si="14"/>
        <v>97.5</v>
      </c>
      <c r="X34" s="750"/>
      <c r="Y34" s="3051"/>
      <c r="Z34" s="751" t="str">
        <f t="shared" si="15"/>
        <v>项目建筑规模</v>
      </c>
      <c r="AA34" s="2731">
        <f t="shared" si="3"/>
        <v>0.98522167487684731</v>
      </c>
      <c r="AB34" s="2731">
        <f t="shared" si="4"/>
        <v>0.98522167487684731</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49"/>
      <c r="Q35" s="2733" t="str">
        <f t="shared" si="11"/>
        <v>建筑结构</v>
      </c>
      <c r="R35" s="745" t="s">
        <v>25</v>
      </c>
      <c r="S35" s="746">
        <f t="shared" si="12"/>
        <v>100</v>
      </c>
      <c r="T35" s="745" t="s">
        <v>25</v>
      </c>
      <c r="U35" s="746">
        <f t="shared" si="13"/>
        <v>100</v>
      </c>
      <c r="V35" s="745" t="s">
        <v>25</v>
      </c>
      <c r="W35" s="746">
        <f t="shared" si="14"/>
        <v>100</v>
      </c>
      <c r="X35" s="2734"/>
      <c r="Y35" s="3051"/>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49"/>
      <c r="Q36" s="2733" t="str">
        <f t="shared" si="11"/>
        <v>公共部分装修</v>
      </c>
      <c r="R36" s="745" t="s">
        <v>25</v>
      </c>
      <c r="S36" s="746">
        <f t="shared" si="12"/>
        <v>100</v>
      </c>
      <c r="T36" s="745" t="s">
        <v>25</v>
      </c>
      <c r="U36" s="746">
        <f t="shared" si="13"/>
        <v>100</v>
      </c>
      <c r="V36" s="745" t="s">
        <v>25</v>
      </c>
      <c r="W36" s="746">
        <f t="shared" si="14"/>
        <v>100</v>
      </c>
      <c r="X36" s="2734"/>
      <c r="Y36" s="3051"/>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49"/>
      <c r="Q37" s="2733" t="str">
        <f t="shared" si="11"/>
        <v>成新度</v>
      </c>
      <c r="R37" s="745" t="s">
        <v>25</v>
      </c>
      <c r="S37" s="746">
        <f t="shared" si="12"/>
        <v>100</v>
      </c>
      <c r="T37" s="745" t="s">
        <v>25</v>
      </c>
      <c r="U37" s="746">
        <f t="shared" si="13"/>
        <v>100</v>
      </c>
      <c r="V37" s="745" t="s">
        <v>25</v>
      </c>
      <c r="W37" s="746">
        <f t="shared" si="14"/>
        <v>100</v>
      </c>
      <c r="X37" s="2734"/>
      <c r="Y37" s="3051"/>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49"/>
      <c r="Q38" s="2729" t="str">
        <f t="shared" si="11"/>
        <v>写字楼等级</v>
      </c>
      <c r="R38" s="741" t="s">
        <v>25</v>
      </c>
      <c r="S38" s="742">
        <f t="shared" si="12"/>
        <v>100</v>
      </c>
      <c r="T38" s="741" t="s">
        <v>25</v>
      </c>
      <c r="U38" s="742">
        <f t="shared" si="13"/>
        <v>100</v>
      </c>
      <c r="V38" s="741" t="s">
        <v>25</v>
      </c>
      <c r="W38" s="742">
        <f t="shared" si="14"/>
        <v>100</v>
      </c>
      <c r="X38" s="743"/>
      <c r="Y38" s="3051"/>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49" t="s">
        <v>2360</v>
      </c>
      <c r="Q39" s="2733" t="str">
        <f t="shared" si="11"/>
        <v>物业管理</v>
      </c>
      <c r="R39" s="745" t="s">
        <v>25</v>
      </c>
      <c r="S39" s="746">
        <f t="shared" si="12"/>
        <v>100</v>
      </c>
      <c r="T39" s="745" t="s">
        <v>25</v>
      </c>
      <c r="U39" s="746">
        <f t="shared" si="13"/>
        <v>100</v>
      </c>
      <c r="V39" s="745" t="s">
        <v>25</v>
      </c>
      <c r="W39" s="746">
        <f t="shared" si="14"/>
        <v>100</v>
      </c>
      <c r="X39" s="2734"/>
      <c r="Y39" s="3051"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49"/>
      <c r="Q40" s="2733" t="str">
        <f t="shared" si="11"/>
        <v>市政基础设施</v>
      </c>
      <c r="R40" s="745" t="s">
        <v>25</v>
      </c>
      <c r="S40" s="746">
        <f t="shared" si="12"/>
        <v>100</v>
      </c>
      <c r="T40" s="745" t="s">
        <v>25</v>
      </c>
      <c r="U40" s="746">
        <f t="shared" si="13"/>
        <v>100</v>
      </c>
      <c r="V40" s="745" t="s">
        <v>25</v>
      </c>
      <c r="W40" s="746">
        <f t="shared" si="14"/>
        <v>100</v>
      </c>
      <c r="X40" s="2734"/>
      <c r="Y40" s="3051"/>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49"/>
      <c r="Q41" s="2733" t="str">
        <f t="shared" si="11"/>
        <v>层高</v>
      </c>
      <c r="R41" s="745" t="s">
        <v>25</v>
      </c>
      <c r="S41" s="746">
        <f t="shared" si="12"/>
        <v>100</v>
      </c>
      <c r="T41" s="745" t="s">
        <v>25</v>
      </c>
      <c r="U41" s="746">
        <f t="shared" si="13"/>
        <v>100</v>
      </c>
      <c r="V41" s="745" t="s">
        <v>25</v>
      </c>
      <c r="W41" s="746">
        <f t="shared" si="14"/>
        <v>100</v>
      </c>
      <c r="X41" s="2734"/>
      <c r="Y41" s="3051"/>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49"/>
      <c r="Q42" s="747" t="str">
        <f t="shared" si="11"/>
        <v>单套建筑面积</v>
      </c>
      <c r="R42" s="748" t="s">
        <v>25</v>
      </c>
      <c r="S42" s="749">
        <f t="shared" si="12"/>
        <v>100</v>
      </c>
      <c r="T42" s="748" t="s">
        <v>25</v>
      </c>
      <c r="U42" s="749">
        <f t="shared" si="13"/>
        <v>100</v>
      </c>
      <c r="V42" s="748" t="s">
        <v>25</v>
      </c>
      <c r="W42" s="749">
        <f t="shared" si="14"/>
        <v>100</v>
      </c>
      <c r="X42" s="750"/>
      <c r="Y42" s="3051"/>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49"/>
      <c r="Q43" s="2733" t="str">
        <f t="shared" si="11"/>
        <v>内部装修</v>
      </c>
      <c r="R43" s="745" t="s">
        <v>25</v>
      </c>
      <c r="S43" s="746">
        <f t="shared" si="12"/>
        <v>100</v>
      </c>
      <c r="T43" s="745" t="s">
        <v>25</v>
      </c>
      <c r="U43" s="746">
        <f t="shared" si="13"/>
        <v>100</v>
      </c>
      <c r="V43" s="745" t="s">
        <v>25</v>
      </c>
      <c r="W43" s="746">
        <f t="shared" si="14"/>
        <v>96</v>
      </c>
      <c r="X43" s="2734"/>
      <c r="Y43" s="3051"/>
      <c r="Z43" s="2735" t="str">
        <f t="shared" si="15"/>
        <v>内部装修</v>
      </c>
      <c r="AA43" s="2731">
        <f t="shared" si="3"/>
        <v>1</v>
      </c>
      <c r="AB43" s="2731">
        <f t="shared" si="4"/>
        <v>1</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49"/>
      <c r="Q44" s="2733" t="str">
        <f t="shared" si="11"/>
        <v>内部装修维护情况</v>
      </c>
      <c r="R44" s="745" t="s">
        <v>25</v>
      </c>
      <c r="S44" s="746">
        <f t="shared" si="12"/>
        <v>100</v>
      </c>
      <c r="T44" s="745" t="s">
        <v>25</v>
      </c>
      <c r="U44" s="746">
        <f t="shared" si="13"/>
        <v>100</v>
      </c>
      <c r="V44" s="745" t="s">
        <v>25</v>
      </c>
      <c r="W44" s="746">
        <f t="shared" si="14"/>
        <v>100</v>
      </c>
      <c r="X44" s="2734"/>
      <c r="Y44" s="3051"/>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49"/>
      <c r="Q45" s="2729">
        <f t="shared" si="11"/>
        <v>111</v>
      </c>
      <c r="R45" s="741" t="s">
        <v>25</v>
      </c>
      <c r="S45" s="742">
        <f t="shared" si="12"/>
        <v>100</v>
      </c>
      <c r="T45" s="741" t="s">
        <v>25</v>
      </c>
      <c r="U45" s="742">
        <f t="shared" si="13"/>
        <v>100</v>
      </c>
      <c r="V45" s="741" t="s">
        <v>25</v>
      </c>
      <c r="W45" s="742">
        <f t="shared" si="14"/>
        <v>100</v>
      </c>
      <c r="X45" s="743"/>
      <c r="Y45" s="3051"/>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49"/>
      <c r="Q46" s="2733">
        <f t="shared" si="11"/>
        <v>111</v>
      </c>
      <c r="R46" s="745" t="s">
        <v>25</v>
      </c>
      <c r="S46" s="746">
        <f t="shared" si="12"/>
        <v>100</v>
      </c>
      <c r="T46" s="745" t="s">
        <v>25</v>
      </c>
      <c r="U46" s="746">
        <f t="shared" si="13"/>
        <v>100</v>
      </c>
      <c r="V46" s="745" t="s">
        <v>25</v>
      </c>
      <c r="W46" s="746">
        <f t="shared" si="14"/>
        <v>100</v>
      </c>
      <c r="X46" s="2734"/>
      <c r="Y46" s="3051"/>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50"/>
      <c r="Q47" s="2733">
        <f t="shared" si="11"/>
        <v>111</v>
      </c>
      <c r="R47" s="745" t="s">
        <v>25</v>
      </c>
      <c r="S47" s="746">
        <f t="shared" si="12"/>
        <v>100</v>
      </c>
      <c r="T47" s="745" t="s">
        <v>25</v>
      </c>
      <c r="U47" s="746">
        <f t="shared" si="13"/>
        <v>100</v>
      </c>
      <c r="V47" s="745" t="s">
        <v>25</v>
      </c>
      <c r="W47" s="746">
        <f t="shared" si="14"/>
        <v>100</v>
      </c>
      <c r="X47" s="2734"/>
      <c r="Y47" s="3052"/>
      <c r="Z47" s="2735">
        <f t="shared" si="15"/>
        <v>111</v>
      </c>
      <c r="AA47" s="2731">
        <f t="shared" si="3"/>
        <v>1</v>
      </c>
      <c r="AB47" s="2731">
        <f t="shared" si="4"/>
        <v>1</v>
      </c>
      <c r="AC47" s="2731">
        <f t="shared" si="5"/>
        <v>1</v>
      </c>
    </row>
    <row r="48" spans="1:29" ht="14.4">
      <c r="A48" s="456" t="s">
        <v>2372</v>
      </c>
      <c r="B48" s="457"/>
      <c r="C48" s="1484" t="s">
        <v>1</v>
      </c>
      <c r="D48" s="1485"/>
      <c r="E48" s="1486">
        <v>6.8</v>
      </c>
      <c r="F48" s="1487"/>
      <c r="G48" s="1488">
        <v>7</v>
      </c>
      <c r="H48" s="1489"/>
      <c r="I48" s="1486">
        <v>6.5</v>
      </c>
      <c r="J48" s="1489"/>
      <c r="K48" s="754"/>
      <c r="L48" s="1238"/>
      <c r="M48" s="1226"/>
      <c r="N48" s="1226"/>
      <c r="O48" s="1226"/>
      <c r="P48" s="3039" t="str">
        <f>A48</f>
        <v>成交单价（元/平方米）</v>
      </c>
      <c r="Q48" s="3040"/>
      <c r="R48" s="3041">
        <f>E48</f>
        <v>6.8</v>
      </c>
      <c r="S48" s="3041"/>
      <c r="T48" s="3041">
        <f>G48</f>
        <v>7</v>
      </c>
      <c r="U48" s="3041"/>
      <c r="V48" s="3041">
        <f>I48</f>
        <v>6.5</v>
      </c>
      <c r="W48" s="3041"/>
      <c r="X48" s="730"/>
      <c r="Y48" s="752"/>
      <c r="Z48" s="730"/>
      <c r="AA48" s="730"/>
      <c r="AB48" s="730"/>
      <c r="AC48" s="730"/>
    </row>
    <row r="49" spans="1:29" ht="15" thickBot="1">
      <c r="A49" s="463" t="s">
        <v>2373</v>
      </c>
      <c r="B49" s="464"/>
      <c r="C49" s="1490">
        <f>R50</f>
        <v>6.8</v>
      </c>
      <c r="D49" s="1491"/>
      <c r="E49" s="1492">
        <f>R49</f>
        <v>6.6</v>
      </c>
      <c r="F49" s="1492"/>
      <c r="G49" s="1490">
        <f>T49</f>
        <v>6.9</v>
      </c>
      <c r="H49" s="1491"/>
      <c r="I49" s="1492">
        <f>V49</f>
        <v>7</v>
      </c>
      <c r="J49" s="1491"/>
      <c r="K49" s="755"/>
      <c r="L49" s="1238"/>
      <c r="M49" s="1226"/>
      <c r="N49" s="1226"/>
      <c r="O49" s="1226"/>
      <c r="P49" s="3039" t="str">
        <f>A49</f>
        <v>比较价值（元/平方米）</v>
      </c>
      <c r="Q49" s="3040"/>
      <c r="R49" s="3041">
        <f>IF(E1="售价",ROUND(PRODUCT(R48,AA7:AA47),0),ROUND(PRODUCT(R48,AA7:AA47),1))</f>
        <v>6.6</v>
      </c>
      <c r="S49" s="3041"/>
      <c r="T49" s="3041">
        <f>IF(E1="售价",ROUND(PRODUCT(T48,AB7:AB47),0),ROUND(PRODUCT(T48,AB7:AB47),1))</f>
        <v>6.9</v>
      </c>
      <c r="U49" s="3041"/>
      <c r="V49" s="3041">
        <f>IF(E1="售价",ROUND(PRODUCT(V48,AC7:AC47),0),ROUND(PRODUCT(V48,AC7:AC47),1))</f>
        <v>7</v>
      </c>
      <c r="W49" s="3041"/>
      <c r="X49" s="730"/>
      <c r="Y49" s="730"/>
      <c r="Z49" s="730"/>
      <c r="AA49" s="730"/>
      <c r="AB49" s="730"/>
      <c r="AC49" s="730"/>
    </row>
    <row r="50" spans="1:29" ht="15" thickBot="1">
      <c r="A50" s="469" t="s">
        <v>2374</v>
      </c>
      <c r="B50" s="470"/>
      <c r="C50" s="1494">
        <f>R50</f>
        <v>6.8</v>
      </c>
      <c r="D50" s="1494"/>
      <c r="E50" s="1494"/>
      <c r="F50" s="1494"/>
      <c r="G50" s="1494"/>
      <c r="H50" s="1494"/>
      <c r="I50" s="1494"/>
      <c r="J50" s="1494"/>
      <c r="K50" s="756"/>
      <c r="L50" s="1238"/>
      <c r="M50" s="1226"/>
      <c r="N50" s="1226"/>
      <c r="O50" s="1226"/>
      <c r="P50" s="3042" t="str">
        <f>A50</f>
        <v>估价对象XX用房的比较价值（楼面单价，元/平方米）</v>
      </c>
      <c r="Q50" s="3039"/>
      <c r="R50" s="3043">
        <f>IF(E1="售价",ROUND(AVERAGE(R49:V49),0),ROUND(AVERAGE(R49:V49),1))</f>
        <v>6.8</v>
      </c>
      <c r="S50" s="3043"/>
      <c r="T50" s="3043"/>
      <c r="U50" s="3043"/>
      <c r="V50" s="3043"/>
      <c r="W50" s="304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1.4492753623188248E-2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4.5454545454545636E-2</v>
      </c>
      <c r="F54" s="477" t="str">
        <f>IF(OR(E54&gt;=0.2,E54&lt;=-0.2),"超过20%","")</f>
        <v/>
      </c>
      <c r="G54" s="476">
        <f>IF(G49&lt;I49,I49/G49-1,G49/I49-1)</f>
        <v>1.4492753623188248E-2</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xr:uid="{00000000-0002-0000-1600-000000000000}">
      <formula1>估价方法</formula1>
    </dataValidation>
    <dataValidation type="list" allowBlank="1" showInputMessage="1" showErrorMessage="1" sqref="D2" xr:uid="{00000000-0002-0000-1600-000001000000}">
      <formula1>"需扣减承租人权益,——"</formula1>
    </dataValidation>
    <dataValidation type="list" allowBlank="1" showInputMessage="1" showErrorMessage="1" sqref="E1" xr:uid="{00000000-0002-0000-1600-000002000000}">
      <formula1>"售价,租金"</formula1>
    </dataValidation>
    <dataValidation type="list" allowBlank="1" showInputMessage="1" showErrorMessage="1" sqref="C22 E22 G22 I22" xr:uid="{00000000-0002-0000-1600-000003000000}">
      <formula1>基础设施水平</formula1>
    </dataValidation>
    <dataValidation type="list" allowBlank="1" showInputMessage="1" showErrorMessage="1" sqref="C1" xr:uid="{00000000-0002-0000-1600-000004000000}">
      <formula1>"估价对象,仅计算典型户型"</formula1>
    </dataValidation>
    <dataValidation type="list" allowBlank="1" showInputMessage="1" showErrorMessage="1" sqref="C8 E8 G8 I8" xr:uid="{00000000-0002-0000-1600-000005000000}">
      <formula1>办公交易情况</formula1>
    </dataValidation>
    <dataValidation type="list" allowBlank="1" showInputMessage="1" showErrorMessage="1" sqref="C43 E43 G43 I43" xr:uid="{00000000-0002-0000-1600-000006000000}">
      <formula1>办公内部装修</formula1>
    </dataValidation>
    <dataValidation type="list" allowBlank="1" showInputMessage="1" showErrorMessage="1" sqref="C41 E41 G41 I41" xr:uid="{00000000-0002-0000-1600-000007000000}">
      <formula1>办公层高</formula1>
    </dataValidation>
    <dataValidation type="list" allowBlank="1" showInputMessage="1" showErrorMessage="1" sqref="C40 E40 G40 I40" xr:uid="{00000000-0002-0000-1600-000008000000}">
      <formula1>办公基础设施水平</formula1>
    </dataValidation>
    <dataValidation type="list" allowBlank="1" showInputMessage="1" showErrorMessage="1" sqref="C39 E39 G39 I39" xr:uid="{00000000-0002-0000-1600-000009000000}">
      <formula1>办公物业管理</formula1>
    </dataValidation>
    <dataValidation type="list" allowBlank="1" showInputMessage="1" showErrorMessage="1" sqref="C38 E38 G38 I38" xr:uid="{00000000-0002-0000-1600-00000A000000}">
      <formula1>写字楼等级</formula1>
    </dataValidation>
    <dataValidation type="list" allowBlank="1" showInputMessage="1" showErrorMessage="1" sqref="C36 E36 G36 I36" xr:uid="{00000000-0002-0000-1600-00000B000000}">
      <formula1>办公公共部分装修</formula1>
    </dataValidation>
    <dataValidation type="list" allowBlank="1" showInputMessage="1" showErrorMessage="1" sqref="C33 E33 G33 I33" xr:uid="{00000000-0002-0000-1600-00000C000000}">
      <formula1>办公建筑类型</formula1>
    </dataValidation>
    <dataValidation type="list" allowBlank="1" showInputMessage="1" showErrorMessage="1" sqref="C27 E27 G27 I27" xr:uid="{00000000-0002-0000-1600-00000D000000}">
      <formula1>办公楼层</formula1>
    </dataValidation>
    <dataValidation type="list" allowBlank="1" showInputMessage="1" showErrorMessage="1" sqref="C28 E28 G28 I28" xr:uid="{00000000-0002-0000-1600-00000E000000}">
      <formula1>办公朝向</formula1>
    </dataValidation>
    <dataValidation type="list" allowBlank="1" showInputMessage="1" showErrorMessage="1" sqref="G26 C26 E26 I26" xr:uid="{00000000-0002-0000-1600-00000F000000}">
      <formula1>办公道路级别</formula1>
    </dataValidation>
    <dataValidation type="list" allowBlank="1" showInputMessage="1" showErrorMessage="1" sqref="C16 E16 G16 I16" xr:uid="{00000000-0002-0000-1600-000010000000}">
      <formula1>办公集聚程度</formula1>
    </dataValidation>
    <dataValidation type="list" allowBlank="1" showInputMessage="1" showErrorMessage="1" sqref="E9 G9 I9" xr:uid="{00000000-0002-0000-1600-000011000000}">
      <formula1>办公用途</formula1>
    </dataValidation>
    <dataValidation type="list" allowBlank="1" showInputMessage="1" showErrorMessage="1" sqref="C10 E10 G10 I10" xr:uid="{00000000-0002-0000-1600-000012000000}">
      <formula1>土地年限区间</formula1>
    </dataValidation>
    <dataValidation type="list" allowBlank="1" showInputMessage="1" showErrorMessage="1" sqref="C44 E44 G44 I44" xr:uid="{00000000-0002-0000-1600-000013000000}">
      <formula1>内部装修维护情况</formula1>
    </dataValidation>
    <dataValidation type="list" allowBlank="1" showInputMessage="1" showErrorMessage="1" sqref="E20 G20 C20 I20" xr:uid="{00000000-0002-0000-1600-000014000000}">
      <formula1>公共配套设施</formula1>
    </dataValidation>
    <dataValidation type="list" allowBlank="1" showInputMessage="1" showErrorMessage="1" sqref="E18 G18 I18 C18" xr:uid="{00000000-0002-0000-1600-000015000000}">
      <formula1>交通便捷度</formula1>
    </dataValidation>
    <dataValidation type="list" allowBlank="1" showInputMessage="1" showErrorMessage="1" sqref="E24 G24 I24 C24" xr:uid="{00000000-0002-0000-1600-000016000000}">
      <formula1>环境</formula1>
    </dataValidation>
    <dataValidation type="list" allowBlank="1" showInputMessage="1" showErrorMessage="1" sqref="C35 E35 G35 I35" xr:uid="{00000000-0002-0000-1600-000017000000}">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V22" sqref="V22"/>
    </sheetView>
  </sheetViews>
  <sheetFormatPr defaultColWidth="9" defaultRowHeight="13.2"/>
  <cols>
    <col min="1" max="1" width="12.33203125" style="51"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320312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1">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6">
      <c r="A2" s="161" t="s">
        <v>2294</v>
      </c>
      <c r="B2" s="330">
        <f ca="1">B23</f>
        <v>6078</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6">
      <c r="A3" s="163" t="s">
        <v>2295</v>
      </c>
      <c r="B3" s="330">
        <f ca="1">B24</f>
        <v>34467</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108" t="s">
        <v>2298</v>
      </c>
      <c r="D4" s="3109"/>
      <c r="E4" s="3109"/>
      <c r="F4" s="3109"/>
      <c r="G4" s="3109"/>
      <c r="H4" s="3109"/>
      <c r="I4" s="3109"/>
      <c r="J4" s="3109"/>
      <c r="K4" s="3109"/>
      <c r="L4" s="3109"/>
      <c r="M4" s="3109"/>
      <c r="N4" s="3109"/>
      <c r="O4" s="3109"/>
      <c r="P4" s="3109"/>
      <c r="Q4" s="3109"/>
      <c r="R4" s="3109"/>
      <c r="S4" s="3110"/>
      <c r="T4" s="674" t="s">
        <v>2299</v>
      </c>
      <c r="U4" s="1294"/>
      <c r="V4" s="1294"/>
      <c r="X4" s="1294"/>
      <c r="Y4" s="1294"/>
    </row>
    <row r="5" spans="1:44" s="688" customFormat="1" ht="39.6">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3.8">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4.4"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8"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8"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0">
      <c r="A10" s="1307"/>
      <c r="B10" s="1139" t="s">
        <v>2920</v>
      </c>
      <c r="C10" s="1135" t="s">
        <v>2910</v>
      </c>
      <c r="D10" s="1136" t="s">
        <v>2915</v>
      </c>
      <c r="E10" s="2773" t="s">
        <v>2925</v>
      </c>
      <c r="F10" s="2773" t="s">
        <v>2944</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8"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8"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8"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2943</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8"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8"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8"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2" thickBot="1">
      <c r="A23" s="161" t="s">
        <v>2308</v>
      </c>
      <c r="B23" s="304">
        <f ca="1">IF(F23="——",IF(C23="万元",T25,S25),IF(C23="万元",T25-H23,S25-H23))</f>
        <v>6078</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6">
      <c r="A24" s="2348" t="s">
        <v>2309</v>
      </c>
      <c r="B24" s="304">
        <f ca="1">R25</f>
        <v>34467</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1763.4099999999999</v>
      </c>
      <c r="C25" s="3105" t="s">
        <v>45</v>
      </c>
      <c r="D25" s="3106"/>
      <c r="E25" s="3106"/>
      <c r="F25" s="3106"/>
      <c r="G25" s="3106"/>
      <c r="H25" s="3106"/>
      <c r="I25" s="3106"/>
      <c r="J25" s="3106"/>
      <c r="K25" s="3106"/>
      <c r="L25" s="3106"/>
      <c r="M25" s="3106"/>
      <c r="N25" s="3106"/>
      <c r="O25" s="3106"/>
      <c r="P25" s="3106"/>
      <c r="Q25" s="3107"/>
      <c r="R25" s="696">
        <f ca="1">IF(C23="万元",ROUND(T25*10000/B25,0),ROUND(S25/B25,0))</f>
        <v>34467</v>
      </c>
      <c r="S25" s="14">
        <f ca="1">SUM(S27:S10000)</f>
        <v>60779923</v>
      </c>
      <c r="T25" s="14">
        <f ca="1">SUM(T27:T10000)</f>
        <v>6078</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34150</v>
      </c>
      <c r="S27" s="699">
        <f ca="1">ROUND(R27*B27,0)</f>
        <v>43932951</v>
      </c>
      <c r="T27" s="699">
        <f ca="1">ROUND(R27*B27/10000,0)</f>
        <v>4393</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36049</v>
      </c>
      <c r="S28" s="330">
        <f ca="1">ROUND(R28*B28,0)</f>
        <v>8537485</v>
      </c>
      <c r="T28" s="1164">
        <f ca="1">ROUND(R28*B28/10000,0)</f>
        <v>854</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34607</v>
      </c>
      <c r="S29" s="330">
        <f t="shared" ref="S29:S92" ca="1" si="27">ROUND(R29*B29,0)</f>
        <v>8309487</v>
      </c>
      <c r="T29" s="1164">
        <f t="shared" ref="T29:T92" ca="1" si="28">ROUND(R29*B29/10000,0)</f>
        <v>831</v>
      </c>
      <c r="U29" s="1296">
        <f t="shared" si="22"/>
        <v>0</v>
      </c>
      <c r="V29" s="1296">
        <f t="shared" si="23"/>
        <v>0</v>
      </c>
      <c r="W29" s="1293"/>
      <c r="X29" s="1296">
        <f t="shared" si="24"/>
        <v>0</v>
      </c>
      <c r="Y29" s="1296">
        <f t="shared" si="25"/>
        <v>0</v>
      </c>
      <c r="Z29" s="1293"/>
    </row>
    <row r="30" spans="1:45">
      <c r="A30" s="71"/>
      <c r="B30" s="24"/>
      <c r="C30" s="14">
        <f t="shared" si="14"/>
        <v>1</v>
      </c>
      <c r="D30" s="700"/>
      <c r="E30" s="14">
        <f t="shared" si="15"/>
        <v>0.04</v>
      </c>
      <c r="F30" s="700"/>
      <c r="G30" s="14">
        <f t="shared" si="16"/>
        <v>0</v>
      </c>
      <c r="H30" s="700"/>
      <c r="I30" s="14">
        <f t="shared" si="17"/>
        <v>1</v>
      </c>
      <c r="J30" s="700"/>
      <c r="K30" s="14">
        <f t="shared" si="18"/>
        <v>1</v>
      </c>
      <c r="L30" s="700"/>
      <c r="M30" s="14">
        <f t="shared" si="19"/>
        <v>1</v>
      </c>
      <c r="N30" s="700"/>
      <c r="O30" s="14">
        <f t="shared" si="20"/>
        <v>1</v>
      </c>
      <c r="P30" s="700"/>
      <c r="Q30" s="14">
        <f t="shared" si="21"/>
        <v>1</v>
      </c>
      <c r="R30" s="696">
        <f t="shared" si="26"/>
        <v>0</v>
      </c>
      <c r="S30" s="330">
        <f t="shared" si="27"/>
        <v>0</v>
      </c>
      <c r="T30" s="1164">
        <f t="shared" si="28"/>
        <v>0</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78" customWidth="1"/>
    <col min="2" max="2" width="15.77734375" style="378" customWidth="1"/>
    <col min="3" max="3" width="15.10937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1763.4099999999999</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4.4">
      <c r="A4" s="376" t="s">
        <v>2329</v>
      </c>
      <c r="B4" s="377"/>
      <c r="C4" s="3066" t="s">
        <v>2330</v>
      </c>
      <c r="D4" s="3067"/>
      <c r="E4" s="3068" t="s">
        <v>2331</v>
      </c>
      <c r="F4" s="3069"/>
      <c r="G4" s="3066" t="s">
        <v>2332</v>
      </c>
      <c r="H4" s="3067"/>
      <c r="I4" s="3066" t="s">
        <v>2333</v>
      </c>
      <c r="J4" s="3067"/>
      <c r="K4" s="2371"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63" t="s">
        <v>2332</v>
      </c>
      <c r="AC4" s="3063" t="s">
        <v>2333</v>
      </c>
    </row>
    <row r="5" spans="1:29">
      <c r="A5" s="379"/>
      <c r="B5" s="380"/>
      <c r="C5" s="3074" t="s">
        <v>2336</v>
      </c>
      <c r="D5" s="3075"/>
      <c r="E5" s="3123" t="s">
        <v>2337</v>
      </c>
      <c r="F5" s="3077"/>
      <c r="G5" s="3074" t="s">
        <v>2338</v>
      </c>
      <c r="H5" s="3075"/>
      <c r="I5" s="3074" t="s">
        <v>2339</v>
      </c>
      <c r="J5" s="3075"/>
      <c r="K5" s="2372"/>
      <c r="L5" s="1225"/>
      <c r="M5" s="1226"/>
      <c r="N5" s="1226"/>
      <c r="O5" s="1226"/>
      <c r="P5" s="3121"/>
      <c r="Q5" s="3045"/>
      <c r="R5" s="3059"/>
      <c r="S5" s="3060"/>
      <c r="T5" s="3059"/>
      <c r="U5" s="3060"/>
      <c r="V5" s="3056"/>
      <c r="W5" s="3056"/>
      <c r="X5" s="1880"/>
      <c r="Y5" s="3059"/>
      <c r="Z5" s="3060"/>
      <c r="AA5" s="3064"/>
      <c r="AB5" s="3064"/>
      <c r="AC5" s="3064"/>
    </row>
    <row r="6" spans="1:29" ht="15" thickBot="1">
      <c r="A6" s="381"/>
      <c r="B6" s="382"/>
      <c r="C6" s="3078" t="s">
        <v>2340</v>
      </c>
      <c r="D6" s="3079"/>
      <c r="E6" s="3080" t="s">
        <v>2340</v>
      </c>
      <c r="F6" s="3081"/>
      <c r="G6" s="3078" t="s">
        <v>2340</v>
      </c>
      <c r="H6" s="3079"/>
      <c r="I6" s="3078" t="s">
        <v>2340</v>
      </c>
      <c r="J6" s="3079"/>
      <c r="K6" s="2372" t="s">
        <v>2341</v>
      </c>
      <c r="L6" s="1225"/>
      <c r="M6" s="1226"/>
      <c r="N6" s="1226"/>
      <c r="O6" s="1226"/>
      <c r="P6" s="3122"/>
      <c r="Q6" s="3073"/>
      <c r="R6" s="3059"/>
      <c r="S6" s="3060"/>
      <c r="T6" s="3061"/>
      <c r="U6" s="3062"/>
      <c r="V6" s="3056"/>
      <c r="W6" s="3056"/>
      <c r="X6" s="1880"/>
      <c r="Y6" s="3061"/>
      <c r="Z6" s="3062"/>
      <c r="AA6" s="3065"/>
      <c r="AB6" s="3065"/>
      <c r="AC6" s="3065"/>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55" t="s">
        <v>2343</v>
      </c>
      <c r="Q7" s="3053"/>
      <c r="R7" s="741" t="s">
        <v>34</v>
      </c>
      <c r="S7" s="742">
        <f t="shared" ref="S7:S15" si="0">F7</f>
        <v>0</v>
      </c>
      <c r="T7" s="741" t="s">
        <v>34</v>
      </c>
      <c r="U7" s="742">
        <f t="shared" ref="U7:U15" si="1">H7</f>
        <v>0</v>
      </c>
      <c r="V7" s="741" t="s">
        <v>34</v>
      </c>
      <c r="W7" s="742">
        <f t="shared" ref="W7:W15" si="2">J7</f>
        <v>0</v>
      </c>
      <c r="X7" s="743"/>
      <c r="Y7" s="3055" t="s">
        <v>2343</v>
      </c>
      <c r="Z7" s="3054"/>
      <c r="AA7" s="744" t="e">
        <f>D7/F7</f>
        <v>#DIV/0!</v>
      </c>
      <c r="AB7" s="744" t="e">
        <f>D7/H7</f>
        <v>#DIV/0!</v>
      </c>
      <c r="AC7" s="744" t="e">
        <f>D7/J7</f>
        <v>#DIV/0!</v>
      </c>
    </row>
    <row r="8" spans="1:29" s="34" customFormat="1" ht="1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55" t="s">
        <v>2346</v>
      </c>
      <c r="Q8" s="3054"/>
      <c r="R8" s="741" t="s">
        <v>34</v>
      </c>
      <c r="S8" s="742">
        <f t="shared" si="0"/>
        <v>0</v>
      </c>
      <c r="T8" s="741" t="s">
        <v>34</v>
      </c>
      <c r="U8" s="742">
        <f t="shared" si="1"/>
        <v>0</v>
      </c>
      <c r="V8" s="741" t="s">
        <v>34</v>
      </c>
      <c r="W8" s="742">
        <f t="shared" si="2"/>
        <v>0</v>
      </c>
      <c r="X8" s="743"/>
      <c r="Y8" s="3055" t="s">
        <v>2346</v>
      </c>
      <c r="Z8" s="3054"/>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19" t="s">
        <v>2349</v>
      </c>
      <c r="Q9" s="1867"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19"/>
      <c r="Q10" s="1867"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19"/>
      <c r="Q11" s="1867" t="str">
        <f t="shared" si="6"/>
        <v>容积率</v>
      </c>
      <c r="R11" s="741" t="s">
        <v>28</v>
      </c>
      <c r="S11" s="742" t="e">
        <f t="shared" si="0"/>
        <v>#N/A</v>
      </c>
      <c r="T11" s="741" t="s">
        <v>28</v>
      </c>
      <c r="U11" s="742" t="e">
        <f t="shared" si="1"/>
        <v>#N/A</v>
      </c>
      <c r="V11" s="741" t="s">
        <v>28</v>
      </c>
      <c r="W11" s="742" t="e">
        <f t="shared" si="2"/>
        <v>#N/A</v>
      </c>
      <c r="X11" s="743"/>
      <c r="Y11" s="2912"/>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19"/>
      <c r="Q12" s="1867">
        <f t="shared" si="6"/>
        <v>111</v>
      </c>
      <c r="R12" s="741" t="s">
        <v>28</v>
      </c>
      <c r="S12" s="742">
        <f t="shared" si="0"/>
        <v>100</v>
      </c>
      <c r="T12" s="741" t="s">
        <v>28</v>
      </c>
      <c r="U12" s="742">
        <f t="shared" si="1"/>
        <v>100</v>
      </c>
      <c r="V12" s="741" t="s">
        <v>28</v>
      </c>
      <c r="W12" s="742">
        <f t="shared" si="2"/>
        <v>100</v>
      </c>
      <c r="X12" s="743"/>
      <c r="Y12" s="2912"/>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19"/>
      <c r="Q13" s="1867">
        <f t="shared" si="6"/>
        <v>111</v>
      </c>
      <c r="R13" s="741" t="s">
        <v>28</v>
      </c>
      <c r="S13" s="742">
        <f t="shared" si="0"/>
        <v>100</v>
      </c>
      <c r="T13" s="741" t="s">
        <v>28</v>
      </c>
      <c r="U13" s="742">
        <f t="shared" si="1"/>
        <v>100</v>
      </c>
      <c r="V13" s="741" t="s">
        <v>28</v>
      </c>
      <c r="W13" s="742">
        <f t="shared" si="2"/>
        <v>100</v>
      </c>
      <c r="X13" s="743"/>
      <c r="Y13" s="2912"/>
      <c r="Z13" s="23">
        <f t="shared" si="7"/>
        <v>111</v>
      </c>
      <c r="AA13" s="744">
        <f t="shared" si="3"/>
        <v>1</v>
      </c>
      <c r="AB13" s="744">
        <f t="shared" si="4"/>
        <v>1</v>
      </c>
      <c r="AC13" s="744">
        <f t="shared" si="5"/>
        <v>1</v>
      </c>
    </row>
    <row r="14" spans="1:29" ht="15.6"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19"/>
      <c r="Q14" s="1867">
        <f t="shared" si="6"/>
        <v>111</v>
      </c>
      <c r="R14" s="741" t="s">
        <v>28</v>
      </c>
      <c r="S14" s="742">
        <f t="shared" si="0"/>
        <v>100</v>
      </c>
      <c r="T14" s="741" t="s">
        <v>28</v>
      </c>
      <c r="U14" s="742">
        <f t="shared" si="1"/>
        <v>100</v>
      </c>
      <c r="V14" s="741" t="s">
        <v>28</v>
      </c>
      <c r="W14" s="742">
        <f t="shared" si="2"/>
        <v>100</v>
      </c>
      <c r="X14" s="743"/>
      <c r="Y14" s="2912"/>
      <c r="Z14" s="23">
        <f t="shared" si="7"/>
        <v>111</v>
      </c>
      <c r="AA14" s="744">
        <f t="shared" si="3"/>
        <v>1</v>
      </c>
      <c r="AB14" s="744">
        <f t="shared" si="4"/>
        <v>1</v>
      </c>
      <c r="AC14" s="744">
        <f t="shared" si="5"/>
        <v>1</v>
      </c>
    </row>
    <row r="15" spans="1:29" ht="96.6">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14" t="s">
        <v>2354</v>
      </c>
      <c r="Q15" s="1879" t="str">
        <f t="shared" si="6"/>
        <v>居住社区成熟度</v>
      </c>
      <c r="R15" s="745" t="s">
        <v>28</v>
      </c>
      <c r="S15" s="746">
        <f t="shared" si="0"/>
        <v>100</v>
      </c>
      <c r="T15" s="745" t="s">
        <v>28</v>
      </c>
      <c r="U15" s="746">
        <f t="shared" si="1"/>
        <v>100</v>
      </c>
      <c r="V15" s="745" t="s">
        <v>28</v>
      </c>
      <c r="W15" s="746">
        <f t="shared" si="2"/>
        <v>100</v>
      </c>
      <c r="X15" s="1880"/>
      <c r="Y15" s="3046"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15"/>
      <c r="Q16" s="1879"/>
      <c r="R16" s="745"/>
      <c r="S16" s="746"/>
      <c r="T16" s="745"/>
      <c r="U16" s="746"/>
      <c r="V16" s="745"/>
      <c r="W16" s="746"/>
      <c r="X16" s="1880"/>
      <c r="Y16" s="3047"/>
      <c r="Z16" s="1882"/>
      <c r="AA16" s="1883">
        <v>1</v>
      </c>
      <c r="AB16" s="1883">
        <v>1</v>
      </c>
      <c r="AC16" s="1883">
        <v>1</v>
      </c>
    </row>
    <row r="17" spans="1:29" ht="96.6">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15"/>
      <c r="Q17" s="1879" t="str">
        <f>B17</f>
        <v>交通便捷度</v>
      </c>
      <c r="R17" s="745" t="s">
        <v>28</v>
      </c>
      <c r="S17" s="746">
        <f>F17</f>
        <v>100</v>
      </c>
      <c r="T17" s="745" t="s">
        <v>28</v>
      </c>
      <c r="U17" s="746">
        <f>H17</f>
        <v>100</v>
      </c>
      <c r="V17" s="745" t="s">
        <v>28</v>
      </c>
      <c r="W17" s="746">
        <f>J17</f>
        <v>100</v>
      </c>
      <c r="X17" s="1880"/>
      <c r="Y17" s="3047"/>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15"/>
      <c r="Q18" s="1879"/>
      <c r="R18" s="745"/>
      <c r="S18" s="746"/>
      <c r="T18" s="745"/>
      <c r="U18" s="746"/>
      <c r="V18" s="745"/>
      <c r="W18" s="746"/>
      <c r="X18" s="1880"/>
      <c r="Y18" s="3047"/>
      <c r="Z18" s="1882"/>
      <c r="AA18" s="1883">
        <v>1</v>
      </c>
      <c r="AB18" s="1883">
        <v>1</v>
      </c>
      <c r="AC18" s="1883">
        <v>1</v>
      </c>
    </row>
    <row r="19" spans="1:29" ht="82.8">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15"/>
      <c r="Q19" s="1879" t="str">
        <f>B19</f>
        <v>公共配套设施</v>
      </c>
      <c r="R19" s="745" t="s">
        <v>28</v>
      </c>
      <c r="S19" s="746">
        <f>F19</f>
        <v>100</v>
      </c>
      <c r="T19" s="745" t="s">
        <v>28</v>
      </c>
      <c r="U19" s="746">
        <f>H19</f>
        <v>100</v>
      </c>
      <c r="V19" s="745" t="s">
        <v>28</v>
      </c>
      <c r="W19" s="746">
        <f>J19</f>
        <v>100</v>
      </c>
      <c r="X19" s="1880"/>
      <c r="Y19" s="3047"/>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15"/>
      <c r="Q20" s="1879"/>
      <c r="R20" s="745"/>
      <c r="S20" s="746"/>
      <c r="T20" s="745"/>
      <c r="U20" s="746"/>
      <c r="V20" s="745"/>
      <c r="W20" s="746"/>
      <c r="X20" s="1880"/>
      <c r="Y20" s="3047"/>
      <c r="Z20" s="1882"/>
      <c r="AA20" s="1883">
        <v>1</v>
      </c>
      <c r="AB20" s="1883">
        <v>1</v>
      </c>
      <c r="AC20" s="1883">
        <v>1</v>
      </c>
    </row>
    <row r="21" spans="1:29" ht="41.4">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15"/>
      <c r="Q21" s="1879" t="str">
        <f>B21</f>
        <v>基础设施水平</v>
      </c>
      <c r="R21" s="745" t="s">
        <v>28</v>
      </c>
      <c r="S21" s="746">
        <f>F21</f>
        <v>100</v>
      </c>
      <c r="T21" s="745" t="s">
        <v>28</v>
      </c>
      <c r="U21" s="746">
        <f>H21</f>
        <v>100</v>
      </c>
      <c r="V21" s="745" t="s">
        <v>28</v>
      </c>
      <c r="W21" s="746">
        <f>J21</f>
        <v>100</v>
      </c>
      <c r="X21" s="1880"/>
      <c r="Y21" s="3047"/>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15"/>
      <c r="Q22" s="1879"/>
      <c r="R22" s="745"/>
      <c r="S22" s="746"/>
      <c r="T22" s="745"/>
      <c r="U22" s="746"/>
      <c r="V22" s="745"/>
      <c r="W22" s="746"/>
      <c r="X22" s="1880"/>
      <c r="Y22" s="3047"/>
      <c r="Z22" s="1882"/>
      <c r="AA22" s="1883">
        <v>1</v>
      </c>
      <c r="AB22" s="1883">
        <v>1</v>
      </c>
      <c r="AC22" s="1883">
        <v>1</v>
      </c>
    </row>
    <row r="23" spans="1:29" ht="96.6">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15"/>
      <c r="Q23" s="1879" t="str">
        <f>B23</f>
        <v>自然及人文环境</v>
      </c>
      <c r="R23" s="745" t="s">
        <v>28</v>
      </c>
      <c r="S23" s="746">
        <f>F23</f>
        <v>100</v>
      </c>
      <c r="T23" s="745" t="s">
        <v>28</v>
      </c>
      <c r="U23" s="746">
        <f>H23</f>
        <v>100</v>
      </c>
      <c r="V23" s="745" t="s">
        <v>28</v>
      </c>
      <c r="W23" s="746">
        <f>J23</f>
        <v>100</v>
      </c>
      <c r="X23" s="1880"/>
      <c r="Y23" s="3047"/>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15"/>
      <c r="Q24" s="1879"/>
      <c r="R24" s="745"/>
      <c r="S24" s="746"/>
      <c r="T24" s="745"/>
      <c r="U24" s="746"/>
      <c r="V24" s="745"/>
      <c r="W24" s="746"/>
      <c r="X24" s="1880"/>
      <c r="Y24" s="3047"/>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15"/>
      <c r="Q25" s="1879" t="str">
        <f t="shared" ref="Q25:Q46" si="11">B25</f>
        <v>楼层-1</v>
      </c>
      <c r="R25" s="745" t="s">
        <v>28</v>
      </c>
      <c r="S25" s="746">
        <f>F25</f>
        <v>100</v>
      </c>
      <c r="T25" s="745" t="s">
        <v>28</v>
      </c>
      <c r="U25" s="746">
        <f>H25</f>
        <v>100</v>
      </c>
      <c r="V25" s="745" t="s">
        <v>28</v>
      </c>
      <c r="W25" s="746">
        <f>J25</f>
        <v>100</v>
      </c>
      <c r="X25" s="1880"/>
      <c r="Y25" s="3047"/>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15"/>
      <c r="Q26" s="1879" t="str">
        <f t="shared" si="11"/>
        <v>朝向</v>
      </c>
      <c r="R26" s="745" t="s">
        <v>28</v>
      </c>
      <c r="S26" s="746">
        <f>F26</f>
        <v>100</v>
      </c>
      <c r="T26" s="745" t="s">
        <v>28</v>
      </c>
      <c r="U26" s="746">
        <f>H26</f>
        <v>100</v>
      </c>
      <c r="V26" s="745" t="s">
        <v>28</v>
      </c>
      <c r="W26" s="746">
        <f>J26</f>
        <v>100</v>
      </c>
      <c r="X26" s="1880"/>
      <c r="Y26" s="3047"/>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15"/>
      <c r="Q27" s="1867" t="str">
        <f t="shared" si="11"/>
        <v>道路级别</v>
      </c>
      <c r="R27" s="741" t="s">
        <v>28</v>
      </c>
      <c r="S27" s="742">
        <f>F27</f>
        <v>100</v>
      </c>
      <c r="T27" s="741" t="s">
        <v>28</v>
      </c>
      <c r="U27" s="742">
        <f>H27</f>
        <v>100</v>
      </c>
      <c r="V27" s="741" t="s">
        <v>28</v>
      </c>
      <c r="W27" s="742">
        <f>J27</f>
        <v>100</v>
      </c>
      <c r="X27" s="743"/>
      <c r="Y27" s="3047"/>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15"/>
      <c r="Q28" s="1879">
        <f t="shared" si="11"/>
        <v>111</v>
      </c>
      <c r="R28" s="745" t="s">
        <v>28</v>
      </c>
      <c r="S28" s="746">
        <f t="shared" ref="S28:S46" si="12">F28</f>
        <v>100</v>
      </c>
      <c r="T28" s="745" t="s">
        <v>28</v>
      </c>
      <c r="U28" s="746">
        <f t="shared" ref="U28:U46" si="13">H28</f>
        <v>100</v>
      </c>
      <c r="V28" s="745" t="s">
        <v>28</v>
      </c>
      <c r="W28" s="746">
        <f t="shared" ref="W28:W46" si="14">J28</f>
        <v>100</v>
      </c>
      <c r="X28" s="1880"/>
      <c r="Y28" s="3047"/>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15"/>
      <c r="Q29" s="1879">
        <f t="shared" si="11"/>
        <v>111</v>
      </c>
      <c r="R29" s="745" t="s">
        <v>28</v>
      </c>
      <c r="S29" s="746">
        <f t="shared" si="12"/>
        <v>100</v>
      </c>
      <c r="T29" s="745" t="s">
        <v>28</v>
      </c>
      <c r="U29" s="746">
        <f t="shared" si="13"/>
        <v>100</v>
      </c>
      <c r="V29" s="745" t="s">
        <v>28</v>
      </c>
      <c r="W29" s="746">
        <f t="shared" si="14"/>
        <v>100</v>
      </c>
      <c r="X29" s="1880"/>
      <c r="Y29" s="3047"/>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15"/>
      <c r="Q30" s="1879">
        <f t="shared" si="11"/>
        <v>111</v>
      </c>
      <c r="R30" s="745" t="s">
        <v>28</v>
      </c>
      <c r="S30" s="746">
        <f t="shared" si="12"/>
        <v>100</v>
      </c>
      <c r="T30" s="745" t="s">
        <v>28</v>
      </c>
      <c r="U30" s="746">
        <f t="shared" si="13"/>
        <v>100</v>
      </c>
      <c r="V30" s="745" t="s">
        <v>28</v>
      </c>
      <c r="W30" s="746">
        <f t="shared" si="14"/>
        <v>100</v>
      </c>
      <c r="X30" s="1880"/>
      <c r="Y30" s="3047"/>
      <c r="Z30" s="1882">
        <f t="shared" si="15"/>
        <v>111</v>
      </c>
      <c r="AA30" s="1883">
        <f t="shared" si="3"/>
        <v>1</v>
      </c>
      <c r="AB30" s="1883">
        <f t="shared" si="4"/>
        <v>1</v>
      </c>
      <c r="AC30" s="1883">
        <f t="shared" si="5"/>
        <v>1</v>
      </c>
    </row>
    <row r="31" spans="1:29" ht="15.6"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15"/>
      <c r="Q31" s="1879">
        <f t="shared" si="11"/>
        <v>111</v>
      </c>
      <c r="R31" s="745" t="s">
        <v>28</v>
      </c>
      <c r="S31" s="746">
        <f t="shared" si="12"/>
        <v>100</v>
      </c>
      <c r="T31" s="745" t="s">
        <v>28</v>
      </c>
      <c r="U31" s="746">
        <f t="shared" si="13"/>
        <v>100</v>
      </c>
      <c r="V31" s="745" t="s">
        <v>28</v>
      </c>
      <c r="W31" s="746">
        <f t="shared" si="14"/>
        <v>100</v>
      </c>
      <c r="X31" s="1880"/>
      <c r="Y31" s="3047"/>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6" t="s">
        <v>2360</v>
      </c>
      <c r="Q32" s="1879" t="str">
        <f t="shared" si="11"/>
        <v>建筑类型</v>
      </c>
      <c r="R32" s="745" t="s">
        <v>28</v>
      </c>
      <c r="S32" s="746">
        <f t="shared" si="12"/>
        <v>100</v>
      </c>
      <c r="T32" s="745" t="s">
        <v>28</v>
      </c>
      <c r="U32" s="746">
        <f t="shared" si="13"/>
        <v>100</v>
      </c>
      <c r="V32" s="745" t="s">
        <v>28</v>
      </c>
      <c r="W32" s="746">
        <f t="shared" si="14"/>
        <v>100</v>
      </c>
      <c r="X32" s="1880"/>
      <c r="Y32" s="3051"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7"/>
      <c r="Q33" s="747" t="str">
        <f t="shared" si="11"/>
        <v>项目建筑规模</v>
      </c>
      <c r="R33" s="748" t="s">
        <v>28</v>
      </c>
      <c r="S33" s="749" t="e">
        <f t="shared" si="12"/>
        <v>#N/A</v>
      </c>
      <c r="T33" s="748" t="s">
        <v>28</v>
      </c>
      <c r="U33" s="749" t="e">
        <f t="shared" si="13"/>
        <v>#N/A</v>
      </c>
      <c r="V33" s="748" t="s">
        <v>28</v>
      </c>
      <c r="W33" s="749" t="e">
        <f t="shared" si="14"/>
        <v>#N/A</v>
      </c>
      <c r="X33" s="750"/>
      <c r="Y33" s="3051"/>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7"/>
      <c r="Q34" s="1879" t="str">
        <f t="shared" si="11"/>
        <v>建筑结构</v>
      </c>
      <c r="R34" s="745" t="s">
        <v>28</v>
      </c>
      <c r="S34" s="746">
        <f t="shared" si="12"/>
        <v>100</v>
      </c>
      <c r="T34" s="745" t="s">
        <v>28</v>
      </c>
      <c r="U34" s="746">
        <f t="shared" si="13"/>
        <v>100</v>
      </c>
      <c r="V34" s="745" t="s">
        <v>28</v>
      </c>
      <c r="W34" s="746">
        <f t="shared" si="14"/>
        <v>100</v>
      </c>
      <c r="X34" s="1880"/>
      <c r="Y34" s="3051"/>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7"/>
      <c r="Q35" s="1879" t="str">
        <f t="shared" si="11"/>
        <v>建筑品质</v>
      </c>
      <c r="R35" s="745" t="s">
        <v>28</v>
      </c>
      <c r="S35" s="746">
        <f t="shared" si="12"/>
        <v>100</v>
      </c>
      <c r="T35" s="745" t="s">
        <v>28</v>
      </c>
      <c r="U35" s="746">
        <f t="shared" si="13"/>
        <v>100</v>
      </c>
      <c r="V35" s="745" t="s">
        <v>28</v>
      </c>
      <c r="W35" s="746">
        <f t="shared" si="14"/>
        <v>100</v>
      </c>
      <c r="X35" s="1880"/>
      <c r="Y35" s="3051"/>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7"/>
      <c r="Q36" s="1879" t="str">
        <f t="shared" si="11"/>
        <v>公共部分装修</v>
      </c>
      <c r="R36" s="745" t="s">
        <v>28</v>
      </c>
      <c r="S36" s="746">
        <f t="shared" si="12"/>
        <v>100</v>
      </c>
      <c r="T36" s="745" t="s">
        <v>28</v>
      </c>
      <c r="U36" s="746">
        <f t="shared" si="13"/>
        <v>100</v>
      </c>
      <c r="V36" s="745" t="s">
        <v>28</v>
      </c>
      <c r="W36" s="746">
        <f t="shared" si="14"/>
        <v>100</v>
      </c>
      <c r="X36" s="1880"/>
      <c r="Y36" s="3051"/>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7"/>
      <c r="Q37" s="1867" t="str">
        <f t="shared" si="11"/>
        <v>成新度</v>
      </c>
      <c r="R37" s="741" t="s">
        <v>28</v>
      </c>
      <c r="S37" s="742" t="e">
        <f t="shared" si="12"/>
        <v>#N/A</v>
      </c>
      <c r="T37" s="741" t="s">
        <v>28</v>
      </c>
      <c r="U37" s="742" t="e">
        <f t="shared" si="13"/>
        <v>#N/A</v>
      </c>
      <c r="V37" s="741" t="s">
        <v>28</v>
      </c>
      <c r="W37" s="742" t="e">
        <f t="shared" si="14"/>
        <v>#N/A</v>
      </c>
      <c r="X37" s="743"/>
      <c r="Y37" s="3051"/>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7" t="s">
        <v>2360</v>
      </c>
      <c r="Q38" s="1879" t="str">
        <f t="shared" si="11"/>
        <v>物业管理</v>
      </c>
      <c r="R38" s="745" t="s">
        <v>28</v>
      </c>
      <c r="S38" s="746">
        <f t="shared" si="12"/>
        <v>100</v>
      </c>
      <c r="T38" s="745" t="s">
        <v>28</v>
      </c>
      <c r="U38" s="746">
        <f t="shared" si="13"/>
        <v>100</v>
      </c>
      <c r="V38" s="745" t="s">
        <v>28</v>
      </c>
      <c r="W38" s="746">
        <f t="shared" si="14"/>
        <v>100</v>
      </c>
      <c r="X38" s="1880"/>
      <c r="Y38" s="3051"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7"/>
      <c r="Q39" s="1879" t="str">
        <f t="shared" si="11"/>
        <v>市政基础设施</v>
      </c>
      <c r="R39" s="745" t="s">
        <v>28</v>
      </c>
      <c r="S39" s="746">
        <f t="shared" si="12"/>
        <v>100</v>
      </c>
      <c r="T39" s="745" t="s">
        <v>28</v>
      </c>
      <c r="U39" s="746">
        <f t="shared" si="13"/>
        <v>100</v>
      </c>
      <c r="V39" s="745" t="s">
        <v>28</v>
      </c>
      <c r="W39" s="746">
        <f t="shared" si="14"/>
        <v>100</v>
      </c>
      <c r="X39" s="1880"/>
      <c r="Y39" s="3051"/>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7"/>
      <c r="Q40" s="1879" t="str">
        <f t="shared" si="11"/>
        <v>房型</v>
      </c>
      <c r="R40" s="745" t="s">
        <v>28</v>
      </c>
      <c r="S40" s="746">
        <f t="shared" si="12"/>
        <v>100</v>
      </c>
      <c r="T40" s="745" t="s">
        <v>28</v>
      </c>
      <c r="U40" s="746">
        <f t="shared" si="13"/>
        <v>100</v>
      </c>
      <c r="V40" s="745" t="s">
        <v>28</v>
      </c>
      <c r="W40" s="746">
        <f t="shared" si="14"/>
        <v>100</v>
      </c>
      <c r="X40" s="1880"/>
      <c r="Y40" s="3051"/>
      <c r="Z40" s="1882" t="str">
        <f t="shared" si="15"/>
        <v>房型</v>
      </c>
      <c r="AA40" s="1883">
        <f t="shared" si="3"/>
        <v>1</v>
      </c>
      <c r="AB40" s="1883">
        <f t="shared" si="4"/>
        <v>1</v>
      </c>
      <c r="AC40" s="1883">
        <f t="shared" si="5"/>
        <v>1</v>
      </c>
    </row>
    <row r="41" spans="1:29" s="448" customFormat="1" ht="28.8">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7"/>
      <c r="Q41" s="747" t="str">
        <f t="shared" si="11"/>
        <v>单套/主力户型建筑面积</v>
      </c>
      <c r="R41" s="748" t="s">
        <v>28</v>
      </c>
      <c r="S41" s="749">
        <f t="shared" si="12"/>
        <v>100</v>
      </c>
      <c r="T41" s="748" t="s">
        <v>28</v>
      </c>
      <c r="U41" s="749">
        <f t="shared" si="13"/>
        <v>100</v>
      </c>
      <c r="V41" s="748" t="s">
        <v>28</v>
      </c>
      <c r="W41" s="749">
        <f t="shared" si="14"/>
        <v>100</v>
      </c>
      <c r="X41" s="750"/>
      <c r="Y41" s="3051"/>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7"/>
      <c r="Q42" s="1879" t="str">
        <f t="shared" si="11"/>
        <v>内部装修</v>
      </c>
      <c r="R42" s="745" t="s">
        <v>28</v>
      </c>
      <c r="S42" s="746">
        <f t="shared" si="12"/>
        <v>100</v>
      </c>
      <c r="T42" s="745" t="s">
        <v>28</v>
      </c>
      <c r="U42" s="746">
        <f t="shared" si="13"/>
        <v>100</v>
      </c>
      <c r="V42" s="745" t="s">
        <v>28</v>
      </c>
      <c r="W42" s="746">
        <f t="shared" si="14"/>
        <v>100</v>
      </c>
      <c r="X42" s="1880"/>
      <c r="Y42" s="3051"/>
      <c r="Z42" s="1882" t="str">
        <f t="shared" si="15"/>
        <v>内部装修</v>
      </c>
      <c r="AA42" s="1883">
        <f t="shared" si="3"/>
        <v>1</v>
      </c>
      <c r="AB42" s="1883">
        <f t="shared" si="4"/>
        <v>1</v>
      </c>
      <c r="AC42" s="1883">
        <f t="shared" si="5"/>
        <v>1</v>
      </c>
    </row>
    <row r="43" spans="1:29" ht="28.8">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7"/>
      <c r="Q43" s="1879" t="str">
        <f t="shared" si="11"/>
        <v>内部装修维护情况</v>
      </c>
      <c r="R43" s="745" t="s">
        <v>28</v>
      </c>
      <c r="S43" s="746">
        <f t="shared" si="12"/>
        <v>100</v>
      </c>
      <c r="T43" s="745" t="s">
        <v>28</v>
      </c>
      <c r="U43" s="746">
        <f t="shared" si="13"/>
        <v>100</v>
      </c>
      <c r="V43" s="745" t="s">
        <v>28</v>
      </c>
      <c r="W43" s="746">
        <f t="shared" si="14"/>
        <v>100</v>
      </c>
      <c r="X43" s="1880"/>
      <c r="Y43" s="3051"/>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7"/>
      <c r="Q44" s="1867">
        <f t="shared" si="11"/>
        <v>111</v>
      </c>
      <c r="R44" s="741" t="s">
        <v>28</v>
      </c>
      <c r="S44" s="742">
        <f t="shared" si="12"/>
        <v>100</v>
      </c>
      <c r="T44" s="741" t="s">
        <v>28</v>
      </c>
      <c r="U44" s="742">
        <f t="shared" si="13"/>
        <v>100</v>
      </c>
      <c r="V44" s="741" t="s">
        <v>28</v>
      </c>
      <c r="W44" s="742">
        <f t="shared" si="14"/>
        <v>100</v>
      </c>
      <c r="X44" s="743"/>
      <c r="Y44" s="3051"/>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7"/>
      <c r="Q45" s="1879">
        <f t="shared" si="11"/>
        <v>111</v>
      </c>
      <c r="R45" s="745" t="s">
        <v>28</v>
      </c>
      <c r="S45" s="746">
        <f t="shared" si="12"/>
        <v>100</v>
      </c>
      <c r="T45" s="745" t="s">
        <v>28</v>
      </c>
      <c r="U45" s="746">
        <f t="shared" si="13"/>
        <v>100</v>
      </c>
      <c r="V45" s="745" t="s">
        <v>28</v>
      </c>
      <c r="W45" s="746">
        <f t="shared" si="14"/>
        <v>100</v>
      </c>
      <c r="X45" s="1880"/>
      <c r="Y45" s="3051"/>
      <c r="Z45" s="1882">
        <f t="shared" si="15"/>
        <v>111</v>
      </c>
      <c r="AA45" s="1883">
        <f t="shared" si="3"/>
        <v>1</v>
      </c>
      <c r="AB45" s="1883">
        <f t="shared" si="4"/>
        <v>1</v>
      </c>
      <c r="AC45" s="1883">
        <f t="shared" si="5"/>
        <v>1</v>
      </c>
    </row>
    <row r="46" spans="1:29" ht="15.6"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18"/>
      <c r="Q46" s="1879">
        <f t="shared" si="11"/>
        <v>111</v>
      </c>
      <c r="R46" s="745" t="s">
        <v>27</v>
      </c>
      <c r="S46" s="746">
        <f t="shared" si="12"/>
        <v>100</v>
      </c>
      <c r="T46" s="745" t="s">
        <v>27</v>
      </c>
      <c r="U46" s="746">
        <f t="shared" si="13"/>
        <v>100</v>
      </c>
      <c r="V46" s="745" t="s">
        <v>27</v>
      </c>
      <c r="W46" s="746">
        <f t="shared" si="14"/>
        <v>100</v>
      </c>
      <c r="X46" s="1880"/>
      <c r="Y46" s="3052"/>
      <c r="Z46" s="1882">
        <f t="shared" si="15"/>
        <v>111</v>
      </c>
      <c r="AA46" s="1883">
        <f t="shared" si="3"/>
        <v>1</v>
      </c>
      <c r="AB46" s="1883">
        <f t="shared" si="4"/>
        <v>1</v>
      </c>
      <c r="AC46" s="1883">
        <f t="shared" si="5"/>
        <v>1</v>
      </c>
    </row>
    <row r="47" spans="1:29" ht="14.4">
      <c r="A47" s="456" t="s">
        <v>2372</v>
      </c>
      <c r="B47" s="457"/>
      <c r="C47" s="1484" t="s">
        <v>26</v>
      </c>
      <c r="D47" s="1485"/>
      <c r="E47" s="1486"/>
      <c r="F47" s="1487"/>
      <c r="G47" s="1488"/>
      <c r="H47" s="1489"/>
      <c r="I47" s="1486"/>
      <c r="J47" s="1489"/>
      <c r="K47" s="2393"/>
      <c r="L47" s="1238"/>
      <c r="M47" s="1239"/>
      <c r="N47" s="1226"/>
      <c r="O47" s="1239"/>
      <c r="P47" s="3040" t="str">
        <f>A47</f>
        <v>成交单价（元/平方米）</v>
      </c>
      <c r="Q47" s="3040"/>
      <c r="R47" s="3041">
        <f>E47</f>
        <v>0</v>
      </c>
      <c r="S47" s="3041"/>
      <c r="T47" s="3041">
        <f>G47</f>
        <v>0</v>
      </c>
      <c r="U47" s="3041"/>
      <c r="V47" s="3041">
        <f>I47</f>
        <v>0</v>
      </c>
      <c r="W47" s="3041"/>
      <c r="X47" s="730"/>
      <c r="Y47" s="752"/>
      <c r="Z47" s="730"/>
      <c r="AA47" s="730"/>
      <c r="AB47" s="730"/>
      <c r="AC47" s="730"/>
    </row>
    <row r="48" spans="1:29" ht="1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40" t="str">
        <f>A48</f>
        <v>比较价值（元/平方米）</v>
      </c>
      <c r="Q48" s="3040"/>
      <c r="R48" s="3041" t="e">
        <f>IF(E1="售价",ROUND(PRODUCT(R47,AA7:AA46),0),ROUND(PRODUCT(R47,AA7:AA46),1))</f>
        <v>#DIV/0!</v>
      </c>
      <c r="S48" s="3041"/>
      <c r="T48" s="3111" t="e">
        <f>IF(E1="售价",ROUND(PRODUCT(T47,AB7:AB46),0),ROUND(PRODUCT(T47,AB7:AB46),1))</f>
        <v>#DIV/0!</v>
      </c>
      <c r="U48" s="3112"/>
      <c r="V48" s="3041" t="e">
        <f>IF(E1="售价",ROUND(PRODUCT(V47,AC7:AC46),0),ROUND(PRODUCT(V47,AC7:AC46),1))</f>
        <v>#DIV/0!</v>
      </c>
      <c r="W48" s="3041"/>
      <c r="X48" s="730"/>
      <c r="Y48" s="730"/>
      <c r="Z48" s="730"/>
      <c r="AA48" s="730"/>
      <c r="AB48" s="730"/>
      <c r="AC48" s="730"/>
    </row>
    <row r="49" spans="1:29" ht="15" thickBot="1">
      <c r="A49" s="469" t="s">
        <v>2374</v>
      </c>
      <c r="B49" s="470"/>
      <c r="C49" s="1493" t="e">
        <f>R49</f>
        <v>#DIV/0!</v>
      </c>
      <c r="D49" s="1494"/>
      <c r="E49" s="1494"/>
      <c r="F49" s="1494"/>
      <c r="G49" s="1494"/>
      <c r="H49" s="1494"/>
      <c r="I49" s="1494"/>
      <c r="J49" s="1494"/>
      <c r="K49" s="2395"/>
      <c r="L49" s="1238"/>
      <c r="M49" s="1239"/>
      <c r="N49" s="1239"/>
      <c r="O49" s="1239"/>
      <c r="P49" s="3113" t="str">
        <f>A49</f>
        <v>估价对象XX用房的比较价值（楼面单价，元/平方米）</v>
      </c>
      <c r="Q49" s="3039"/>
      <c r="R49" s="3043" t="e">
        <f>IF(E1="售价",ROUND(AVERAGE(R48:V48),0),ROUND(AVERAGE(R48:V48),1))</f>
        <v>#DIV/0!</v>
      </c>
      <c r="S49" s="3043"/>
      <c r="T49" s="3043"/>
      <c r="U49" s="3043"/>
      <c r="V49" s="3043"/>
      <c r="W49" s="304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2.2" thickBot="1">
      <c r="A57" s="734" t="s">
        <v>2378</v>
      </c>
      <c r="B57" s="730"/>
      <c r="C57" s="735"/>
      <c r="D57" s="735"/>
      <c r="E57" s="735"/>
      <c r="F57" s="736"/>
      <c r="G57" s="736"/>
      <c r="H57" s="735"/>
      <c r="I57" s="735"/>
      <c r="J57" s="735"/>
      <c r="K57" s="737"/>
      <c r="L57" s="738"/>
      <c r="M57" s="735"/>
      <c r="N57" s="735"/>
      <c r="O57" s="735"/>
      <c r="P57" s="2398"/>
      <c r="Q57" s="481"/>
    </row>
    <row r="58" spans="1:29" s="485" customFormat="1" ht="14.4">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2381</v>
      </c>
      <c r="B61" s="487"/>
      <c r="C61" s="499" t="s">
        <v>2382</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40"/>
      <c r="E73" s="540"/>
      <c r="F73" s="540"/>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2405</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 thickTop="1">
      <c r="A88" s="559"/>
      <c r="B88" s="517" t="s">
        <v>2406</v>
      </c>
      <c r="C88" s="533"/>
      <c r="D88" s="533"/>
      <c r="E88" s="533"/>
      <c r="F88" s="2407"/>
      <c r="G88" s="533"/>
      <c r="H88" s="533"/>
      <c r="I88" s="533"/>
      <c r="J88" s="533"/>
      <c r="K88" s="533"/>
      <c r="L88" s="533"/>
      <c r="M88" s="561"/>
      <c r="N88" s="1248"/>
      <c r="O88" s="1248"/>
      <c r="P88" s="2402"/>
      <c r="Q88" s="481"/>
    </row>
    <row r="89" spans="1:17" s="34" customFormat="1" ht="14.4"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4.4"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4.4" thickBot="1">
      <c r="A91" s="532"/>
      <c r="B91" s="522"/>
      <c r="C91" s="540"/>
      <c r="D91" s="540"/>
      <c r="E91" s="540"/>
      <c r="F91" s="540"/>
      <c r="G91" s="540"/>
      <c r="H91" s="542"/>
      <c r="I91" s="542"/>
      <c r="J91" s="542"/>
      <c r="K91" s="542"/>
      <c r="L91" s="542"/>
      <c r="M91" s="543"/>
      <c r="N91" s="1251"/>
      <c r="O91" s="1251"/>
      <c r="P91" s="2403"/>
      <c r="Q91" s="539"/>
    </row>
    <row r="92" spans="1:17" ht="14.4" thickTop="1">
      <c r="A92" s="512"/>
      <c r="B92" s="517">
        <f>B28</f>
        <v>111</v>
      </c>
      <c r="C92" s="533"/>
      <c r="D92" s="533"/>
      <c r="E92" s="533"/>
      <c r="F92" s="533"/>
      <c r="G92" s="563"/>
      <c r="H92" s="563"/>
      <c r="I92" s="563"/>
      <c r="J92" s="563"/>
      <c r="K92" s="564"/>
      <c r="L92" s="565"/>
      <c r="M92" s="566"/>
      <c r="N92" s="1249"/>
      <c r="O92" s="1249"/>
      <c r="P92" s="2402"/>
      <c r="Q92" s="481"/>
    </row>
    <row r="93" spans="1:17" ht="14.4" thickBot="1">
      <c r="A93" s="512"/>
      <c r="B93" s="522"/>
      <c r="C93" s="540"/>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40"/>
      <c r="E95" s="540"/>
      <c r="F95" s="540"/>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50"/>
      <c r="D97" s="550"/>
      <c r="E97" s="550"/>
      <c r="F97" s="550"/>
      <c r="G97" s="514"/>
      <c r="H97" s="514"/>
      <c r="I97" s="514"/>
      <c r="J97" s="514"/>
      <c r="K97" s="514"/>
      <c r="L97" s="514"/>
      <c r="M97" s="515"/>
      <c r="N97" s="1250"/>
      <c r="O97" s="1250"/>
      <c r="P97" s="2402"/>
      <c r="Q97" s="481"/>
    </row>
    <row r="98" spans="1:17" ht="14.4" thickTop="1">
      <c r="A98" s="512"/>
      <c r="B98" s="525">
        <f>B31</f>
        <v>111</v>
      </c>
      <c r="C98" s="567"/>
      <c r="D98" s="567"/>
      <c r="E98" s="567"/>
      <c r="F98" s="567"/>
      <c r="G98" s="567"/>
      <c r="H98" s="567"/>
      <c r="I98" s="567"/>
      <c r="J98" s="567"/>
      <c r="K98" s="568"/>
      <c r="L98" s="569"/>
      <c r="M98" s="570"/>
      <c r="N98" s="1249"/>
      <c r="O98" s="1249"/>
      <c r="P98" s="2402"/>
      <c r="Q98" s="481"/>
    </row>
    <row r="99" spans="1:17" ht="14.4" thickBot="1">
      <c r="A99" s="2408"/>
      <c r="B99" s="549"/>
      <c r="C99" s="571"/>
      <c r="D99" s="571"/>
      <c r="E99" s="571"/>
      <c r="F99" s="571"/>
      <c r="G99" s="571"/>
      <c r="H99" s="571"/>
      <c r="I99" s="571"/>
      <c r="J99" s="571"/>
      <c r="K99" s="571"/>
      <c r="L99" s="571"/>
      <c r="M99" s="572"/>
      <c r="N99" s="1250"/>
      <c r="O99" s="1250"/>
      <c r="P99" s="2402"/>
      <c r="Q99" s="481"/>
    </row>
    <row r="100" spans="1:17" ht="14.4">
      <c r="A100" s="504" t="s">
        <v>2358</v>
      </c>
      <c r="B100" s="505" t="s">
        <v>2407</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4.4"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4.4"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4.4"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9.4"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4.4"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40"/>
      <c r="E129" s="540"/>
      <c r="F129" s="540"/>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6.2"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ht="14.4">
      <c r="B147" s="2409" t="s">
        <v>2436</v>
      </c>
    </row>
    <row r="148" spans="2:11" ht="14.4">
      <c r="B148" s="2409"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1763.4099999999999</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56" t="s">
        <v>2332</v>
      </c>
      <c r="AC4" s="3063" t="s">
        <v>2333</v>
      </c>
    </row>
    <row r="5" spans="1:29">
      <c r="A5" s="379"/>
      <c r="B5" s="380"/>
      <c r="C5" s="3074" t="s">
        <v>2336</v>
      </c>
      <c r="D5" s="3075"/>
      <c r="E5" s="3123" t="s">
        <v>2337</v>
      </c>
      <c r="F5" s="3077"/>
      <c r="G5" s="3074" t="s">
        <v>2338</v>
      </c>
      <c r="H5" s="3075"/>
      <c r="I5" s="3074" t="s">
        <v>2339</v>
      </c>
      <c r="J5" s="3075"/>
      <c r="K5" s="590"/>
      <c r="L5" s="1225"/>
      <c r="M5" s="1226"/>
      <c r="N5" s="1226"/>
      <c r="O5" s="1226"/>
      <c r="P5" s="3121"/>
      <c r="Q5" s="3045"/>
      <c r="R5" s="3059"/>
      <c r="S5" s="3060"/>
      <c r="T5" s="3059"/>
      <c r="U5" s="3060"/>
      <c r="V5" s="3056"/>
      <c r="W5" s="3056"/>
      <c r="X5" s="1880"/>
      <c r="Y5" s="3059"/>
      <c r="Z5" s="3060"/>
      <c r="AA5" s="3064"/>
      <c r="AB5" s="3056"/>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122"/>
      <c r="Q6" s="3073"/>
      <c r="R6" s="3059"/>
      <c r="S6" s="3060"/>
      <c r="T6" s="3061"/>
      <c r="U6" s="3062"/>
      <c r="V6" s="3056"/>
      <c r="W6" s="3056"/>
      <c r="X6" s="1880"/>
      <c r="Y6" s="3061"/>
      <c r="Z6" s="3062"/>
      <c r="AA6" s="3065"/>
      <c r="AB6" s="3056"/>
      <c r="AC6" s="3065"/>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55" t="s">
        <v>2343</v>
      </c>
      <c r="Q7" s="3053"/>
      <c r="R7" s="741" t="s">
        <v>25</v>
      </c>
      <c r="S7" s="742">
        <f t="shared" ref="S7:S15" si="0">F7</f>
        <v>0</v>
      </c>
      <c r="T7" s="741" t="s">
        <v>25</v>
      </c>
      <c r="U7" s="742">
        <f t="shared" ref="U7:U15" si="1">H7</f>
        <v>0</v>
      </c>
      <c r="V7" s="741" t="s">
        <v>25</v>
      </c>
      <c r="W7" s="742">
        <f t="shared" ref="W7:W15" si="2">J7</f>
        <v>0</v>
      </c>
      <c r="X7" s="743"/>
      <c r="Y7" s="3055" t="s">
        <v>2343</v>
      </c>
      <c r="Z7" s="3054"/>
      <c r="AA7" s="744" t="e">
        <f>D7/F7</f>
        <v>#DIV/0!</v>
      </c>
      <c r="AB7" s="744" t="e">
        <f>D7/H7</f>
        <v>#DIV/0!</v>
      </c>
      <c r="AC7" s="744" t="e">
        <f>D7/J7</f>
        <v>#DIV/0!</v>
      </c>
    </row>
    <row r="8" spans="1:29" s="34" customFormat="1" ht="1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55" t="s">
        <v>2346</v>
      </c>
      <c r="Q8" s="3054"/>
      <c r="R8" s="741" t="s">
        <v>25</v>
      </c>
      <c r="S8" s="742">
        <f t="shared" si="0"/>
        <v>0</v>
      </c>
      <c r="T8" s="741" t="s">
        <v>25</v>
      </c>
      <c r="U8" s="742">
        <f t="shared" si="1"/>
        <v>0</v>
      </c>
      <c r="V8" s="741" t="s">
        <v>25</v>
      </c>
      <c r="W8" s="742">
        <f t="shared" si="2"/>
        <v>0</v>
      </c>
      <c r="X8" s="743"/>
      <c r="Y8" s="3055" t="s">
        <v>2346</v>
      </c>
      <c r="Z8" s="3054"/>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19" t="s">
        <v>2349</v>
      </c>
      <c r="Q9" s="1867"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19"/>
      <c r="Q10" s="1867"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19"/>
      <c r="Q11" s="1867" t="str">
        <f t="shared" si="6"/>
        <v>容积率</v>
      </c>
      <c r="R11" s="741" t="s">
        <v>25</v>
      </c>
      <c r="S11" s="742" t="e">
        <f t="shared" si="0"/>
        <v>#N/A</v>
      </c>
      <c r="T11" s="741" t="s">
        <v>25</v>
      </c>
      <c r="U11" s="742" t="e">
        <f t="shared" si="1"/>
        <v>#N/A</v>
      </c>
      <c r="V11" s="741" t="s">
        <v>25</v>
      </c>
      <c r="W11" s="742" t="e">
        <f t="shared" si="2"/>
        <v>#N/A</v>
      </c>
      <c r="X11" s="743"/>
      <c r="Y11" s="2912"/>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19"/>
      <c r="Q12" s="1867">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19"/>
      <c r="Q13" s="1867">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5.6"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19"/>
      <c r="Q14" s="1867">
        <f t="shared" si="6"/>
        <v>111</v>
      </c>
      <c r="R14" s="741" t="s">
        <v>25</v>
      </c>
      <c r="S14" s="742">
        <f t="shared" si="0"/>
        <v>100</v>
      </c>
      <c r="T14" s="741" t="s">
        <v>25</v>
      </c>
      <c r="U14" s="742">
        <f t="shared" si="1"/>
        <v>100</v>
      </c>
      <c r="V14" s="741" t="s">
        <v>25</v>
      </c>
      <c r="W14" s="742">
        <f t="shared" si="2"/>
        <v>100</v>
      </c>
      <c r="X14" s="743"/>
      <c r="Y14" s="2912"/>
      <c r="Z14" s="23">
        <f t="shared" si="7"/>
        <v>111</v>
      </c>
      <c r="AA14" s="744">
        <f t="shared" si="3"/>
        <v>1</v>
      </c>
      <c r="AB14" s="744">
        <f t="shared" si="4"/>
        <v>1</v>
      </c>
      <c r="AC14" s="744">
        <f t="shared" si="5"/>
        <v>1</v>
      </c>
    </row>
    <row r="15" spans="1:29" ht="82.8">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14" t="s">
        <v>2354</v>
      </c>
      <c r="Q15" s="1879" t="str">
        <f t="shared" si="6"/>
        <v>商业繁华度</v>
      </c>
      <c r="R15" s="745" t="s">
        <v>25</v>
      </c>
      <c r="S15" s="746">
        <f t="shared" si="0"/>
        <v>100</v>
      </c>
      <c r="T15" s="745" t="s">
        <v>25</v>
      </c>
      <c r="U15" s="746">
        <f t="shared" si="1"/>
        <v>100</v>
      </c>
      <c r="V15" s="745" t="s">
        <v>25</v>
      </c>
      <c r="W15" s="746">
        <f t="shared" si="2"/>
        <v>100</v>
      </c>
      <c r="X15" s="1880"/>
      <c r="Y15" s="3046"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15"/>
      <c r="Q16" s="1879"/>
      <c r="R16" s="745"/>
      <c r="S16" s="746"/>
      <c r="T16" s="745"/>
      <c r="U16" s="746"/>
      <c r="V16" s="745"/>
      <c r="W16" s="746"/>
      <c r="X16" s="1880"/>
      <c r="Y16" s="3047"/>
      <c r="Z16" s="1882"/>
      <c r="AA16" s="1883">
        <v>1</v>
      </c>
      <c r="AB16" s="1883">
        <v>1</v>
      </c>
      <c r="AC16" s="1883">
        <v>1</v>
      </c>
    </row>
    <row r="17" spans="1:29" ht="110.4">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15"/>
      <c r="Q17" s="1879" t="str">
        <f>B17</f>
        <v>交通便捷度</v>
      </c>
      <c r="R17" s="745" t="s">
        <v>25</v>
      </c>
      <c r="S17" s="746">
        <f>F17</f>
        <v>100</v>
      </c>
      <c r="T17" s="745" t="s">
        <v>25</v>
      </c>
      <c r="U17" s="746">
        <f>H17</f>
        <v>100</v>
      </c>
      <c r="V17" s="745" t="s">
        <v>25</v>
      </c>
      <c r="W17" s="746">
        <f>J17</f>
        <v>100</v>
      </c>
      <c r="X17" s="1880"/>
      <c r="Y17" s="3047"/>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15"/>
      <c r="Q18" s="1879"/>
      <c r="R18" s="745"/>
      <c r="S18" s="746"/>
      <c r="T18" s="745"/>
      <c r="U18" s="746"/>
      <c r="V18" s="745"/>
      <c r="W18" s="746"/>
      <c r="X18" s="1880"/>
      <c r="Y18" s="3047"/>
      <c r="Z18" s="1882"/>
      <c r="AA18" s="1883">
        <v>1</v>
      </c>
      <c r="AB18" s="1883">
        <v>1</v>
      </c>
      <c r="AC18" s="1883">
        <v>1</v>
      </c>
    </row>
    <row r="19" spans="1:29" ht="96.6">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15"/>
      <c r="Q19" s="1879" t="str">
        <f>B19</f>
        <v>公共配套设施</v>
      </c>
      <c r="R19" s="745" t="s">
        <v>25</v>
      </c>
      <c r="S19" s="746">
        <f>F19</f>
        <v>100</v>
      </c>
      <c r="T19" s="745" t="s">
        <v>25</v>
      </c>
      <c r="U19" s="746">
        <f>H19</f>
        <v>100</v>
      </c>
      <c r="V19" s="745" t="s">
        <v>25</v>
      </c>
      <c r="W19" s="746">
        <f>J19</f>
        <v>100</v>
      </c>
      <c r="X19" s="1880"/>
      <c r="Y19" s="3047"/>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15"/>
      <c r="Q20" s="1879"/>
      <c r="R20" s="745"/>
      <c r="S20" s="746"/>
      <c r="T20" s="745"/>
      <c r="U20" s="746"/>
      <c r="V20" s="745"/>
      <c r="W20" s="746"/>
      <c r="X20" s="1880"/>
      <c r="Y20" s="3047"/>
      <c r="Z20" s="1882"/>
      <c r="AA20" s="1883">
        <v>1</v>
      </c>
      <c r="AB20" s="1883">
        <v>1</v>
      </c>
      <c r="AC20" s="1883">
        <v>1</v>
      </c>
    </row>
    <row r="21" spans="1:29" ht="41.4">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15"/>
      <c r="Q21" s="1879" t="str">
        <f>B21</f>
        <v>基础设施水平</v>
      </c>
      <c r="R21" s="745" t="s">
        <v>25</v>
      </c>
      <c r="S21" s="746">
        <f>F21</f>
        <v>100</v>
      </c>
      <c r="T21" s="745" t="s">
        <v>25</v>
      </c>
      <c r="U21" s="746">
        <f>H21</f>
        <v>100</v>
      </c>
      <c r="V21" s="745" t="s">
        <v>25</v>
      </c>
      <c r="W21" s="746">
        <f>J21</f>
        <v>100</v>
      </c>
      <c r="X21" s="1880"/>
      <c r="Y21" s="3047"/>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15"/>
      <c r="Q22" s="1879"/>
      <c r="R22" s="745"/>
      <c r="S22" s="746"/>
      <c r="T22" s="745"/>
      <c r="U22" s="746"/>
      <c r="V22" s="745"/>
      <c r="W22" s="746"/>
      <c r="X22" s="1880"/>
      <c r="Y22" s="3047"/>
      <c r="Z22" s="1882"/>
      <c r="AA22" s="1883">
        <v>1</v>
      </c>
      <c r="AB22" s="1883">
        <v>1</v>
      </c>
      <c r="AC22" s="1883">
        <v>1</v>
      </c>
    </row>
    <row r="23" spans="1:29" ht="110.4">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15"/>
      <c r="Q23" s="1879" t="str">
        <f>B23</f>
        <v>自然及人文环境</v>
      </c>
      <c r="R23" s="745" t="s">
        <v>25</v>
      </c>
      <c r="S23" s="746">
        <f>F23</f>
        <v>100</v>
      </c>
      <c r="T23" s="745" t="s">
        <v>25</v>
      </c>
      <c r="U23" s="746">
        <f>H23</f>
        <v>100</v>
      </c>
      <c r="V23" s="745" t="s">
        <v>25</v>
      </c>
      <c r="W23" s="746">
        <f>J23</f>
        <v>100</v>
      </c>
      <c r="X23" s="1880"/>
      <c r="Y23" s="3047"/>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15"/>
      <c r="Q24" s="1879"/>
      <c r="R24" s="745"/>
      <c r="S24" s="746"/>
      <c r="T24" s="745"/>
      <c r="U24" s="746"/>
      <c r="V24" s="745"/>
      <c r="W24" s="746"/>
      <c r="X24" s="1880"/>
      <c r="Y24" s="3047"/>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15"/>
      <c r="Q25" s="1879" t="str">
        <f t="shared" ref="Q25:Q46" si="11">B25</f>
        <v>临街状况</v>
      </c>
      <c r="R25" s="745" t="s">
        <v>25</v>
      </c>
      <c r="S25" s="746">
        <f>F25</f>
        <v>100</v>
      </c>
      <c r="T25" s="745" t="s">
        <v>25</v>
      </c>
      <c r="U25" s="746">
        <f>H25</f>
        <v>100</v>
      </c>
      <c r="V25" s="745" t="s">
        <v>25</v>
      </c>
      <c r="W25" s="746">
        <f>J25</f>
        <v>100</v>
      </c>
      <c r="X25" s="1880"/>
      <c r="Y25" s="3047"/>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15"/>
      <c r="Q26" s="1879" t="str">
        <f t="shared" si="11"/>
        <v>平面位置/可视性</v>
      </c>
      <c r="R26" s="745" t="s">
        <v>25</v>
      </c>
      <c r="S26" s="746">
        <f>F26</f>
        <v>100</v>
      </c>
      <c r="T26" s="745" t="s">
        <v>25</v>
      </c>
      <c r="U26" s="746">
        <f>H26</f>
        <v>100</v>
      </c>
      <c r="V26" s="745" t="s">
        <v>25</v>
      </c>
      <c r="W26" s="746">
        <f>J26</f>
        <v>100</v>
      </c>
      <c r="X26" s="1880"/>
      <c r="Y26" s="3047"/>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15"/>
      <c r="Q27" s="1867" t="str">
        <f t="shared" si="11"/>
        <v>人流量</v>
      </c>
      <c r="R27" s="741" t="s">
        <v>25</v>
      </c>
      <c r="S27" s="742">
        <f>F27</f>
        <v>100</v>
      </c>
      <c r="T27" s="741" t="s">
        <v>25</v>
      </c>
      <c r="U27" s="742">
        <f>H27</f>
        <v>100</v>
      </c>
      <c r="V27" s="741" t="s">
        <v>25</v>
      </c>
      <c r="W27" s="742">
        <f>J27</f>
        <v>100</v>
      </c>
      <c r="X27" s="743"/>
      <c r="Y27" s="3047"/>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15"/>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47"/>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15"/>
      <c r="Q29" s="1879">
        <f t="shared" si="11"/>
        <v>111</v>
      </c>
      <c r="R29" s="745" t="s">
        <v>25</v>
      </c>
      <c r="S29" s="746">
        <f t="shared" si="12"/>
        <v>100</v>
      </c>
      <c r="T29" s="745" t="s">
        <v>25</v>
      </c>
      <c r="U29" s="746">
        <f t="shared" si="13"/>
        <v>100</v>
      </c>
      <c r="V29" s="745" t="s">
        <v>25</v>
      </c>
      <c r="W29" s="746">
        <f t="shared" si="14"/>
        <v>100</v>
      </c>
      <c r="X29" s="1880"/>
      <c r="Y29" s="3047"/>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15"/>
      <c r="Q30" s="1879">
        <f t="shared" si="11"/>
        <v>111</v>
      </c>
      <c r="R30" s="745" t="s">
        <v>25</v>
      </c>
      <c r="S30" s="746">
        <f t="shared" si="12"/>
        <v>100</v>
      </c>
      <c r="T30" s="745" t="s">
        <v>25</v>
      </c>
      <c r="U30" s="746">
        <f t="shared" si="13"/>
        <v>100</v>
      </c>
      <c r="V30" s="745" t="s">
        <v>25</v>
      </c>
      <c r="W30" s="746">
        <f t="shared" si="14"/>
        <v>100</v>
      </c>
      <c r="X30" s="1880"/>
      <c r="Y30" s="3047"/>
      <c r="Z30" s="1882">
        <f t="shared" si="15"/>
        <v>111</v>
      </c>
      <c r="AA30" s="1883">
        <f t="shared" si="3"/>
        <v>1</v>
      </c>
      <c r="AB30" s="1883">
        <f t="shared" si="4"/>
        <v>1</v>
      </c>
      <c r="AC30" s="1883">
        <f t="shared" si="5"/>
        <v>1</v>
      </c>
    </row>
    <row r="31" spans="1:29" ht="15.6"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15"/>
      <c r="Q31" s="1879">
        <f t="shared" si="11"/>
        <v>111</v>
      </c>
      <c r="R31" s="745" t="s">
        <v>25</v>
      </c>
      <c r="S31" s="746">
        <f t="shared" si="12"/>
        <v>100</v>
      </c>
      <c r="T31" s="745" t="s">
        <v>25</v>
      </c>
      <c r="U31" s="746">
        <f t="shared" si="13"/>
        <v>100</v>
      </c>
      <c r="V31" s="745" t="s">
        <v>25</v>
      </c>
      <c r="W31" s="746">
        <f t="shared" si="14"/>
        <v>100</v>
      </c>
      <c r="X31" s="1880"/>
      <c r="Y31" s="3047"/>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6" t="s">
        <v>2360</v>
      </c>
      <c r="Q32" s="1879" t="str">
        <f t="shared" si="11"/>
        <v>商业类型</v>
      </c>
      <c r="R32" s="745" t="s">
        <v>25</v>
      </c>
      <c r="S32" s="746">
        <f t="shared" si="12"/>
        <v>100</v>
      </c>
      <c r="T32" s="745" t="s">
        <v>25</v>
      </c>
      <c r="U32" s="746">
        <f t="shared" si="13"/>
        <v>100</v>
      </c>
      <c r="V32" s="745" t="s">
        <v>25</v>
      </c>
      <c r="W32" s="746">
        <f t="shared" si="14"/>
        <v>100</v>
      </c>
      <c r="X32" s="1880"/>
      <c r="Y32" s="3051"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7"/>
      <c r="Q33" s="747" t="str">
        <f t="shared" si="11"/>
        <v>项目建筑规模</v>
      </c>
      <c r="R33" s="748" t="s">
        <v>25</v>
      </c>
      <c r="S33" s="749" t="e">
        <f t="shared" si="12"/>
        <v>#N/A</v>
      </c>
      <c r="T33" s="748" t="s">
        <v>25</v>
      </c>
      <c r="U33" s="749" t="e">
        <f t="shared" si="13"/>
        <v>#N/A</v>
      </c>
      <c r="V33" s="748" t="s">
        <v>25</v>
      </c>
      <c r="W33" s="749" t="e">
        <f t="shared" si="14"/>
        <v>#N/A</v>
      </c>
      <c r="X33" s="750"/>
      <c r="Y33" s="3051"/>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7"/>
      <c r="Q34" s="1879" t="str">
        <f t="shared" si="11"/>
        <v>建筑结构</v>
      </c>
      <c r="R34" s="745" t="s">
        <v>25</v>
      </c>
      <c r="S34" s="746">
        <f t="shared" si="12"/>
        <v>100</v>
      </c>
      <c r="T34" s="745" t="s">
        <v>25</v>
      </c>
      <c r="U34" s="746">
        <f t="shared" si="13"/>
        <v>100</v>
      </c>
      <c r="V34" s="745" t="s">
        <v>25</v>
      </c>
      <c r="W34" s="746">
        <f t="shared" si="14"/>
        <v>100</v>
      </c>
      <c r="X34" s="1880"/>
      <c r="Y34" s="3051"/>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7"/>
      <c r="Q35" s="1879" t="str">
        <f t="shared" si="11"/>
        <v>公共部分装修</v>
      </c>
      <c r="R35" s="745" t="s">
        <v>25</v>
      </c>
      <c r="S35" s="746">
        <f t="shared" si="12"/>
        <v>100</v>
      </c>
      <c r="T35" s="745" t="s">
        <v>25</v>
      </c>
      <c r="U35" s="746">
        <f t="shared" si="13"/>
        <v>100</v>
      </c>
      <c r="V35" s="745" t="s">
        <v>25</v>
      </c>
      <c r="W35" s="746">
        <f t="shared" si="14"/>
        <v>100</v>
      </c>
      <c r="X35" s="1880"/>
      <c r="Y35" s="3051"/>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7"/>
      <c r="Q36" s="1879" t="str">
        <f t="shared" si="11"/>
        <v>成新度</v>
      </c>
      <c r="R36" s="745" t="s">
        <v>25</v>
      </c>
      <c r="S36" s="746" t="e">
        <f t="shared" si="12"/>
        <v>#N/A</v>
      </c>
      <c r="T36" s="745" t="s">
        <v>25</v>
      </c>
      <c r="U36" s="746" t="e">
        <f t="shared" si="13"/>
        <v>#N/A</v>
      </c>
      <c r="V36" s="745" t="s">
        <v>25</v>
      </c>
      <c r="W36" s="746" t="e">
        <f t="shared" si="14"/>
        <v>#N/A</v>
      </c>
      <c r="X36" s="1880"/>
      <c r="Y36" s="3051"/>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7"/>
      <c r="Q37" s="1867" t="str">
        <f t="shared" si="11"/>
        <v>市政基础设施</v>
      </c>
      <c r="R37" s="741" t="s">
        <v>25</v>
      </c>
      <c r="S37" s="742">
        <f t="shared" si="12"/>
        <v>100</v>
      </c>
      <c r="T37" s="741" t="s">
        <v>25</v>
      </c>
      <c r="U37" s="742">
        <f t="shared" si="13"/>
        <v>100</v>
      </c>
      <c r="V37" s="741" t="s">
        <v>25</v>
      </c>
      <c r="W37" s="742">
        <f t="shared" si="14"/>
        <v>100</v>
      </c>
      <c r="X37" s="743"/>
      <c r="Y37" s="3051"/>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7" t="s">
        <v>2360</v>
      </c>
      <c r="Q38" s="1879" t="str">
        <f t="shared" si="11"/>
        <v>业态</v>
      </c>
      <c r="R38" s="745" t="s">
        <v>25</v>
      </c>
      <c r="S38" s="746">
        <f t="shared" si="12"/>
        <v>100</v>
      </c>
      <c r="T38" s="745" t="s">
        <v>25</v>
      </c>
      <c r="U38" s="746">
        <f t="shared" si="13"/>
        <v>100</v>
      </c>
      <c r="V38" s="745" t="s">
        <v>25</v>
      </c>
      <c r="W38" s="746">
        <f t="shared" si="14"/>
        <v>100</v>
      </c>
      <c r="X38" s="1880"/>
      <c r="Y38" s="3051"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7"/>
      <c r="Q39" s="1879" t="str">
        <f t="shared" si="11"/>
        <v>层高</v>
      </c>
      <c r="R39" s="745" t="s">
        <v>25</v>
      </c>
      <c r="S39" s="746">
        <f t="shared" si="12"/>
        <v>100</v>
      </c>
      <c r="T39" s="745" t="s">
        <v>25</v>
      </c>
      <c r="U39" s="746">
        <f t="shared" si="13"/>
        <v>100</v>
      </c>
      <c r="V39" s="745" t="s">
        <v>25</v>
      </c>
      <c r="W39" s="746">
        <f t="shared" si="14"/>
        <v>100</v>
      </c>
      <c r="X39" s="1880"/>
      <c r="Y39" s="3051"/>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7"/>
      <c r="Q40" s="1879" t="str">
        <f t="shared" si="11"/>
        <v>单套建筑面积</v>
      </c>
      <c r="R40" s="745" t="s">
        <v>25</v>
      </c>
      <c r="S40" s="746">
        <f t="shared" si="12"/>
        <v>100</v>
      </c>
      <c r="T40" s="745" t="s">
        <v>25</v>
      </c>
      <c r="U40" s="746">
        <f t="shared" si="13"/>
        <v>100</v>
      </c>
      <c r="V40" s="745" t="s">
        <v>25</v>
      </c>
      <c r="W40" s="746">
        <f t="shared" si="14"/>
        <v>100</v>
      </c>
      <c r="X40" s="1880"/>
      <c r="Y40" s="3051"/>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7"/>
      <c r="Q41" s="747" t="str">
        <f t="shared" si="11"/>
        <v>进深比</v>
      </c>
      <c r="R41" s="748" t="s">
        <v>25</v>
      </c>
      <c r="S41" s="749">
        <f t="shared" si="12"/>
        <v>100</v>
      </c>
      <c r="T41" s="748" t="s">
        <v>25</v>
      </c>
      <c r="U41" s="749">
        <f t="shared" si="13"/>
        <v>100</v>
      </c>
      <c r="V41" s="748" t="s">
        <v>25</v>
      </c>
      <c r="W41" s="749">
        <f t="shared" si="14"/>
        <v>100</v>
      </c>
      <c r="X41" s="750"/>
      <c r="Y41" s="3051"/>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7"/>
      <c r="Q42" s="1879" t="str">
        <f t="shared" si="11"/>
        <v>内部装修</v>
      </c>
      <c r="R42" s="745" t="s">
        <v>25</v>
      </c>
      <c r="S42" s="746">
        <f t="shared" si="12"/>
        <v>100</v>
      </c>
      <c r="T42" s="745" t="s">
        <v>25</v>
      </c>
      <c r="U42" s="746">
        <f t="shared" si="13"/>
        <v>100</v>
      </c>
      <c r="V42" s="745" t="s">
        <v>25</v>
      </c>
      <c r="W42" s="746">
        <f t="shared" si="14"/>
        <v>100</v>
      </c>
      <c r="X42" s="1880"/>
      <c r="Y42" s="3051"/>
      <c r="Z42" s="1882" t="str">
        <f t="shared" si="15"/>
        <v>内部装修</v>
      </c>
      <c r="AA42" s="1883">
        <f t="shared" si="3"/>
        <v>1</v>
      </c>
      <c r="AB42" s="1883">
        <f t="shared" si="4"/>
        <v>1</v>
      </c>
      <c r="AC42" s="1883">
        <f t="shared" si="5"/>
        <v>1</v>
      </c>
    </row>
    <row r="43" spans="1:29" ht="28.8">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7"/>
      <c r="Q43" s="1879" t="str">
        <f t="shared" si="11"/>
        <v>内部装修维护情况</v>
      </c>
      <c r="R43" s="745" t="s">
        <v>25</v>
      </c>
      <c r="S43" s="746">
        <f t="shared" si="12"/>
        <v>100</v>
      </c>
      <c r="T43" s="745" t="s">
        <v>25</v>
      </c>
      <c r="U43" s="746">
        <f t="shared" si="13"/>
        <v>100</v>
      </c>
      <c r="V43" s="745" t="s">
        <v>25</v>
      </c>
      <c r="W43" s="746">
        <f t="shared" si="14"/>
        <v>100</v>
      </c>
      <c r="X43" s="1880"/>
      <c r="Y43" s="3051"/>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7"/>
      <c r="Q44" s="1867">
        <f t="shared" si="11"/>
        <v>111</v>
      </c>
      <c r="R44" s="741" t="s">
        <v>25</v>
      </c>
      <c r="S44" s="742">
        <f t="shared" si="12"/>
        <v>100</v>
      </c>
      <c r="T44" s="741" t="s">
        <v>25</v>
      </c>
      <c r="U44" s="742">
        <f t="shared" si="13"/>
        <v>100</v>
      </c>
      <c r="V44" s="741" t="s">
        <v>25</v>
      </c>
      <c r="W44" s="742">
        <f t="shared" si="14"/>
        <v>100</v>
      </c>
      <c r="X44" s="743"/>
      <c r="Y44" s="3051"/>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7"/>
      <c r="Q45" s="1879">
        <f t="shared" si="11"/>
        <v>111</v>
      </c>
      <c r="R45" s="745" t="s">
        <v>25</v>
      </c>
      <c r="S45" s="746">
        <f t="shared" si="12"/>
        <v>100</v>
      </c>
      <c r="T45" s="745" t="s">
        <v>25</v>
      </c>
      <c r="U45" s="746">
        <f t="shared" si="13"/>
        <v>100</v>
      </c>
      <c r="V45" s="745" t="s">
        <v>25</v>
      </c>
      <c r="W45" s="746">
        <f t="shared" si="14"/>
        <v>100</v>
      </c>
      <c r="X45" s="1880"/>
      <c r="Y45" s="3051"/>
      <c r="Z45" s="1882">
        <f t="shared" si="15"/>
        <v>111</v>
      </c>
      <c r="AA45" s="1883">
        <f t="shared" si="3"/>
        <v>1</v>
      </c>
      <c r="AB45" s="1883">
        <f t="shared" si="4"/>
        <v>1</v>
      </c>
      <c r="AC45" s="1883">
        <f t="shared" si="5"/>
        <v>1</v>
      </c>
    </row>
    <row r="46" spans="1:29" ht="15.6"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18"/>
      <c r="Q46" s="1879">
        <f t="shared" si="11"/>
        <v>111</v>
      </c>
      <c r="R46" s="745" t="s">
        <v>25</v>
      </c>
      <c r="S46" s="746">
        <f t="shared" si="12"/>
        <v>100</v>
      </c>
      <c r="T46" s="745" t="s">
        <v>25</v>
      </c>
      <c r="U46" s="746">
        <f t="shared" si="13"/>
        <v>100</v>
      </c>
      <c r="V46" s="745" t="s">
        <v>25</v>
      </c>
      <c r="W46" s="746">
        <f t="shared" si="14"/>
        <v>100</v>
      </c>
      <c r="X46" s="1880"/>
      <c r="Y46" s="3052"/>
      <c r="Z46" s="1882">
        <f t="shared" si="15"/>
        <v>111</v>
      </c>
      <c r="AA46" s="1883">
        <f t="shared" si="3"/>
        <v>1</v>
      </c>
      <c r="AB46" s="1883">
        <f t="shared" si="4"/>
        <v>1</v>
      </c>
      <c r="AC46" s="1883">
        <f t="shared" si="5"/>
        <v>1</v>
      </c>
    </row>
    <row r="47" spans="1:29" ht="14.4">
      <c r="A47" s="456" t="s">
        <v>2372</v>
      </c>
      <c r="B47" s="457"/>
      <c r="C47" s="1484" t="s">
        <v>1</v>
      </c>
      <c r="D47" s="1485"/>
      <c r="E47" s="1486"/>
      <c r="F47" s="1487"/>
      <c r="G47" s="1488"/>
      <c r="H47" s="1489"/>
      <c r="I47" s="1486"/>
      <c r="J47" s="1489"/>
      <c r="K47" s="754"/>
      <c r="L47" s="1238"/>
      <c r="M47" s="1239"/>
      <c r="N47" s="1226"/>
      <c r="O47" s="1239"/>
      <c r="P47" s="3040" t="str">
        <f>A47</f>
        <v>成交单价（元/平方米）</v>
      </c>
      <c r="Q47" s="3040"/>
      <c r="R47" s="3041">
        <f>E47</f>
        <v>0</v>
      </c>
      <c r="S47" s="3041"/>
      <c r="T47" s="3041">
        <f>G47</f>
        <v>0</v>
      </c>
      <c r="U47" s="3041"/>
      <c r="V47" s="3041">
        <f>I47</f>
        <v>0</v>
      </c>
      <c r="W47" s="3041"/>
      <c r="X47" s="730"/>
      <c r="Y47" s="752"/>
      <c r="Z47" s="730"/>
      <c r="AA47" s="730"/>
      <c r="AB47" s="730"/>
      <c r="AC47" s="730"/>
    </row>
    <row r="48" spans="1:29" ht="1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40" t="str">
        <f>A48</f>
        <v>比较价值（元/平方米）</v>
      </c>
      <c r="Q48" s="3040"/>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0"/>
      <c r="Y48" s="730"/>
      <c r="Z48" s="730"/>
      <c r="AA48" s="730"/>
      <c r="AB48" s="730"/>
      <c r="AC48" s="730"/>
    </row>
    <row r="49" spans="1:29" ht="15" thickBot="1">
      <c r="A49" s="469" t="s">
        <v>2456</v>
      </c>
      <c r="B49" s="470"/>
      <c r="C49" s="1494" t="e">
        <f>R49</f>
        <v>#DIV/0!</v>
      </c>
      <c r="D49" s="1494"/>
      <c r="E49" s="1494"/>
      <c r="F49" s="1494"/>
      <c r="G49" s="1494"/>
      <c r="H49" s="1494"/>
      <c r="I49" s="1494"/>
      <c r="J49" s="1494"/>
      <c r="K49" s="756"/>
      <c r="L49" s="1238"/>
      <c r="M49" s="1239"/>
      <c r="N49" s="1226"/>
      <c r="O49" s="1239"/>
      <c r="P49" s="3113" t="str">
        <f>A49</f>
        <v>估价对象XX用房的比较价值（楼面单价，元/平方米）</v>
      </c>
      <c r="Q49" s="3039"/>
      <c r="R49" s="3043" t="e">
        <f>IF(E1="售价",ROUND(AVERAGE(R48:V48),0),ROUND(AVERAGE(R48:V48),1))</f>
        <v>#DIV/0!</v>
      </c>
      <c r="S49" s="3043"/>
      <c r="T49" s="3043"/>
      <c r="U49" s="3043"/>
      <c r="V49" s="3043"/>
      <c r="W49" s="304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2.2"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4.4">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2344</v>
      </c>
      <c r="B61" s="487"/>
      <c r="C61" s="499" t="s">
        <v>2345</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14"/>
      <c r="E73" s="514"/>
      <c r="F73" s="514"/>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2461</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4.4"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4.4" thickBot="1">
      <c r="A89" s="559"/>
      <c r="B89" s="522"/>
      <c r="C89" s="540"/>
      <c r="D89" s="514"/>
      <c r="E89" s="514"/>
      <c r="F89" s="514"/>
      <c r="G89" s="514"/>
      <c r="H89" s="514"/>
      <c r="I89" s="514"/>
      <c r="J89" s="514"/>
      <c r="K89" s="514"/>
      <c r="L89" s="514"/>
      <c r="M89" s="514"/>
      <c r="N89" s="1250"/>
      <c r="O89" s="1250"/>
      <c r="P89" s="2402"/>
      <c r="Q89" s="481"/>
    </row>
    <row r="90" spans="1:17" s="448" customFormat="1" ht="14.4"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4.4"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4.4" thickTop="1">
      <c r="A92" s="512"/>
      <c r="B92" s="517" t="str">
        <f>B28</f>
        <v>楼层</v>
      </c>
      <c r="C92" s="533"/>
      <c r="D92" s="533"/>
      <c r="E92" s="533"/>
      <c r="F92" s="533"/>
      <c r="G92" s="533"/>
      <c r="H92" s="533"/>
      <c r="I92" s="533"/>
      <c r="J92" s="533"/>
      <c r="K92" s="533"/>
      <c r="L92" s="560"/>
      <c r="M92" s="561"/>
      <c r="N92" s="1249"/>
      <c r="O92" s="1249"/>
      <c r="P92" s="2402"/>
      <c r="Q92" s="481"/>
    </row>
    <row r="93" spans="1:17" ht="14.4" thickBot="1">
      <c r="A93" s="512"/>
      <c r="B93" s="522"/>
      <c r="C93" s="514"/>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14"/>
      <c r="E95" s="514"/>
      <c r="F95" s="514"/>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40"/>
      <c r="D97" s="514"/>
      <c r="E97" s="514"/>
      <c r="F97" s="514"/>
      <c r="G97" s="514"/>
      <c r="H97" s="514"/>
      <c r="I97" s="514"/>
      <c r="J97" s="514"/>
      <c r="K97" s="514"/>
      <c r="L97" s="514"/>
      <c r="M97" s="515"/>
      <c r="N97" s="1250"/>
      <c r="O97" s="1250"/>
      <c r="P97" s="2402"/>
      <c r="Q97" s="481"/>
    </row>
    <row r="98" spans="1:17" ht="14.4" thickTop="1">
      <c r="A98" s="512"/>
      <c r="B98" s="525">
        <f>B31</f>
        <v>111</v>
      </c>
      <c r="C98" s="533"/>
      <c r="D98" s="533"/>
      <c r="E98" s="533"/>
      <c r="F98" s="533"/>
      <c r="G98" s="567"/>
      <c r="H98" s="567"/>
      <c r="I98" s="567"/>
      <c r="J98" s="567"/>
      <c r="K98" s="568"/>
      <c r="L98" s="569"/>
      <c r="M98" s="570"/>
      <c r="N98" s="1249"/>
      <c r="O98" s="1249"/>
      <c r="P98" s="2402"/>
      <c r="Q98" s="481"/>
    </row>
    <row r="99" spans="1:17" ht="14.4" thickBot="1">
      <c r="A99" s="2408"/>
      <c r="B99" s="549"/>
      <c r="C99" s="550"/>
      <c r="D99" s="550"/>
      <c r="E99" s="550"/>
      <c r="F99" s="550"/>
      <c r="G99" s="571"/>
      <c r="H99" s="571"/>
      <c r="I99" s="571"/>
      <c r="J99" s="571"/>
      <c r="K99" s="571"/>
      <c r="L99" s="571"/>
      <c r="M99" s="572"/>
      <c r="N99" s="1250"/>
      <c r="O99" s="1250"/>
      <c r="P99" s="2402"/>
      <c r="Q99" s="481"/>
    </row>
    <row r="100" spans="1:17" ht="14.4">
      <c r="A100" s="504" t="s">
        <v>2358</v>
      </c>
      <c r="B100" s="505" t="s">
        <v>2462</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4.4"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4.4"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4.4"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4.4"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14"/>
      <c r="E129" s="514"/>
      <c r="F129" s="514"/>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64" t="s">
        <v>2332</v>
      </c>
      <c r="AC4" s="3063" t="s">
        <v>2333</v>
      </c>
    </row>
    <row r="5" spans="1:29">
      <c r="A5" s="379"/>
      <c r="B5" s="380"/>
      <c r="C5" s="3074" t="s">
        <v>2336</v>
      </c>
      <c r="D5" s="3075"/>
      <c r="E5" s="3123" t="s">
        <v>2337</v>
      </c>
      <c r="F5" s="3077"/>
      <c r="G5" s="3074" t="s">
        <v>2338</v>
      </c>
      <c r="H5" s="3075"/>
      <c r="I5" s="3074" t="s">
        <v>2339</v>
      </c>
      <c r="J5" s="3075"/>
      <c r="K5" s="590"/>
      <c r="L5" s="1225"/>
      <c r="M5" s="1226"/>
      <c r="N5" s="1226"/>
      <c r="O5" s="1226"/>
      <c r="P5" s="3121"/>
      <c r="Q5" s="3045"/>
      <c r="R5" s="3059"/>
      <c r="S5" s="3060"/>
      <c r="T5" s="3059"/>
      <c r="U5" s="3060"/>
      <c r="V5" s="3056"/>
      <c r="W5" s="3056"/>
      <c r="X5" s="1880"/>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122"/>
      <c r="Q6" s="3073"/>
      <c r="R6" s="3059"/>
      <c r="S6" s="3060"/>
      <c r="T6" s="3061"/>
      <c r="U6" s="3062"/>
      <c r="V6" s="3056"/>
      <c r="W6" s="3056"/>
      <c r="X6" s="1880"/>
      <c r="Y6" s="3061"/>
      <c r="Z6" s="3062"/>
      <c r="AA6" s="3065"/>
      <c r="AB6" s="3065"/>
      <c r="AC6" s="3065"/>
    </row>
    <row r="7" spans="1:29" s="34" customFormat="1" ht="1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55" t="s">
        <v>2343</v>
      </c>
      <c r="Q7" s="3053"/>
      <c r="R7" s="741" t="s">
        <v>25</v>
      </c>
      <c r="S7" s="742">
        <f t="shared" ref="S7:S15" si="0">F7</f>
        <v>0</v>
      </c>
      <c r="T7" s="741" t="s">
        <v>25</v>
      </c>
      <c r="U7" s="742">
        <f t="shared" ref="U7:U15" si="1">H7</f>
        <v>0</v>
      </c>
      <c r="V7" s="741" t="s">
        <v>25</v>
      </c>
      <c r="W7" s="742">
        <f t="shared" ref="W7:W15" si="2">J7</f>
        <v>0</v>
      </c>
      <c r="X7" s="743"/>
      <c r="Y7" s="3055" t="s">
        <v>2343</v>
      </c>
      <c r="Z7" s="3054"/>
      <c r="AA7" s="744" t="e">
        <f>D7/F7</f>
        <v>#DIV/0!</v>
      </c>
      <c r="AB7" s="744" t="e">
        <f>D7/H7</f>
        <v>#DIV/0!</v>
      </c>
      <c r="AC7" s="744" t="e">
        <f>D7/J7</f>
        <v>#DIV/0!</v>
      </c>
    </row>
    <row r="8" spans="1:29" s="34" customFormat="1" ht="1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55" t="s">
        <v>2346</v>
      </c>
      <c r="Q8" s="3054"/>
      <c r="R8" s="741" t="s">
        <v>25</v>
      </c>
      <c r="S8" s="742">
        <f t="shared" si="0"/>
        <v>100</v>
      </c>
      <c r="T8" s="741" t="s">
        <v>25</v>
      </c>
      <c r="U8" s="742">
        <f t="shared" si="1"/>
        <v>100</v>
      </c>
      <c r="V8" s="741" t="s">
        <v>25</v>
      </c>
      <c r="W8" s="742">
        <f t="shared" si="2"/>
        <v>100</v>
      </c>
      <c r="X8" s="743"/>
      <c r="Y8" s="3055" t="s">
        <v>2346</v>
      </c>
      <c r="Z8" s="3054"/>
      <c r="AA8" s="744">
        <f t="shared" ref="AA8:AA40" si="3">D8/F8</f>
        <v>1</v>
      </c>
      <c r="AB8" s="744">
        <f t="shared" ref="AB8:AB40" si="4">D8/H8</f>
        <v>1</v>
      </c>
      <c r="AC8" s="744">
        <f t="shared" ref="AC8:AC40" si="5">D8/J8</f>
        <v>1</v>
      </c>
    </row>
    <row r="9" spans="1:29" s="34" customFormat="1" ht="14.4">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40" t="s">
        <v>2349</v>
      </c>
      <c r="Q9" s="1867"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40"/>
      <c r="Q10" s="1867"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40"/>
      <c r="Q11" s="1867" t="str">
        <f t="shared" si="6"/>
        <v>容积率</v>
      </c>
      <c r="R11" s="741" t="s">
        <v>25</v>
      </c>
      <c r="S11" s="742" t="e">
        <f t="shared" si="0"/>
        <v>#N/A</v>
      </c>
      <c r="T11" s="741" t="s">
        <v>25</v>
      </c>
      <c r="U11" s="742" t="e">
        <f t="shared" si="1"/>
        <v>#N/A</v>
      </c>
      <c r="V11" s="741" t="s">
        <v>25</v>
      </c>
      <c r="W11" s="742" t="e">
        <f t="shared" si="2"/>
        <v>#N/A</v>
      </c>
      <c r="X11" s="743"/>
      <c r="Y11" s="2912"/>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40"/>
      <c r="Q12" s="1867">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40"/>
      <c r="Q13" s="1867">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5.6"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40"/>
      <c r="Q14" s="1867">
        <f t="shared" si="6"/>
        <v>111</v>
      </c>
      <c r="R14" s="741" t="s">
        <v>25</v>
      </c>
      <c r="S14" s="742">
        <f t="shared" si="0"/>
        <v>100</v>
      </c>
      <c r="T14" s="741" t="s">
        <v>25</v>
      </c>
      <c r="U14" s="742">
        <f t="shared" si="1"/>
        <v>100</v>
      </c>
      <c r="V14" s="741" t="s">
        <v>25</v>
      </c>
      <c r="W14" s="742">
        <f t="shared" si="2"/>
        <v>100</v>
      </c>
      <c r="X14" s="743"/>
      <c r="Y14" s="2912"/>
      <c r="Z14" s="23">
        <f t="shared" si="7"/>
        <v>111</v>
      </c>
      <c r="AA14" s="744">
        <f t="shared" si="3"/>
        <v>1</v>
      </c>
      <c r="AB14" s="744">
        <f t="shared" si="4"/>
        <v>1</v>
      </c>
      <c r="AC14" s="744">
        <f t="shared" si="5"/>
        <v>1</v>
      </c>
    </row>
    <row r="15" spans="1:29" ht="69">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46" t="s">
        <v>2354</v>
      </c>
      <c r="Q15" s="1879" t="str">
        <f t="shared" si="6"/>
        <v>产业集聚程度</v>
      </c>
      <c r="R15" s="745" t="s">
        <v>25</v>
      </c>
      <c r="S15" s="746">
        <f t="shared" si="0"/>
        <v>100</v>
      </c>
      <c r="T15" s="745" t="s">
        <v>25</v>
      </c>
      <c r="U15" s="746">
        <f t="shared" si="1"/>
        <v>100</v>
      </c>
      <c r="V15" s="745" t="s">
        <v>25</v>
      </c>
      <c r="W15" s="746">
        <f t="shared" si="2"/>
        <v>100</v>
      </c>
      <c r="X15" s="1880"/>
      <c r="Y15" s="3046"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47"/>
      <c r="Q16" s="1879"/>
      <c r="R16" s="745"/>
      <c r="S16" s="746"/>
      <c r="T16" s="745"/>
      <c r="U16" s="746"/>
      <c r="V16" s="745"/>
      <c r="W16" s="746"/>
      <c r="X16" s="1880"/>
      <c r="Y16" s="3047"/>
      <c r="Z16" s="1882"/>
      <c r="AA16" s="1883">
        <v>1</v>
      </c>
      <c r="AB16" s="1883">
        <v>1</v>
      </c>
      <c r="AC16" s="1883">
        <v>1</v>
      </c>
    </row>
    <row r="17" spans="1:29" ht="96.6">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47"/>
      <c r="Q17" s="1879" t="str">
        <f>B17</f>
        <v>交通便捷度</v>
      </c>
      <c r="R17" s="745" t="s">
        <v>25</v>
      </c>
      <c r="S17" s="746">
        <f>F17</f>
        <v>100</v>
      </c>
      <c r="T17" s="745" t="s">
        <v>25</v>
      </c>
      <c r="U17" s="746">
        <f>H17</f>
        <v>100</v>
      </c>
      <c r="V17" s="745" t="s">
        <v>25</v>
      </c>
      <c r="W17" s="746">
        <f>J17</f>
        <v>100</v>
      </c>
      <c r="X17" s="1880"/>
      <c r="Y17" s="3047"/>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47"/>
      <c r="Q18" s="1879"/>
      <c r="R18" s="745"/>
      <c r="S18" s="746"/>
      <c r="T18" s="745"/>
      <c r="U18" s="746"/>
      <c r="V18" s="745"/>
      <c r="W18" s="746"/>
      <c r="X18" s="1880"/>
      <c r="Y18" s="3047"/>
      <c r="Z18" s="1882"/>
      <c r="AA18" s="1883">
        <v>1</v>
      </c>
      <c r="AB18" s="1883">
        <v>1</v>
      </c>
      <c r="AC18" s="1883">
        <v>1</v>
      </c>
    </row>
    <row r="19" spans="1:29" ht="41.4">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47"/>
      <c r="Q19" s="1879" t="str">
        <f>B19</f>
        <v>公共配套设施</v>
      </c>
      <c r="R19" s="745" t="s">
        <v>25</v>
      </c>
      <c r="S19" s="746">
        <f>F19</f>
        <v>100</v>
      </c>
      <c r="T19" s="745" t="s">
        <v>25</v>
      </c>
      <c r="U19" s="746">
        <f>H19</f>
        <v>100</v>
      </c>
      <c r="V19" s="745" t="s">
        <v>25</v>
      </c>
      <c r="W19" s="746">
        <f>J19</f>
        <v>100</v>
      </c>
      <c r="X19" s="1880"/>
      <c r="Y19" s="3047"/>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47"/>
      <c r="Q20" s="1879"/>
      <c r="R20" s="745"/>
      <c r="S20" s="746"/>
      <c r="T20" s="745"/>
      <c r="U20" s="746"/>
      <c r="V20" s="745"/>
      <c r="W20" s="746"/>
      <c r="X20" s="1880"/>
      <c r="Y20" s="3047"/>
      <c r="Z20" s="1882"/>
      <c r="AA20" s="1883">
        <v>1</v>
      </c>
      <c r="AB20" s="1883">
        <v>1</v>
      </c>
      <c r="AC20" s="1883">
        <v>1</v>
      </c>
    </row>
    <row r="21" spans="1:29" ht="41.4">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47"/>
      <c r="Q21" s="1879" t="str">
        <f>B21</f>
        <v>基础设施水平</v>
      </c>
      <c r="R21" s="745" t="s">
        <v>25</v>
      </c>
      <c r="S21" s="746">
        <f>F21</f>
        <v>100</v>
      </c>
      <c r="T21" s="745" t="s">
        <v>25</v>
      </c>
      <c r="U21" s="746">
        <f>H21</f>
        <v>100</v>
      </c>
      <c r="V21" s="745" t="s">
        <v>25</v>
      </c>
      <c r="W21" s="746">
        <f>J21</f>
        <v>100</v>
      </c>
      <c r="X21" s="1880"/>
      <c r="Y21" s="3047"/>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47"/>
      <c r="Q22" s="1879"/>
      <c r="R22" s="745"/>
      <c r="S22" s="746"/>
      <c r="T22" s="745"/>
      <c r="U22" s="746"/>
      <c r="V22" s="745"/>
      <c r="W22" s="746"/>
      <c r="X22" s="1880"/>
      <c r="Y22" s="3047"/>
      <c r="Z22" s="1882"/>
      <c r="AA22" s="1883">
        <v>1</v>
      </c>
      <c r="AB22" s="1883">
        <v>1</v>
      </c>
      <c r="AC22" s="1883">
        <v>1</v>
      </c>
    </row>
    <row r="23" spans="1:29" ht="82.8">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47"/>
      <c r="Q23" s="1879" t="str">
        <f>B23</f>
        <v>环境质量</v>
      </c>
      <c r="R23" s="745" t="s">
        <v>25</v>
      </c>
      <c r="S23" s="746">
        <f>F23</f>
        <v>100</v>
      </c>
      <c r="T23" s="745" t="s">
        <v>25</v>
      </c>
      <c r="U23" s="746">
        <f>H23</f>
        <v>100</v>
      </c>
      <c r="V23" s="745" t="s">
        <v>25</v>
      </c>
      <c r="W23" s="746">
        <f>J23</f>
        <v>100</v>
      </c>
      <c r="X23" s="1880"/>
      <c r="Y23" s="3047"/>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47"/>
      <c r="Q24" s="1879"/>
      <c r="R24" s="745"/>
      <c r="S24" s="746"/>
      <c r="T24" s="745"/>
      <c r="U24" s="746"/>
      <c r="V24" s="745"/>
      <c r="W24" s="746"/>
      <c r="X24" s="1880"/>
      <c r="Y24" s="3047"/>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47"/>
      <c r="Q25" s="1879">
        <f>B25</f>
        <v>111</v>
      </c>
      <c r="R25" s="745" t="s">
        <v>25</v>
      </c>
      <c r="S25" s="746">
        <f>F25</f>
        <v>100</v>
      </c>
      <c r="T25" s="745" t="s">
        <v>25</v>
      </c>
      <c r="U25" s="746">
        <f>H25</f>
        <v>100</v>
      </c>
      <c r="V25" s="745" t="s">
        <v>25</v>
      </c>
      <c r="W25" s="746">
        <f>J25</f>
        <v>100</v>
      </c>
      <c r="X25" s="1880"/>
      <c r="Y25" s="3047"/>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47"/>
      <c r="Q26" s="1879">
        <f t="shared" ref="Q26:Q40" si="11">B26</f>
        <v>111</v>
      </c>
      <c r="R26" s="745" t="s">
        <v>25</v>
      </c>
      <c r="S26" s="746">
        <f>F26</f>
        <v>100</v>
      </c>
      <c r="T26" s="745" t="s">
        <v>25</v>
      </c>
      <c r="U26" s="746">
        <f>H26</f>
        <v>100</v>
      </c>
      <c r="V26" s="745" t="s">
        <v>25</v>
      </c>
      <c r="W26" s="746">
        <f>J26</f>
        <v>100</v>
      </c>
      <c r="X26" s="1880"/>
      <c r="Y26" s="3047"/>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47"/>
      <c r="Q27" s="1867">
        <f t="shared" si="11"/>
        <v>111</v>
      </c>
      <c r="R27" s="741" t="s">
        <v>25</v>
      </c>
      <c r="S27" s="742">
        <f>F27</f>
        <v>100</v>
      </c>
      <c r="T27" s="741" t="s">
        <v>25</v>
      </c>
      <c r="U27" s="742">
        <f>H27</f>
        <v>100</v>
      </c>
      <c r="V27" s="741" t="s">
        <v>25</v>
      </c>
      <c r="W27" s="742">
        <f>J27</f>
        <v>100</v>
      </c>
      <c r="X27" s="743"/>
      <c r="Y27" s="3047"/>
      <c r="Z27" s="23">
        <f>Q27</f>
        <v>111</v>
      </c>
      <c r="AA27" s="1883">
        <f>D27/F27</f>
        <v>1</v>
      </c>
      <c r="AB27" s="1883">
        <f>D27/H27</f>
        <v>1</v>
      </c>
      <c r="AC27" s="1883">
        <f>D27/J27</f>
        <v>1</v>
      </c>
    </row>
    <row r="28" spans="1:29" ht="15.6"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47"/>
      <c r="Q28" s="1879">
        <f t="shared" si="11"/>
        <v>111</v>
      </c>
      <c r="R28" s="745" t="s">
        <v>25</v>
      </c>
      <c r="S28" s="746">
        <f t="shared" ref="S28:S40" si="12">F28</f>
        <v>100</v>
      </c>
      <c r="T28" s="745" t="s">
        <v>25</v>
      </c>
      <c r="U28" s="746">
        <f t="shared" ref="U28:U40" si="13">H28</f>
        <v>100</v>
      </c>
      <c r="V28" s="745" t="s">
        <v>25</v>
      </c>
      <c r="W28" s="746">
        <f t="shared" ref="W28:W40" si="14">J28</f>
        <v>100</v>
      </c>
      <c r="X28" s="1880"/>
      <c r="Y28" s="3047"/>
      <c r="Z28" s="1882">
        <f t="shared" ref="Z28:Z40" si="15">Q28</f>
        <v>111</v>
      </c>
      <c r="AA28" s="1883">
        <f t="shared" si="3"/>
        <v>1</v>
      </c>
      <c r="AB28" s="1883">
        <f t="shared" si="4"/>
        <v>1</v>
      </c>
      <c r="AC28" s="1883">
        <f t="shared" si="5"/>
        <v>1</v>
      </c>
    </row>
    <row r="29" spans="1:29" ht="30">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4" t="s">
        <v>2360</v>
      </c>
      <c r="Q29" s="1879" t="str">
        <f t="shared" si="11"/>
        <v>建筑类型</v>
      </c>
      <c r="R29" s="745" t="s">
        <v>25</v>
      </c>
      <c r="S29" s="746">
        <f t="shared" si="12"/>
        <v>100</v>
      </c>
      <c r="T29" s="745" t="s">
        <v>25</v>
      </c>
      <c r="U29" s="746">
        <f t="shared" si="13"/>
        <v>100</v>
      </c>
      <c r="V29" s="745" t="s">
        <v>25</v>
      </c>
      <c r="W29" s="746">
        <f t="shared" si="14"/>
        <v>100</v>
      </c>
      <c r="X29" s="1880"/>
      <c r="Y29" s="3051"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51"/>
      <c r="Q30" s="747" t="str">
        <f t="shared" si="11"/>
        <v>项目建筑规模</v>
      </c>
      <c r="R30" s="748" t="s">
        <v>25</v>
      </c>
      <c r="S30" s="749" t="e">
        <f t="shared" si="12"/>
        <v>#N/A</v>
      </c>
      <c r="T30" s="748" t="s">
        <v>25</v>
      </c>
      <c r="U30" s="749" t="e">
        <f t="shared" si="13"/>
        <v>#N/A</v>
      </c>
      <c r="V30" s="748" t="s">
        <v>25</v>
      </c>
      <c r="W30" s="749" t="e">
        <f t="shared" si="14"/>
        <v>#N/A</v>
      </c>
      <c r="X30" s="750"/>
      <c r="Y30" s="3051"/>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51"/>
      <c r="Q31" s="1879" t="str">
        <f t="shared" si="11"/>
        <v>建筑结构</v>
      </c>
      <c r="R31" s="745" t="s">
        <v>25</v>
      </c>
      <c r="S31" s="746">
        <f t="shared" si="12"/>
        <v>100</v>
      </c>
      <c r="T31" s="745" t="s">
        <v>25</v>
      </c>
      <c r="U31" s="746">
        <f t="shared" si="13"/>
        <v>100</v>
      </c>
      <c r="V31" s="745" t="s">
        <v>25</v>
      </c>
      <c r="W31" s="746">
        <f t="shared" si="14"/>
        <v>100</v>
      </c>
      <c r="X31" s="1880"/>
      <c r="Y31" s="3051"/>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51"/>
      <c r="Q32" s="1879" t="str">
        <f t="shared" si="11"/>
        <v>公共部分装修</v>
      </c>
      <c r="R32" s="745" t="s">
        <v>25</v>
      </c>
      <c r="S32" s="746">
        <f t="shared" si="12"/>
        <v>100</v>
      </c>
      <c r="T32" s="745" t="s">
        <v>25</v>
      </c>
      <c r="U32" s="746">
        <f t="shared" si="13"/>
        <v>100</v>
      </c>
      <c r="V32" s="745" t="s">
        <v>25</v>
      </c>
      <c r="W32" s="746">
        <f t="shared" si="14"/>
        <v>100</v>
      </c>
      <c r="X32" s="1880"/>
      <c r="Y32" s="3051"/>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51"/>
      <c r="Q33" s="1879" t="str">
        <f t="shared" si="11"/>
        <v>成新度</v>
      </c>
      <c r="R33" s="745" t="s">
        <v>25</v>
      </c>
      <c r="S33" s="746" t="e">
        <f t="shared" si="12"/>
        <v>#N/A</v>
      </c>
      <c r="T33" s="745" t="s">
        <v>25</v>
      </c>
      <c r="U33" s="746" t="e">
        <f t="shared" si="13"/>
        <v>#N/A</v>
      </c>
      <c r="V33" s="745" t="s">
        <v>25</v>
      </c>
      <c r="W33" s="746" t="e">
        <f t="shared" si="14"/>
        <v>#N/A</v>
      </c>
      <c r="X33" s="1880"/>
      <c r="Y33" s="3051"/>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51"/>
      <c r="Q34" s="1867" t="str">
        <f t="shared" si="11"/>
        <v>物业管理</v>
      </c>
      <c r="R34" s="741" t="s">
        <v>25</v>
      </c>
      <c r="S34" s="742">
        <f t="shared" si="12"/>
        <v>100</v>
      </c>
      <c r="T34" s="741" t="s">
        <v>25</v>
      </c>
      <c r="U34" s="742">
        <f t="shared" si="13"/>
        <v>100</v>
      </c>
      <c r="V34" s="741" t="s">
        <v>25</v>
      </c>
      <c r="W34" s="742">
        <f t="shared" si="14"/>
        <v>100</v>
      </c>
      <c r="X34" s="743"/>
      <c r="Y34" s="3051"/>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51" t="s">
        <v>2360</v>
      </c>
      <c r="Q35" s="1879" t="str">
        <f t="shared" si="11"/>
        <v>市政基础设施</v>
      </c>
      <c r="R35" s="745" t="s">
        <v>25</v>
      </c>
      <c r="S35" s="746">
        <f t="shared" si="12"/>
        <v>100</v>
      </c>
      <c r="T35" s="745" t="s">
        <v>25</v>
      </c>
      <c r="U35" s="746">
        <f t="shared" si="13"/>
        <v>100</v>
      </c>
      <c r="V35" s="745" t="s">
        <v>25</v>
      </c>
      <c r="W35" s="746">
        <f t="shared" si="14"/>
        <v>100</v>
      </c>
      <c r="X35" s="1880"/>
      <c r="Y35" s="3051"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51"/>
      <c r="Q36" s="1879" t="str">
        <f t="shared" si="11"/>
        <v>内部装修</v>
      </c>
      <c r="R36" s="745" t="s">
        <v>25</v>
      </c>
      <c r="S36" s="746">
        <f t="shared" si="12"/>
        <v>100</v>
      </c>
      <c r="T36" s="745" t="s">
        <v>25</v>
      </c>
      <c r="U36" s="746">
        <f t="shared" si="13"/>
        <v>100</v>
      </c>
      <c r="V36" s="745" t="s">
        <v>25</v>
      </c>
      <c r="W36" s="746">
        <f t="shared" si="14"/>
        <v>100</v>
      </c>
      <c r="X36" s="1880"/>
      <c r="Y36" s="3051"/>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51"/>
      <c r="Q37" s="1879" t="str">
        <f t="shared" si="11"/>
        <v>内部装修状况</v>
      </c>
      <c r="R37" s="745" t="s">
        <v>25</v>
      </c>
      <c r="S37" s="746">
        <f t="shared" si="12"/>
        <v>0</v>
      </c>
      <c r="T37" s="745" t="s">
        <v>25</v>
      </c>
      <c r="U37" s="746">
        <f t="shared" si="13"/>
        <v>0</v>
      </c>
      <c r="V37" s="745" t="s">
        <v>25</v>
      </c>
      <c r="W37" s="746">
        <f t="shared" si="14"/>
        <v>0</v>
      </c>
      <c r="X37" s="1880"/>
      <c r="Y37" s="3051"/>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51"/>
      <c r="Q38" s="747">
        <f t="shared" si="11"/>
        <v>111</v>
      </c>
      <c r="R38" s="748" t="s">
        <v>25</v>
      </c>
      <c r="S38" s="749">
        <f t="shared" si="12"/>
        <v>100</v>
      </c>
      <c r="T38" s="748" t="s">
        <v>25</v>
      </c>
      <c r="U38" s="749">
        <f t="shared" si="13"/>
        <v>100</v>
      </c>
      <c r="V38" s="748" t="s">
        <v>25</v>
      </c>
      <c r="W38" s="749">
        <f t="shared" si="14"/>
        <v>100</v>
      </c>
      <c r="X38" s="750"/>
      <c r="Y38" s="3051"/>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51"/>
      <c r="Q39" s="1879">
        <f t="shared" si="11"/>
        <v>111</v>
      </c>
      <c r="R39" s="745" t="s">
        <v>25</v>
      </c>
      <c r="S39" s="746">
        <f t="shared" si="12"/>
        <v>100</v>
      </c>
      <c r="T39" s="745" t="s">
        <v>25</v>
      </c>
      <c r="U39" s="746">
        <f t="shared" si="13"/>
        <v>100</v>
      </c>
      <c r="V39" s="745" t="s">
        <v>25</v>
      </c>
      <c r="W39" s="746">
        <f t="shared" si="14"/>
        <v>100</v>
      </c>
      <c r="X39" s="1880"/>
      <c r="Y39" s="3051"/>
      <c r="Z39" s="1882">
        <f t="shared" si="15"/>
        <v>111</v>
      </c>
      <c r="AA39" s="1883">
        <f t="shared" si="3"/>
        <v>1</v>
      </c>
      <c r="AB39" s="1883">
        <f t="shared" si="4"/>
        <v>1</v>
      </c>
      <c r="AC39" s="1883">
        <f t="shared" si="5"/>
        <v>1</v>
      </c>
    </row>
    <row r="40" spans="1:29" ht="15.6"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52"/>
      <c r="Q40" s="1879">
        <f t="shared" si="11"/>
        <v>111</v>
      </c>
      <c r="R40" s="745" t="s">
        <v>25</v>
      </c>
      <c r="S40" s="746">
        <f t="shared" si="12"/>
        <v>100</v>
      </c>
      <c r="T40" s="745" t="s">
        <v>25</v>
      </c>
      <c r="U40" s="746">
        <f t="shared" si="13"/>
        <v>100</v>
      </c>
      <c r="V40" s="745" t="s">
        <v>25</v>
      </c>
      <c r="W40" s="746">
        <f t="shared" si="14"/>
        <v>100</v>
      </c>
      <c r="X40" s="1880"/>
      <c r="Y40" s="3052"/>
      <c r="Z40" s="1882">
        <f t="shared" si="15"/>
        <v>111</v>
      </c>
      <c r="AA40" s="1883">
        <f t="shared" si="3"/>
        <v>1</v>
      </c>
      <c r="AB40" s="1883">
        <f t="shared" si="4"/>
        <v>1</v>
      </c>
      <c r="AC40" s="1883">
        <f t="shared" si="5"/>
        <v>1</v>
      </c>
    </row>
    <row r="41" spans="1:29" ht="14.4">
      <c r="A41" s="456" t="s">
        <v>2372</v>
      </c>
      <c r="B41" s="457"/>
      <c r="C41" s="1484" t="s">
        <v>1</v>
      </c>
      <c r="D41" s="1485"/>
      <c r="E41" s="1486"/>
      <c r="F41" s="1487"/>
      <c r="G41" s="1488"/>
      <c r="H41" s="1489"/>
      <c r="I41" s="1486"/>
      <c r="J41" s="1489"/>
      <c r="K41" s="754"/>
      <c r="L41" s="1238"/>
      <c r="M41" s="1239"/>
      <c r="N41" s="1226"/>
      <c r="O41" s="1239"/>
      <c r="P41" s="3040" t="str">
        <f>A41</f>
        <v>成交单价（元/平方米）</v>
      </c>
      <c r="Q41" s="3040"/>
      <c r="R41" s="3041">
        <f>E41</f>
        <v>0</v>
      </c>
      <c r="S41" s="3041"/>
      <c r="T41" s="3041">
        <f>G41</f>
        <v>0</v>
      </c>
      <c r="U41" s="3041"/>
      <c r="V41" s="3041">
        <f>I41</f>
        <v>0</v>
      </c>
      <c r="W41" s="3041"/>
      <c r="X41" s="730"/>
      <c r="Y41" s="752"/>
      <c r="Z41" s="730"/>
      <c r="AA41" s="730"/>
      <c r="AB41" s="730"/>
      <c r="AC41" s="730"/>
    </row>
    <row r="42" spans="1:29" ht="1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40" t="str">
        <f>A42</f>
        <v>比较价值（元/平方米）</v>
      </c>
      <c r="Q42" s="3040"/>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0"/>
      <c r="Y42" s="730"/>
      <c r="Z42" s="730"/>
      <c r="AA42" s="730"/>
      <c r="AB42" s="730"/>
      <c r="AC42" s="730"/>
    </row>
    <row r="43" spans="1:29" ht="15" thickBot="1">
      <c r="A43" s="469" t="s">
        <v>2478</v>
      </c>
      <c r="B43" s="470"/>
      <c r="C43" s="1494" t="e">
        <f>R43</f>
        <v>#DIV/0!</v>
      </c>
      <c r="D43" s="1494"/>
      <c r="E43" s="1494"/>
      <c r="F43" s="1494"/>
      <c r="G43" s="1494"/>
      <c r="H43" s="1494"/>
      <c r="I43" s="1494"/>
      <c r="J43" s="1494"/>
      <c r="K43" s="756"/>
      <c r="L43" s="1238"/>
      <c r="M43" s="1239"/>
      <c r="N43" s="1239"/>
      <c r="O43" s="1239"/>
      <c r="P43" s="3113" t="str">
        <f>A43</f>
        <v>估价对象XX用房的比较价值（楼面单价，元/平方米）</v>
      </c>
      <c r="Q43" s="3039"/>
      <c r="R43" s="3043" t="e">
        <f>IF(E1="售价",ROUND(AVERAGE(R42:V42),0),ROUND(AVERAGE(R42:V42),1))</f>
        <v>#DIV/0!</v>
      </c>
      <c r="S43" s="3043"/>
      <c r="T43" s="3043"/>
      <c r="U43" s="3043"/>
      <c r="V43" s="3043"/>
      <c r="W43" s="3043"/>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2.2" thickBot="1">
      <c r="A51" s="734" t="s">
        <v>2460</v>
      </c>
      <c r="B51" s="730"/>
      <c r="C51" s="735"/>
      <c r="D51" s="735"/>
      <c r="E51" s="735"/>
      <c r="F51" s="736"/>
      <c r="G51" s="736"/>
      <c r="H51" s="735"/>
      <c r="I51" s="735"/>
      <c r="J51" s="735"/>
      <c r="K51" s="737"/>
      <c r="L51" s="738"/>
      <c r="M51" s="735"/>
      <c r="N51" s="735"/>
      <c r="O51" s="735"/>
      <c r="P51" s="480"/>
      <c r="Q51" s="481"/>
    </row>
    <row r="52" spans="1:17" s="485" customFormat="1" ht="14.4">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c r="A53" s="486"/>
      <c r="B53" s="487"/>
      <c r="C53" s="619">
        <v>100</v>
      </c>
      <c r="D53" s="489"/>
      <c r="E53" s="489"/>
      <c r="F53" s="489"/>
      <c r="G53" s="489"/>
      <c r="H53" s="489"/>
      <c r="I53" s="489"/>
      <c r="J53" s="489"/>
      <c r="K53" s="489"/>
      <c r="L53" s="489"/>
      <c r="M53" s="490"/>
      <c r="N53" s="489"/>
      <c r="O53" s="491"/>
      <c r="P53" s="481"/>
    </row>
    <row r="54" spans="1:17" s="34" customFormat="1" ht="15" thickBot="1">
      <c r="A54" s="492" t="s">
        <v>2380</v>
      </c>
      <c r="B54" s="493"/>
      <c r="C54" s="494"/>
      <c r="D54" s="495"/>
      <c r="E54" s="495"/>
      <c r="F54" s="495"/>
      <c r="G54" s="495"/>
      <c r="H54" s="495"/>
      <c r="I54" s="495"/>
      <c r="J54" s="495"/>
      <c r="K54" s="495"/>
      <c r="L54" s="495"/>
      <c r="M54" s="496"/>
      <c r="N54" s="495"/>
      <c r="O54" s="497"/>
      <c r="P54" s="481"/>
      <c r="Q54" s="481"/>
    </row>
    <row r="55" spans="1:17" s="34" customFormat="1" ht="14.4">
      <c r="A55" s="498" t="s">
        <v>2344</v>
      </c>
      <c r="B55" s="487"/>
      <c r="C55" s="499" t="s">
        <v>2345</v>
      </c>
      <c r="D55" s="500"/>
      <c r="E55" s="500"/>
      <c r="F55" s="500"/>
      <c r="G55" s="500"/>
      <c r="H55" s="500"/>
      <c r="I55" s="500"/>
      <c r="J55" s="500"/>
      <c r="K55" s="500"/>
      <c r="L55" s="501"/>
      <c r="M55" s="502"/>
      <c r="N55" s="1248"/>
      <c r="O55" s="1248"/>
      <c r="P55" s="503"/>
      <c r="Q55" s="481"/>
    </row>
    <row r="56" spans="1:17" s="34" customFormat="1" ht="14.4" thickBot="1">
      <c r="A56" s="498"/>
      <c r="B56" s="487"/>
      <c r="C56" s="619">
        <v>100</v>
      </c>
      <c r="D56" s="489"/>
      <c r="E56" s="489"/>
      <c r="F56" s="489"/>
      <c r="G56" s="489"/>
      <c r="H56" s="489"/>
      <c r="I56" s="489"/>
      <c r="J56" s="489"/>
      <c r="K56" s="489"/>
      <c r="L56" s="489"/>
      <c r="M56" s="491"/>
      <c r="N56" s="1248"/>
      <c r="O56" s="1248"/>
      <c r="P56" s="481"/>
      <c r="Q56" s="481"/>
    </row>
    <row r="57" spans="1:17" ht="14.4">
      <c r="A57" s="504" t="s">
        <v>2383</v>
      </c>
      <c r="B57" s="505" t="s">
        <v>2348</v>
      </c>
      <c r="C57" s="506">
        <f>C9</f>
        <v>0</v>
      </c>
      <c r="D57" s="507"/>
      <c r="E57" s="507"/>
      <c r="F57" s="507"/>
      <c r="G57" s="507"/>
      <c r="H57" s="507"/>
      <c r="I57" s="507"/>
      <c r="J57" s="507"/>
      <c r="K57" s="508"/>
      <c r="L57" s="509"/>
      <c r="M57" s="510"/>
      <c r="N57" s="1249"/>
      <c r="O57" s="1249"/>
      <c r="P57" s="22"/>
      <c r="Q57" s="481"/>
    </row>
    <row r="58" spans="1:17" ht="14.4" thickBot="1">
      <c r="A58" s="512"/>
      <c r="B58" s="513"/>
      <c r="C58" s="514">
        <v>100</v>
      </c>
      <c r="D58" s="514"/>
      <c r="E58" s="514"/>
      <c r="F58" s="514"/>
      <c r="G58" s="514"/>
      <c r="H58" s="514"/>
      <c r="I58" s="514"/>
      <c r="J58" s="514"/>
      <c r="K58" s="514"/>
      <c r="L58" s="514"/>
      <c r="M58" s="515"/>
      <c r="N58" s="1250"/>
      <c r="O58" s="1250"/>
      <c r="P58" s="22"/>
      <c r="Q58" s="481"/>
    </row>
    <row r="59" spans="1:17" ht="29.4"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4.4"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c r="A62" s="512"/>
      <c r="B62" s="527"/>
      <c r="C62" s="528"/>
      <c r="D62" s="528"/>
      <c r="E62" s="528"/>
      <c r="F62" s="528"/>
      <c r="G62" s="528"/>
      <c r="H62" s="528"/>
      <c r="I62" s="528"/>
      <c r="J62" s="528"/>
      <c r="K62" s="529"/>
      <c r="L62" s="530"/>
      <c r="M62" s="531"/>
      <c r="N62" s="1249"/>
      <c r="O62" s="1249"/>
      <c r="P62" s="22"/>
      <c r="Q62" s="481"/>
    </row>
    <row r="63" spans="1:17" ht="14.4"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4.4" thickTop="1">
      <c r="A64" s="532"/>
      <c r="B64" s="517">
        <f>B12</f>
        <v>111</v>
      </c>
      <c r="C64" s="533"/>
      <c r="D64" s="533"/>
      <c r="E64" s="533"/>
      <c r="F64" s="533"/>
      <c r="G64" s="533"/>
      <c r="H64" s="534"/>
      <c r="I64" s="534"/>
      <c r="J64" s="534"/>
      <c r="K64" s="534"/>
      <c r="L64" s="535"/>
      <c r="M64" s="536"/>
      <c r="N64" s="1251"/>
      <c r="O64" s="1251"/>
      <c r="P64" s="538"/>
      <c r="Q64" s="539"/>
    </row>
    <row r="65" spans="1:17" s="448" customFormat="1" ht="14.4" thickBot="1">
      <c r="A65" s="532"/>
      <c r="B65" s="522"/>
      <c r="C65" s="540"/>
      <c r="D65" s="514"/>
      <c r="E65" s="514"/>
      <c r="F65" s="514"/>
      <c r="G65" s="514"/>
      <c r="H65" s="514"/>
      <c r="I65" s="514"/>
      <c r="J65" s="514"/>
      <c r="K65" s="514"/>
      <c r="L65" s="514"/>
      <c r="M65" s="515"/>
      <c r="N65" s="1250"/>
      <c r="O65" s="1250"/>
      <c r="P65" s="538"/>
      <c r="Q65" s="539"/>
    </row>
    <row r="66" spans="1:17" s="448" customFormat="1" ht="14.4" thickTop="1">
      <c r="A66" s="532"/>
      <c r="B66" s="517">
        <f>B13</f>
        <v>111</v>
      </c>
      <c r="C66" s="533"/>
      <c r="D66" s="533"/>
      <c r="E66" s="533"/>
      <c r="F66" s="533"/>
      <c r="G66" s="533"/>
      <c r="H66" s="534"/>
      <c r="I66" s="534"/>
      <c r="J66" s="534"/>
      <c r="K66" s="534"/>
      <c r="L66" s="535"/>
      <c r="M66" s="536"/>
      <c r="N66" s="1251"/>
      <c r="O66" s="1251"/>
      <c r="P66" s="447"/>
      <c r="Q66" s="541"/>
    </row>
    <row r="67" spans="1:17" s="448" customFormat="1" ht="14.4" thickBot="1">
      <c r="A67" s="532"/>
      <c r="B67" s="522"/>
      <c r="C67" s="540"/>
      <c r="D67" s="514"/>
      <c r="E67" s="514"/>
      <c r="F67" s="514"/>
      <c r="G67" s="540"/>
      <c r="H67" s="542"/>
      <c r="I67" s="542"/>
      <c r="J67" s="542"/>
      <c r="K67" s="542"/>
      <c r="L67" s="542"/>
      <c r="M67" s="543"/>
      <c r="N67" s="1251"/>
      <c r="O67" s="1251"/>
      <c r="P67" s="538"/>
      <c r="Q67" s="539"/>
    </row>
    <row r="68" spans="1:17" s="448" customFormat="1" ht="14.4" thickTop="1">
      <c r="A68" s="532"/>
      <c r="B68" s="525">
        <f>B14</f>
        <v>111</v>
      </c>
      <c r="C68" s="500"/>
      <c r="D68" s="500"/>
      <c r="E68" s="500"/>
      <c r="F68" s="500"/>
      <c r="G68" s="500"/>
      <c r="H68" s="544"/>
      <c r="I68" s="544"/>
      <c r="J68" s="544"/>
      <c r="K68" s="544"/>
      <c r="L68" s="545"/>
      <c r="M68" s="546"/>
      <c r="N68" s="1251"/>
      <c r="O68" s="1251"/>
      <c r="P68" s="547"/>
      <c r="Q68" s="539"/>
    </row>
    <row r="69" spans="1:17" s="448" customFormat="1" ht="14.4" thickBot="1">
      <c r="A69" s="548"/>
      <c r="B69" s="549"/>
      <c r="C69" s="550"/>
      <c r="D69" s="550"/>
      <c r="E69" s="550"/>
      <c r="F69" s="550"/>
      <c r="G69" s="550"/>
      <c r="H69" s="551"/>
      <c r="I69" s="551"/>
      <c r="J69" s="551"/>
      <c r="K69" s="551"/>
      <c r="L69" s="551"/>
      <c r="M69" s="552"/>
      <c r="N69" s="1251"/>
      <c r="O69" s="1251"/>
      <c r="P69" s="538"/>
      <c r="Q69" s="539"/>
    </row>
    <row r="70" spans="1:17" ht="14.4">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4.4"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4.4"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4.4"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4.4"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4.4"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4.4" thickTop="1">
      <c r="A80" s="559"/>
      <c r="B80" s="517">
        <f>B25</f>
        <v>111</v>
      </c>
      <c r="C80" s="533"/>
      <c r="D80" s="533"/>
      <c r="E80" s="533"/>
      <c r="F80" s="533"/>
      <c r="G80" s="533"/>
      <c r="H80" s="533"/>
      <c r="I80" s="533"/>
      <c r="J80" s="533"/>
      <c r="K80" s="533"/>
      <c r="L80" s="560"/>
      <c r="M80" s="561"/>
      <c r="N80" s="1248"/>
      <c r="O80" s="1248"/>
      <c r="P80" s="22"/>
      <c r="Q80" s="481"/>
    </row>
    <row r="81" spans="1:17" s="34" customFormat="1" ht="14.4" thickBot="1">
      <c r="A81" s="559"/>
      <c r="B81" s="522"/>
      <c r="C81" s="540"/>
      <c r="D81" s="514"/>
      <c r="E81" s="514"/>
      <c r="F81" s="514"/>
      <c r="G81" s="514"/>
      <c r="H81" s="514"/>
      <c r="I81" s="514"/>
      <c r="J81" s="514"/>
      <c r="K81" s="514"/>
      <c r="L81" s="514"/>
      <c r="M81" s="515"/>
      <c r="N81" s="1250"/>
      <c r="O81" s="1250"/>
      <c r="P81" s="22"/>
      <c r="Q81" s="481"/>
    </row>
    <row r="82" spans="1:17" s="34" customFormat="1" ht="14.4" thickTop="1">
      <c r="A82" s="559"/>
      <c r="B82" s="517">
        <f>B26</f>
        <v>111</v>
      </c>
      <c r="C82" s="533"/>
      <c r="D82" s="533"/>
      <c r="E82" s="533"/>
      <c r="F82" s="533"/>
      <c r="G82" s="533"/>
      <c r="H82" s="533"/>
      <c r="I82" s="533"/>
      <c r="J82" s="533"/>
      <c r="K82" s="533"/>
      <c r="L82" s="560"/>
      <c r="M82" s="561"/>
      <c r="N82" s="1248"/>
      <c r="O82" s="1248"/>
      <c r="P82" s="22"/>
      <c r="Q82" s="481"/>
    </row>
    <row r="83" spans="1:17" s="34" customFormat="1" ht="14.4" thickBot="1">
      <c r="A83" s="559"/>
      <c r="B83" s="522"/>
      <c r="C83" s="540"/>
      <c r="D83" s="514"/>
      <c r="E83" s="514"/>
      <c r="F83" s="514"/>
      <c r="G83" s="514"/>
      <c r="H83" s="514"/>
      <c r="I83" s="514"/>
      <c r="J83" s="514"/>
      <c r="K83" s="514"/>
      <c r="L83" s="514"/>
      <c r="M83" s="515"/>
      <c r="N83" s="1250"/>
      <c r="O83" s="1250"/>
      <c r="P83" s="22"/>
      <c r="Q83" s="481"/>
    </row>
    <row r="84" spans="1:17" s="448" customFormat="1" ht="14.4" thickTop="1">
      <c r="A84" s="532"/>
      <c r="B84" s="517">
        <f>B27</f>
        <v>111</v>
      </c>
      <c r="C84" s="533"/>
      <c r="D84" s="533"/>
      <c r="E84" s="533"/>
      <c r="F84" s="533"/>
      <c r="G84" s="533"/>
      <c r="H84" s="533"/>
      <c r="I84" s="533"/>
      <c r="J84" s="533"/>
      <c r="K84" s="533"/>
      <c r="L84" s="560"/>
      <c r="M84" s="561"/>
      <c r="N84" s="1251"/>
      <c r="O84" s="1251"/>
      <c r="P84" s="538"/>
      <c r="Q84" s="539"/>
    </row>
    <row r="85" spans="1:17" s="448" customFormat="1" ht="14.4" thickBot="1">
      <c r="A85" s="532"/>
      <c r="B85" s="522"/>
      <c r="C85" s="540"/>
      <c r="D85" s="514"/>
      <c r="E85" s="514"/>
      <c r="F85" s="514"/>
      <c r="G85" s="514"/>
      <c r="H85" s="514"/>
      <c r="I85" s="514"/>
      <c r="J85" s="514"/>
      <c r="K85" s="514"/>
      <c r="L85" s="514"/>
      <c r="M85" s="515"/>
      <c r="N85" s="1251"/>
      <c r="O85" s="1251"/>
      <c r="P85" s="538"/>
      <c r="Q85" s="539"/>
    </row>
    <row r="86" spans="1:17" ht="14.4" thickTop="1">
      <c r="A86" s="512"/>
      <c r="B86" s="525">
        <f>B28</f>
        <v>111</v>
      </c>
      <c r="C86" s="500"/>
      <c r="D86" s="500"/>
      <c r="E86" s="500"/>
      <c r="F86" s="500"/>
      <c r="G86" s="567"/>
      <c r="H86" s="567"/>
      <c r="I86" s="567"/>
      <c r="J86" s="567"/>
      <c r="K86" s="568"/>
      <c r="L86" s="569"/>
      <c r="M86" s="570"/>
      <c r="N86" s="1249"/>
      <c r="O86" s="1249"/>
      <c r="P86" s="22"/>
      <c r="Q86" s="481"/>
    </row>
    <row r="87" spans="1:17" ht="14.4" thickBot="1">
      <c r="A87" s="2408"/>
      <c r="B87" s="549"/>
      <c r="C87" s="550"/>
      <c r="D87" s="550"/>
      <c r="E87" s="550"/>
      <c r="F87" s="550"/>
      <c r="G87" s="571"/>
      <c r="H87" s="571"/>
      <c r="I87" s="571"/>
      <c r="J87" s="571"/>
      <c r="K87" s="571"/>
      <c r="L87" s="571"/>
      <c r="M87" s="572"/>
      <c r="N87" s="1250"/>
      <c r="O87" s="1250"/>
      <c r="P87" s="22"/>
      <c r="Q87" s="481"/>
    </row>
    <row r="88" spans="1:17" ht="14.4">
      <c r="A88" s="504" t="s">
        <v>2358</v>
      </c>
      <c r="B88" s="505" t="s">
        <v>2407</v>
      </c>
      <c r="C88" s="507"/>
      <c r="D88" s="507"/>
      <c r="E88" s="507"/>
      <c r="F88" s="507"/>
      <c r="G88" s="507"/>
      <c r="H88" s="507"/>
      <c r="I88" s="507"/>
      <c r="J88" s="507"/>
      <c r="K88" s="508"/>
      <c r="L88" s="509"/>
      <c r="M88" s="510"/>
      <c r="N88" s="1249"/>
      <c r="O88" s="1249"/>
      <c r="P88" s="22"/>
      <c r="Q88" s="481"/>
    </row>
    <row r="89" spans="1:17" ht="14.4"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4.4"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4.4"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4.4"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4.4"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4.4"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4.4"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4.4"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29.4"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4.4"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4.4"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4.4" thickBot="1">
      <c r="A109" s="532"/>
      <c r="B109" s="513"/>
      <c r="C109" s="540"/>
      <c r="D109" s="514"/>
      <c r="E109" s="514"/>
      <c r="F109" s="514"/>
      <c r="G109" s="540"/>
      <c r="H109" s="542"/>
      <c r="I109" s="542"/>
      <c r="J109" s="542"/>
      <c r="K109" s="542"/>
      <c r="L109" s="542"/>
      <c r="M109" s="543"/>
      <c r="N109" s="1251"/>
      <c r="O109" s="1251"/>
      <c r="P109" s="538"/>
      <c r="Q109" s="539"/>
    </row>
    <row r="110" spans="1:17" ht="14.4" thickTop="1">
      <c r="A110" s="579"/>
      <c r="B110" s="517">
        <f>B39</f>
        <v>111</v>
      </c>
      <c r="C110" s="533"/>
      <c r="D110" s="533"/>
      <c r="E110" s="533"/>
      <c r="F110" s="533"/>
      <c r="G110" s="533"/>
      <c r="H110" s="534"/>
      <c r="I110" s="534"/>
      <c r="J110" s="534"/>
      <c r="K110" s="534"/>
      <c r="L110" s="535"/>
      <c r="M110" s="536"/>
      <c r="N110" s="1249"/>
      <c r="O110" s="1249"/>
      <c r="P110" s="22"/>
      <c r="Q110" s="481"/>
    </row>
    <row r="111" spans="1:17" ht="14.4" thickBot="1">
      <c r="A111" s="512"/>
      <c r="B111" s="522"/>
      <c r="C111" s="540"/>
      <c r="D111" s="514"/>
      <c r="E111" s="514"/>
      <c r="F111" s="514"/>
      <c r="G111" s="540"/>
      <c r="H111" s="542"/>
      <c r="I111" s="542"/>
      <c r="J111" s="542"/>
      <c r="K111" s="542"/>
      <c r="L111" s="542"/>
      <c r="M111" s="543"/>
      <c r="N111" s="1250"/>
      <c r="O111" s="1250"/>
      <c r="P111" s="22"/>
      <c r="Q111" s="481"/>
    </row>
    <row r="112" spans="1:17" ht="14.4" thickTop="1">
      <c r="A112" s="579"/>
      <c r="B112" s="525">
        <f>B40</f>
        <v>111</v>
      </c>
      <c r="C112" s="500"/>
      <c r="D112" s="500"/>
      <c r="E112" s="500"/>
      <c r="F112" s="500"/>
      <c r="G112" s="567"/>
      <c r="H112" s="567"/>
      <c r="I112" s="567"/>
      <c r="J112" s="567"/>
      <c r="K112" s="500"/>
      <c r="L112" s="501"/>
      <c r="M112" s="570"/>
      <c r="N112" s="1249"/>
      <c r="O112" s="1249"/>
      <c r="P112" s="22"/>
      <c r="Q112" s="481"/>
    </row>
    <row r="113" spans="1:17" ht="14.4"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5.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1763.4099999999999</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4.4">
      <c r="A4" s="376" t="s">
        <v>2329</v>
      </c>
      <c r="B4" s="377"/>
      <c r="C4" s="3066" t="s">
        <v>2330</v>
      </c>
      <c r="D4" s="3067"/>
      <c r="E4" s="3068" t="s">
        <v>2331</v>
      </c>
      <c r="F4" s="3069"/>
      <c r="G4" s="3066" t="s">
        <v>2332</v>
      </c>
      <c r="H4" s="3067"/>
      <c r="I4" s="3066" t="s">
        <v>2333</v>
      </c>
      <c r="J4" s="3067"/>
      <c r="K4" s="590" t="s">
        <v>2334</v>
      </c>
      <c r="L4" s="1496"/>
      <c r="M4" s="421"/>
      <c r="N4" s="421"/>
      <c r="O4" s="421"/>
      <c r="P4" s="3120" t="s">
        <v>2335</v>
      </c>
      <c r="Q4" s="3044"/>
      <c r="R4" s="3057" t="s">
        <v>2331</v>
      </c>
      <c r="S4" s="3058"/>
      <c r="T4" s="3057" t="s">
        <v>2332</v>
      </c>
      <c r="U4" s="3058"/>
      <c r="V4" s="3056" t="s">
        <v>2333</v>
      </c>
      <c r="W4" s="3056"/>
      <c r="X4" s="1880"/>
      <c r="Y4" s="3057" t="s">
        <v>2335</v>
      </c>
      <c r="Z4" s="3058"/>
      <c r="AA4" s="3063" t="s">
        <v>2331</v>
      </c>
      <c r="AB4" s="3064" t="s">
        <v>2332</v>
      </c>
      <c r="AC4" s="3063" t="s">
        <v>2333</v>
      </c>
    </row>
    <row r="5" spans="1:29">
      <c r="A5" s="379"/>
      <c r="B5" s="380"/>
      <c r="C5" s="3074" t="s">
        <v>2336</v>
      </c>
      <c r="D5" s="3075"/>
      <c r="E5" s="3123" t="s">
        <v>2337</v>
      </c>
      <c r="F5" s="3077"/>
      <c r="G5" s="3074" t="s">
        <v>2338</v>
      </c>
      <c r="H5" s="3075"/>
      <c r="I5" s="3074" t="s">
        <v>2339</v>
      </c>
      <c r="J5" s="3075"/>
      <c r="K5" s="590"/>
      <c r="L5" s="1496"/>
      <c r="M5" s="421"/>
      <c r="N5" s="421"/>
      <c r="O5" s="421"/>
      <c r="P5" s="3121"/>
      <c r="Q5" s="3045"/>
      <c r="R5" s="3059"/>
      <c r="S5" s="3060"/>
      <c r="T5" s="3059"/>
      <c r="U5" s="3060"/>
      <c r="V5" s="3056"/>
      <c r="W5" s="3056"/>
      <c r="X5" s="1880"/>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496"/>
      <c r="M6" s="421"/>
      <c r="N6" s="421"/>
      <c r="O6" s="421"/>
      <c r="P6" s="3122"/>
      <c r="Q6" s="3073"/>
      <c r="R6" s="3059"/>
      <c r="S6" s="3060"/>
      <c r="T6" s="3061"/>
      <c r="U6" s="3062"/>
      <c r="V6" s="3056"/>
      <c r="W6" s="3056"/>
      <c r="X6" s="1880"/>
      <c r="Y6" s="3061"/>
      <c r="Z6" s="3062"/>
      <c r="AA6" s="3065"/>
      <c r="AB6" s="3065"/>
      <c r="AC6" s="3065"/>
    </row>
    <row r="7" spans="1:29" s="34" customFormat="1" ht="1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55" t="s">
        <v>2343</v>
      </c>
      <c r="Q7" s="3053"/>
      <c r="R7" s="741" t="s">
        <v>25</v>
      </c>
      <c r="S7" s="742">
        <f t="shared" ref="S7:S14" si="0">F7</f>
        <v>0</v>
      </c>
      <c r="T7" s="741" t="s">
        <v>25</v>
      </c>
      <c r="U7" s="742">
        <f t="shared" ref="U7:U14" si="1">H7</f>
        <v>0</v>
      </c>
      <c r="V7" s="741" t="s">
        <v>25</v>
      </c>
      <c r="W7" s="742">
        <f t="shared" ref="W7:W14" si="2">J7</f>
        <v>0</v>
      </c>
      <c r="X7" s="743"/>
      <c r="Y7" s="3055" t="s">
        <v>2343</v>
      </c>
      <c r="Z7" s="3054"/>
      <c r="AA7" s="744" t="e">
        <f>D7/F7</f>
        <v>#DIV/0!</v>
      </c>
      <c r="AB7" s="744" t="e">
        <f>D7/H7</f>
        <v>#DIV/0!</v>
      </c>
      <c r="AC7" s="744" t="e">
        <f>D7/J7</f>
        <v>#DIV/0!</v>
      </c>
    </row>
    <row r="8" spans="1:29" s="34" customFormat="1" ht="1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55" t="s">
        <v>2346</v>
      </c>
      <c r="Q8" s="3054"/>
      <c r="R8" s="741" t="s">
        <v>25</v>
      </c>
      <c r="S8" s="742">
        <f t="shared" si="0"/>
        <v>0</v>
      </c>
      <c r="T8" s="741" t="s">
        <v>25</v>
      </c>
      <c r="U8" s="742">
        <f t="shared" si="1"/>
        <v>0</v>
      </c>
      <c r="V8" s="741" t="s">
        <v>25</v>
      </c>
      <c r="W8" s="742">
        <f t="shared" si="2"/>
        <v>0</v>
      </c>
      <c r="X8" s="743"/>
      <c r="Y8" s="3055" t="s">
        <v>2346</v>
      </c>
      <c r="Z8" s="3054"/>
      <c r="AA8" s="744" t="e">
        <f t="shared" ref="AA8:AA36" si="3">D8/F8</f>
        <v>#DIV/0!</v>
      </c>
      <c r="AB8" s="744" t="e">
        <f t="shared" ref="AB8:AB36" si="4">D8/H8</f>
        <v>#DIV/0!</v>
      </c>
      <c r="AC8" s="744" t="e">
        <f t="shared" ref="AC8:AC36" si="5">D8/J8</f>
        <v>#DIV/0!</v>
      </c>
    </row>
    <row r="9" spans="1:29" s="34" customFormat="1" ht="14.4">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40" t="s">
        <v>2349</v>
      </c>
      <c r="Q9" s="1867" t="str">
        <f t="shared" ref="Q9:Q14" si="6">B9</f>
        <v>用途</v>
      </c>
      <c r="R9" s="741" t="s">
        <v>25</v>
      </c>
      <c r="S9" s="742">
        <f t="shared" si="0"/>
        <v>100</v>
      </c>
      <c r="T9" s="741" t="s">
        <v>25</v>
      </c>
      <c r="U9" s="742">
        <f t="shared" si="1"/>
        <v>100</v>
      </c>
      <c r="V9" s="741" t="s">
        <v>25</v>
      </c>
      <c r="W9" s="742">
        <f t="shared" si="2"/>
        <v>100</v>
      </c>
      <c r="X9" s="743"/>
      <c r="Y9" s="2912" t="s">
        <v>2350</v>
      </c>
      <c r="Z9" s="23" t="str">
        <f t="shared" ref="Z9:Z14" si="7">Q9</f>
        <v>用途</v>
      </c>
      <c r="AA9" s="744">
        <f t="shared" si="3"/>
        <v>1</v>
      </c>
      <c r="AB9" s="744">
        <f t="shared" si="4"/>
        <v>1</v>
      </c>
      <c r="AC9" s="744">
        <f t="shared" si="5"/>
        <v>1</v>
      </c>
    </row>
    <row r="10" spans="1:29" s="403" customFormat="1" ht="28.8">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40"/>
      <c r="Q10" s="1867"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40"/>
      <c r="Q11" s="1867">
        <f t="shared" si="6"/>
        <v>111</v>
      </c>
      <c r="R11" s="741" t="s">
        <v>25</v>
      </c>
      <c r="S11" s="742">
        <f t="shared" si="0"/>
        <v>100</v>
      </c>
      <c r="T11" s="741" t="s">
        <v>25</v>
      </c>
      <c r="U11" s="742">
        <f t="shared" si="1"/>
        <v>100</v>
      </c>
      <c r="V11" s="741" t="s">
        <v>25</v>
      </c>
      <c r="W11" s="742">
        <f t="shared" si="2"/>
        <v>100</v>
      </c>
      <c r="X11" s="743"/>
      <c r="Y11" s="2912"/>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40"/>
      <c r="Q12" s="1867">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6"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40"/>
      <c r="Q13" s="1867">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10.4">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46" t="s">
        <v>2354</v>
      </c>
      <c r="Q14" s="1879" t="str">
        <f t="shared" si="6"/>
        <v>交通便捷度</v>
      </c>
      <c r="R14" s="745" t="s">
        <v>25</v>
      </c>
      <c r="S14" s="746">
        <f t="shared" si="0"/>
        <v>100</v>
      </c>
      <c r="T14" s="745" t="s">
        <v>25</v>
      </c>
      <c r="U14" s="746">
        <f t="shared" si="1"/>
        <v>100</v>
      </c>
      <c r="V14" s="745" t="s">
        <v>25</v>
      </c>
      <c r="W14" s="746">
        <f t="shared" si="2"/>
        <v>100</v>
      </c>
      <c r="X14" s="1880"/>
      <c r="Y14" s="3046"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47"/>
      <c r="Q15" s="1879"/>
      <c r="R15" s="745"/>
      <c r="S15" s="746"/>
      <c r="T15" s="745"/>
      <c r="U15" s="746"/>
      <c r="V15" s="745"/>
      <c r="W15" s="746"/>
      <c r="X15" s="1880"/>
      <c r="Y15" s="3047"/>
      <c r="Z15" s="1882"/>
      <c r="AA15" s="1883">
        <v>1</v>
      </c>
      <c r="AB15" s="1883">
        <v>1</v>
      </c>
      <c r="AC15" s="1883">
        <v>1</v>
      </c>
    </row>
    <row r="16" spans="1:29" ht="96.6">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47"/>
      <c r="Q16" s="1879" t="str">
        <f>B16</f>
        <v>公共配套设施</v>
      </c>
      <c r="R16" s="745" t="s">
        <v>25</v>
      </c>
      <c r="S16" s="746">
        <f>F16</f>
        <v>100</v>
      </c>
      <c r="T16" s="745" t="s">
        <v>25</v>
      </c>
      <c r="U16" s="746">
        <f>H16</f>
        <v>100</v>
      </c>
      <c r="V16" s="745" t="s">
        <v>25</v>
      </c>
      <c r="W16" s="746">
        <f>J16</f>
        <v>100</v>
      </c>
      <c r="X16" s="1880"/>
      <c r="Y16" s="3047"/>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47"/>
      <c r="Q17" s="1879"/>
      <c r="R17" s="745"/>
      <c r="S17" s="746"/>
      <c r="T17" s="745"/>
      <c r="U17" s="746"/>
      <c r="V17" s="745"/>
      <c r="W17" s="746"/>
      <c r="X17" s="1880"/>
      <c r="Y17" s="3047"/>
      <c r="Z17" s="1882"/>
      <c r="AA17" s="1883">
        <v>1</v>
      </c>
      <c r="AB17" s="1883">
        <v>1</v>
      </c>
      <c r="AC17" s="1883">
        <v>1</v>
      </c>
    </row>
    <row r="18" spans="1:29" ht="41.4">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47"/>
      <c r="Q18" s="1879" t="str">
        <f>B18</f>
        <v>基础设施水平</v>
      </c>
      <c r="R18" s="745" t="s">
        <v>25</v>
      </c>
      <c r="S18" s="746">
        <f>F18</f>
        <v>100</v>
      </c>
      <c r="T18" s="745" t="s">
        <v>25</v>
      </c>
      <c r="U18" s="746">
        <f>H18</f>
        <v>100</v>
      </c>
      <c r="V18" s="745" t="s">
        <v>25</v>
      </c>
      <c r="W18" s="746">
        <f>J18</f>
        <v>100</v>
      </c>
      <c r="X18" s="1880"/>
      <c r="Y18" s="3047"/>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47"/>
      <c r="Q19" s="1879"/>
      <c r="R19" s="745"/>
      <c r="S19" s="746"/>
      <c r="T19" s="745"/>
      <c r="U19" s="746"/>
      <c r="V19" s="745"/>
      <c r="W19" s="746"/>
      <c r="X19" s="1880"/>
      <c r="Y19" s="3047"/>
      <c r="Z19" s="1882"/>
      <c r="AA19" s="1883">
        <v>1</v>
      </c>
      <c r="AB19" s="1883">
        <v>1</v>
      </c>
      <c r="AC19" s="1883">
        <v>1</v>
      </c>
    </row>
    <row r="20" spans="1:29" ht="110.4">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47"/>
      <c r="Q20" s="1879" t="str">
        <f>B20</f>
        <v>自然及人文环境</v>
      </c>
      <c r="R20" s="745" t="s">
        <v>25</v>
      </c>
      <c r="S20" s="746">
        <f>F20</f>
        <v>100</v>
      </c>
      <c r="T20" s="745" t="s">
        <v>25</v>
      </c>
      <c r="U20" s="746">
        <f>H20</f>
        <v>100</v>
      </c>
      <c r="V20" s="745" t="s">
        <v>25</v>
      </c>
      <c r="W20" s="746">
        <f>J20</f>
        <v>100</v>
      </c>
      <c r="X20" s="1880"/>
      <c r="Y20" s="3047"/>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47"/>
      <c r="Q21" s="1879"/>
      <c r="R21" s="745"/>
      <c r="S21" s="746"/>
      <c r="T21" s="745"/>
      <c r="U21" s="746"/>
      <c r="V21" s="745"/>
      <c r="W21" s="746"/>
      <c r="X21" s="1880"/>
      <c r="Y21" s="3047"/>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47"/>
      <c r="Q22" s="1879" t="str">
        <f>B22</f>
        <v>楼层</v>
      </c>
      <c r="R22" s="745" t="s">
        <v>25</v>
      </c>
      <c r="S22" s="746">
        <f>F22</f>
        <v>100</v>
      </c>
      <c r="T22" s="745" t="s">
        <v>25</v>
      </c>
      <c r="U22" s="746">
        <f>H22</f>
        <v>100</v>
      </c>
      <c r="V22" s="745" t="s">
        <v>25</v>
      </c>
      <c r="W22" s="746">
        <f>J22</f>
        <v>100</v>
      </c>
      <c r="X22" s="1880"/>
      <c r="Y22" s="3047"/>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47"/>
      <c r="Q23" s="1879">
        <f>B23</f>
        <v>111</v>
      </c>
      <c r="R23" s="745" t="s">
        <v>25</v>
      </c>
      <c r="S23" s="746">
        <f>F23</f>
        <v>100</v>
      </c>
      <c r="T23" s="745" t="s">
        <v>25</v>
      </c>
      <c r="U23" s="746">
        <f>H23</f>
        <v>100</v>
      </c>
      <c r="V23" s="745" t="s">
        <v>25</v>
      </c>
      <c r="W23" s="746">
        <f>J23</f>
        <v>100</v>
      </c>
      <c r="X23" s="1880"/>
      <c r="Y23" s="3047"/>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47"/>
      <c r="Q24" s="1879">
        <f t="shared" ref="Q24:Q36" si="11">B24</f>
        <v>111</v>
      </c>
      <c r="R24" s="745" t="s">
        <v>25</v>
      </c>
      <c r="S24" s="746">
        <f>F24</f>
        <v>100</v>
      </c>
      <c r="T24" s="745" t="s">
        <v>25</v>
      </c>
      <c r="U24" s="746">
        <f>H24</f>
        <v>100</v>
      </c>
      <c r="V24" s="745" t="s">
        <v>25</v>
      </c>
      <c r="W24" s="746">
        <f>J24</f>
        <v>100</v>
      </c>
      <c r="X24" s="1880"/>
      <c r="Y24" s="3047"/>
      <c r="Z24" s="1882">
        <f>Q24</f>
        <v>111</v>
      </c>
      <c r="AA24" s="1883">
        <f t="shared" si="3"/>
        <v>1</v>
      </c>
      <c r="AB24" s="1883">
        <f t="shared" si="4"/>
        <v>1</v>
      </c>
      <c r="AC24" s="1883">
        <f t="shared" si="5"/>
        <v>1</v>
      </c>
    </row>
    <row r="25" spans="1:29" s="34" customFormat="1" ht="15.6"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47"/>
      <c r="Q25" s="1867">
        <f t="shared" si="11"/>
        <v>111</v>
      </c>
      <c r="R25" s="741" t="s">
        <v>25</v>
      </c>
      <c r="S25" s="742">
        <f>F25</f>
        <v>100</v>
      </c>
      <c r="T25" s="741" t="s">
        <v>25</v>
      </c>
      <c r="U25" s="742">
        <f>H25</f>
        <v>100</v>
      </c>
      <c r="V25" s="741" t="s">
        <v>25</v>
      </c>
      <c r="W25" s="742">
        <f>J25</f>
        <v>100</v>
      </c>
      <c r="X25" s="743"/>
      <c r="Y25" s="3047"/>
      <c r="Z25" s="23">
        <f>Q25</f>
        <v>111</v>
      </c>
      <c r="AA25" s="1883">
        <f>D25/F25</f>
        <v>1</v>
      </c>
      <c r="AB25" s="1883">
        <f>D25/H25</f>
        <v>1</v>
      </c>
      <c r="AC25" s="1883">
        <f>D25/J25</f>
        <v>1</v>
      </c>
    </row>
    <row r="26" spans="1:29" ht="30">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4"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51"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51"/>
      <c r="Q27" s="747" t="str">
        <f t="shared" si="11"/>
        <v>项目停车位配比</v>
      </c>
      <c r="R27" s="748" t="s">
        <v>25</v>
      </c>
      <c r="S27" s="749">
        <f t="shared" si="12"/>
        <v>100</v>
      </c>
      <c r="T27" s="748" t="s">
        <v>25</v>
      </c>
      <c r="U27" s="749">
        <f t="shared" si="13"/>
        <v>100</v>
      </c>
      <c r="V27" s="748" t="s">
        <v>25</v>
      </c>
      <c r="W27" s="749">
        <f t="shared" si="14"/>
        <v>100</v>
      </c>
      <c r="X27" s="750"/>
      <c r="Y27" s="3051"/>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51"/>
      <c r="Q28" s="1879" t="str">
        <f t="shared" si="11"/>
        <v>公共部分装修</v>
      </c>
      <c r="R28" s="745" t="s">
        <v>25</v>
      </c>
      <c r="S28" s="746">
        <f t="shared" si="12"/>
        <v>100</v>
      </c>
      <c r="T28" s="745" t="s">
        <v>25</v>
      </c>
      <c r="U28" s="746">
        <f t="shared" si="13"/>
        <v>100</v>
      </c>
      <c r="V28" s="745" t="s">
        <v>25</v>
      </c>
      <c r="W28" s="746">
        <f t="shared" si="14"/>
        <v>100</v>
      </c>
      <c r="X28" s="1880"/>
      <c r="Y28" s="3051"/>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51"/>
      <c r="Q29" s="1879" t="str">
        <f t="shared" si="11"/>
        <v>成新率</v>
      </c>
      <c r="R29" s="745" t="s">
        <v>25</v>
      </c>
      <c r="S29" s="746" t="e">
        <f t="shared" si="12"/>
        <v>#N/A</v>
      </c>
      <c r="T29" s="745" t="s">
        <v>25</v>
      </c>
      <c r="U29" s="746" t="e">
        <f t="shared" si="13"/>
        <v>#N/A</v>
      </c>
      <c r="V29" s="745" t="s">
        <v>25</v>
      </c>
      <c r="W29" s="746" t="e">
        <f t="shared" si="14"/>
        <v>#N/A</v>
      </c>
      <c r="X29" s="1880"/>
      <c r="Y29" s="3051"/>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51"/>
      <c r="Q30" s="1879" t="str">
        <f t="shared" si="11"/>
        <v>物业等级</v>
      </c>
      <c r="R30" s="745" t="s">
        <v>25</v>
      </c>
      <c r="S30" s="746">
        <f t="shared" si="12"/>
        <v>100</v>
      </c>
      <c r="T30" s="745" t="s">
        <v>25</v>
      </c>
      <c r="U30" s="746">
        <f t="shared" si="13"/>
        <v>100</v>
      </c>
      <c r="V30" s="745" t="s">
        <v>25</v>
      </c>
      <c r="W30" s="746">
        <f t="shared" si="14"/>
        <v>100</v>
      </c>
      <c r="X30" s="1880"/>
      <c r="Y30" s="3051"/>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51"/>
      <c r="Q31" s="1867" t="str">
        <f t="shared" si="11"/>
        <v>停车位面积</v>
      </c>
      <c r="R31" s="741" t="s">
        <v>25</v>
      </c>
      <c r="S31" s="742" t="e">
        <f t="shared" si="12"/>
        <v>#N/A</v>
      </c>
      <c r="T31" s="741" t="s">
        <v>25</v>
      </c>
      <c r="U31" s="742" t="e">
        <f t="shared" si="13"/>
        <v>#N/A</v>
      </c>
      <c r="V31" s="741" t="s">
        <v>25</v>
      </c>
      <c r="W31" s="742" t="e">
        <f t="shared" si="14"/>
        <v>#N/A</v>
      </c>
      <c r="X31" s="743"/>
      <c r="Y31" s="3051"/>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51" t="s">
        <v>2360</v>
      </c>
      <c r="Q32" s="1879" t="str">
        <f t="shared" si="11"/>
        <v>车位类型</v>
      </c>
      <c r="R32" s="745" t="s">
        <v>25</v>
      </c>
      <c r="S32" s="746">
        <f t="shared" si="12"/>
        <v>100</v>
      </c>
      <c r="T32" s="745" t="s">
        <v>25</v>
      </c>
      <c r="U32" s="746">
        <f t="shared" si="13"/>
        <v>100</v>
      </c>
      <c r="V32" s="745" t="s">
        <v>25</v>
      </c>
      <c r="W32" s="746">
        <f t="shared" si="14"/>
        <v>100</v>
      </c>
      <c r="X32" s="1880"/>
      <c r="Y32" s="3051"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51"/>
      <c r="Q33" s="1879" t="str">
        <f t="shared" si="11"/>
        <v>是否直接入户</v>
      </c>
      <c r="R33" s="745" t="s">
        <v>25</v>
      </c>
      <c r="S33" s="746">
        <f t="shared" si="12"/>
        <v>100</v>
      </c>
      <c r="T33" s="745" t="s">
        <v>25</v>
      </c>
      <c r="U33" s="746">
        <f t="shared" si="13"/>
        <v>100</v>
      </c>
      <c r="V33" s="745" t="s">
        <v>25</v>
      </c>
      <c r="W33" s="746">
        <f t="shared" si="14"/>
        <v>100</v>
      </c>
      <c r="X33" s="1880"/>
      <c r="Y33" s="3051"/>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51"/>
      <c r="Q34" s="1879">
        <f t="shared" si="11"/>
        <v>111</v>
      </c>
      <c r="R34" s="745" t="s">
        <v>25</v>
      </c>
      <c r="S34" s="746">
        <f t="shared" si="12"/>
        <v>100</v>
      </c>
      <c r="T34" s="745" t="s">
        <v>25</v>
      </c>
      <c r="U34" s="746">
        <f t="shared" si="13"/>
        <v>100</v>
      </c>
      <c r="V34" s="745" t="s">
        <v>25</v>
      </c>
      <c r="W34" s="746">
        <f t="shared" si="14"/>
        <v>100</v>
      </c>
      <c r="X34" s="1880"/>
      <c r="Y34" s="3051"/>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51"/>
      <c r="Q35" s="747">
        <f t="shared" si="11"/>
        <v>111</v>
      </c>
      <c r="R35" s="748" t="s">
        <v>25</v>
      </c>
      <c r="S35" s="749">
        <f t="shared" si="12"/>
        <v>100</v>
      </c>
      <c r="T35" s="748" t="s">
        <v>25</v>
      </c>
      <c r="U35" s="749">
        <f t="shared" si="13"/>
        <v>100</v>
      </c>
      <c r="V35" s="748" t="s">
        <v>25</v>
      </c>
      <c r="W35" s="749">
        <f t="shared" si="14"/>
        <v>100</v>
      </c>
      <c r="X35" s="750"/>
      <c r="Y35" s="3051"/>
      <c r="Z35" s="751">
        <f t="shared" si="15"/>
        <v>111</v>
      </c>
      <c r="AA35" s="1883">
        <f t="shared" si="3"/>
        <v>1</v>
      </c>
      <c r="AB35" s="1883">
        <f t="shared" si="4"/>
        <v>1</v>
      </c>
      <c r="AC35" s="1883">
        <f t="shared" si="5"/>
        <v>1</v>
      </c>
    </row>
    <row r="36" spans="1:29" ht="15.6"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51"/>
      <c r="Q36" s="1879">
        <f t="shared" si="11"/>
        <v>111</v>
      </c>
      <c r="R36" s="745" t="s">
        <v>25</v>
      </c>
      <c r="S36" s="746">
        <f t="shared" si="12"/>
        <v>100</v>
      </c>
      <c r="T36" s="745" t="s">
        <v>25</v>
      </c>
      <c r="U36" s="746">
        <f t="shared" si="13"/>
        <v>100</v>
      </c>
      <c r="V36" s="745" t="s">
        <v>25</v>
      </c>
      <c r="W36" s="746">
        <f t="shared" si="14"/>
        <v>100</v>
      </c>
      <c r="X36" s="1880"/>
      <c r="Y36" s="3051"/>
      <c r="Z36" s="1882">
        <f t="shared" si="15"/>
        <v>111</v>
      </c>
      <c r="AA36" s="1883">
        <f t="shared" si="3"/>
        <v>1</v>
      </c>
      <c r="AB36" s="1883">
        <f t="shared" si="4"/>
        <v>1</v>
      </c>
      <c r="AC36" s="1883">
        <f t="shared" si="5"/>
        <v>1</v>
      </c>
    </row>
    <row r="37" spans="1:29" ht="14.4">
      <c r="A37" s="456" t="s">
        <v>2508</v>
      </c>
      <c r="B37" s="1076" t="s">
        <v>2509</v>
      </c>
      <c r="C37" s="1484" t="s">
        <v>1</v>
      </c>
      <c r="D37" s="1485"/>
      <c r="E37" s="1486"/>
      <c r="F37" s="1487"/>
      <c r="G37" s="1488"/>
      <c r="H37" s="1489"/>
      <c r="I37" s="1486"/>
      <c r="J37" s="1489"/>
      <c r="K37" s="599"/>
      <c r="L37" s="1507"/>
      <c r="M37" s="730"/>
      <c r="N37" s="421"/>
      <c r="O37" s="730"/>
      <c r="P37" s="3040" t="str">
        <f>A37</f>
        <v>成交单价</v>
      </c>
      <c r="Q37" s="3040"/>
      <c r="R37" s="3041">
        <f>E37</f>
        <v>0</v>
      </c>
      <c r="S37" s="3041"/>
      <c r="T37" s="3041">
        <f>G37</f>
        <v>0</v>
      </c>
      <c r="U37" s="3041"/>
      <c r="V37" s="3041">
        <f>I37</f>
        <v>0</v>
      </c>
      <c r="W37" s="3041"/>
      <c r="X37" s="730"/>
      <c r="Y37" s="752"/>
      <c r="Z37" s="730"/>
      <c r="AA37" s="730"/>
      <c r="AB37" s="730"/>
      <c r="AC37" s="730"/>
    </row>
    <row r="38" spans="1:29" ht="1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40" t="str">
        <f>A38</f>
        <v>比较价值</v>
      </c>
      <c r="Q38" s="3040"/>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0"/>
      <c r="Y38" s="730"/>
      <c r="Z38" s="730"/>
      <c r="AA38" s="730"/>
      <c r="AB38" s="730"/>
      <c r="AC38" s="730"/>
    </row>
    <row r="39" spans="1:29" ht="15" thickBot="1">
      <c r="A39" s="469" t="s">
        <v>2511</v>
      </c>
      <c r="B39" s="470"/>
      <c r="C39" s="1494" t="e">
        <f>R39</f>
        <v>#DIV/0!</v>
      </c>
      <c r="D39" s="1494"/>
      <c r="E39" s="1494"/>
      <c r="F39" s="1494"/>
      <c r="G39" s="1494"/>
      <c r="H39" s="1494"/>
      <c r="I39" s="1494"/>
      <c r="J39" s="1494"/>
      <c r="K39" s="601"/>
      <c r="L39" s="1507"/>
      <c r="M39" s="730"/>
      <c r="N39" s="730"/>
      <c r="O39" s="730"/>
      <c r="P39" s="3113" t="str">
        <f>A39</f>
        <v>估价对象XX用房的比较价值（楼面单价，元/平方米）</v>
      </c>
      <c r="Q39" s="3039"/>
      <c r="R39" s="3043" t="e">
        <f>IF(E1="售价",ROUND(AVERAGE(R38:V38),0),ROUND(AVERAGE(R38:V38),1))</f>
        <v>#DIV/0!</v>
      </c>
      <c r="S39" s="3043"/>
      <c r="T39" s="3043"/>
      <c r="U39" s="3043"/>
      <c r="V39" s="3043"/>
      <c r="W39" s="3043"/>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2.2"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4.4">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c r="A49" s="486"/>
      <c r="B49" s="487"/>
      <c r="C49" s="1659">
        <v>100</v>
      </c>
      <c r="D49" s="489"/>
      <c r="E49" s="489"/>
      <c r="F49" s="489"/>
      <c r="G49" s="489"/>
      <c r="H49" s="489"/>
      <c r="I49" s="489"/>
      <c r="J49" s="489"/>
      <c r="K49" s="489"/>
      <c r="L49" s="489"/>
      <c r="M49" s="490"/>
      <c r="N49" s="489"/>
      <c r="O49" s="491"/>
      <c r="P49" s="481"/>
    </row>
    <row r="50" spans="1:17" s="34" customFormat="1" ht="15" thickBot="1">
      <c r="A50" s="492" t="s">
        <v>2380</v>
      </c>
      <c r="B50" s="493"/>
      <c r="C50" s="494"/>
      <c r="D50" s="495"/>
      <c r="E50" s="495"/>
      <c r="F50" s="495"/>
      <c r="G50" s="495"/>
      <c r="H50" s="495"/>
      <c r="I50" s="495"/>
      <c r="J50" s="495"/>
      <c r="K50" s="495"/>
      <c r="L50" s="495"/>
      <c r="M50" s="496"/>
      <c r="N50" s="495"/>
      <c r="O50" s="497"/>
      <c r="P50" s="481"/>
      <c r="Q50" s="481"/>
    </row>
    <row r="51" spans="1:17" s="34" customFormat="1" ht="14.4">
      <c r="A51" s="498" t="s">
        <v>2344</v>
      </c>
      <c r="B51" s="487"/>
      <c r="C51" s="499" t="s">
        <v>2345</v>
      </c>
      <c r="D51" s="500"/>
      <c r="E51" s="500"/>
      <c r="F51" s="500"/>
      <c r="G51" s="500"/>
      <c r="H51" s="500"/>
      <c r="I51" s="500"/>
      <c r="J51" s="500"/>
      <c r="K51" s="500"/>
      <c r="L51" s="501"/>
      <c r="M51" s="502"/>
      <c r="N51" s="46"/>
      <c r="O51" s="46"/>
      <c r="P51" s="503"/>
      <c r="Q51" s="481"/>
    </row>
    <row r="52" spans="1:17" s="34" customFormat="1" ht="14.4" thickBot="1">
      <c r="A52" s="498"/>
      <c r="B52" s="487"/>
      <c r="C52" s="619">
        <v>100</v>
      </c>
      <c r="D52" s="489"/>
      <c r="E52" s="489"/>
      <c r="F52" s="489"/>
      <c r="G52" s="489"/>
      <c r="H52" s="489"/>
      <c r="I52" s="489"/>
      <c r="J52" s="489"/>
      <c r="K52" s="489"/>
      <c r="L52" s="489"/>
      <c r="M52" s="491"/>
      <c r="N52" s="46"/>
      <c r="O52" s="46"/>
      <c r="P52" s="481"/>
      <c r="Q52" s="481"/>
    </row>
    <row r="53" spans="1:17" ht="14.4">
      <c r="A53" s="504" t="s">
        <v>2383</v>
      </c>
      <c r="B53" s="505" t="s">
        <v>2348</v>
      </c>
      <c r="C53" s="506">
        <f>C9</f>
        <v>0</v>
      </c>
      <c r="D53" s="507"/>
      <c r="E53" s="507"/>
      <c r="F53" s="507"/>
      <c r="G53" s="507"/>
      <c r="H53" s="507"/>
      <c r="I53" s="507"/>
      <c r="J53" s="507"/>
      <c r="K53" s="508"/>
      <c r="L53" s="509"/>
      <c r="M53" s="510"/>
      <c r="N53" s="511"/>
      <c r="O53" s="511"/>
      <c r="P53" s="22"/>
      <c r="Q53" s="481"/>
    </row>
    <row r="54" spans="1:17" ht="14.4" thickBot="1">
      <c r="A54" s="512"/>
      <c r="B54" s="513"/>
      <c r="C54" s="514">
        <v>100</v>
      </c>
      <c r="D54" s="514"/>
      <c r="E54" s="514"/>
      <c r="F54" s="514"/>
      <c r="G54" s="514"/>
      <c r="H54" s="514"/>
      <c r="I54" s="514"/>
      <c r="J54" s="514"/>
      <c r="K54" s="514"/>
      <c r="L54" s="514"/>
      <c r="M54" s="515"/>
      <c r="N54" s="516"/>
      <c r="O54" s="516"/>
      <c r="P54" s="22"/>
      <c r="Q54" s="481"/>
    </row>
    <row r="55" spans="1:17" ht="29.4"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4.4"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4.4" thickTop="1">
      <c r="A57" s="512"/>
      <c r="B57" s="639">
        <f>B11</f>
        <v>111</v>
      </c>
      <c r="C57" s="528"/>
      <c r="D57" s="528"/>
      <c r="E57" s="528"/>
      <c r="F57" s="528"/>
      <c r="G57" s="528"/>
      <c r="H57" s="528"/>
      <c r="I57" s="528"/>
      <c r="J57" s="528"/>
      <c r="K57" s="529"/>
      <c r="L57" s="530"/>
      <c r="M57" s="531"/>
      <c r="N57" s="511"/>
      <c r="O57" s="511"/>
      <c r="P57" s="22"/>
      <c r="Q57" s="481"/>
    </row>
    <row r="58" spans="1:17" ht="14.4" thickBot="1">
      <c r="A58" s="512"/>
      <c r="B58" s="513"/>
      <c r="C58" s="540"/>
      <c r="D58" s="514"/>
      <c r="E58" s="514"/>
      <c r="F58" s="514"/>
      <c r="G58" s="514"/>
      <c r="H58" s="514"/>
      <c r="I58" s="514"/>
      <c r="J58" s="514"/>
      <c r="K58" s="514"/>
      <c r="L58" s="514"/>
      <c r="M58" s="515"/>
      <c r="N58" s="516"/>
      <c r="O58" s="516"/>
      <c r="P58" s="22"/>
      <c r="Q58" s="481"/>
    </row>
    <row r="59" spans="1:17" s="448" customFormat="1" ht="14.4" thickTop="1">
      <c r="A59" s="532"/>
      <c r="B59" s="517">
        <f>B12</f>
        <v>111</v>
      </c>
      <c r="C59" s="528"/>
      <c r="D59" s="528"/>
      <c r="E59" s="528"/>
      <c r="F59" s="528"/>
      <c r="G59" s="533"/>
      <c r="H59" s="534"/>
      <c r="I59" s="534"/>
      <c r="J59" s="534"/>
      <c r="K59" s="534"/>
      <c r="L59" s="535"/>
      <c r="M59" s="536"/>
      <c r="N59" s="537"/>
      <c r="O59" s="537"/>
      <c r="P59" s="538"/>
      <c r="Q59" s="539"/>
    </row>
    <row r="60" spans="1:17" s="448" customFormat="1" ht="14.4" thickBot="1">
      <c r="A60" s="532"/>
      <c r="B60" s="522"/>
      <c r="C60" s="540"/>
      <c r="D60" s="514"/>
      <c r="E60" s="514"/>
      <c r="F60" s="514"/>
      <c r="G60" s="514"/>
      <c r="H60" s="514"/>
      <c r="I60" s="514"/>
      <c r="J60" s="514"/>
      <c r="K60" s="514"/>
      <c r="L60" s="514"/>
      <c r="M60" s="515"/>
      <c r="N60" s="516"/>
      <c r="O60" s="516"/>
      <c r="P60" s="538"/>
      <c r="Q60" s="539"/>
    </row>
    <row r="61" spans="1:17" s="448" customFormat="1" ht="14.4" thickTop="1">
      <c r="A61" s="532"/>
      <c r="B61" s="517">
        <f>B13</f>
        <v>111</v>
      </c>
      <c r="C61" s="533"/>
      <c r="D61" s="533"/>
      <c r="E61" s="533"/>
      <c r="F61" s="533"/>
      <c r="G61" s="533"/>
      <c r="H61" s="534"/>
      <c r="I61" s="534"/>
      <c r="J61" s="534"/>
      <c r="K61" s="534"/>
      <c r="L61" s="535"/>
      <c r="M61" s="536"/>
      <c r="N61" s="537"/>
      <c r="O61" s="537"/>
      <c r="P61" s="447"/>
      <c r="Q61" s="541"/>
    </row>
    <row r="62" spans="1:17" s="448" customFormat="1" ht="14.4"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4.4"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4.4"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4.4"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4.4"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 thickTop="1">
      <c r="A71" s="512"/>
      <c r="B71" s="517" t="s">
        <v>2517</v>
      </c>
      <c r="C71" s="533"/>
      <c r="D71" s="533"/>
      <c r="E71" s="533"/>
      <c r="F71" s="533"/>
      <c r="G71" s="533"/>
      <c r="H71" s="563"/>
      <c r="I71" s="563"/>
      <c r="J71" s="563"/>
      <c r="K71" s="564"/>
      <c r="L71" s="565"/>
      <c r="M71" s="566"/>
      <c r="N71" s="511"/>
      <c r="O71" s="511"/>
      <c r="P71" s="22"/>
      <c r="Q71" s="481"/>
    </row>
    <row r="72" spans="1:17" ht="14.4"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4.4" thickTop="1">
      <c r="A73" s="559"/>
      <c r="B73" s="517">
        <f>B23</f>
        <v>111</v>
      </c>
      <c r="C73" s="528"/>
      <c r="D73" s="528"/>
      <c r="E73" s="528"/>
      <c r="F73" s="528"/>
      <c r="G73" s="533"/>
      <c r="H73" s="533"/>
      <c r="I73" s="533"/>
      <c r="J73" s="533"/>
      <c r="K73" s="533"/>
      <c r="L73" s="560"/>
      <c r="M73" s="561"/>
      <c r="N73" s="46"/>
      <c r="O73" s="46"/>
      <c r="P73" s="22"/>
      <c r="Q73" s="481"/>
    </row>
    <row r="74" spans="1:17" s="34" customFormat="1" ht="14.4" thickBot="1">
      <c r="A74" s="559"/>
      <c r="B74" s="522"/>
      <c r="C74" s="540"/>
      <c r="D74" s="514"/>
      <c r="E74" s="514"/>
      <c r="F74" s="514"/>
      <c r="G74" s="514"/>
      <c r="H74" s="514"/>
      <c r="I74" s="514"/>
      <c r="J74" s="514"/>
      <c r="K74" s="514"/>
      <c r="L74" s="514"/>
      <c r="M74" s="515"/>
      <c r="N74" s="516"/>
      <c r="O74" s="516"/>
      <c r="P74" s="22"/>
      <c r="Q74" s="481"/>
    </row>
    <row r="75" spans="1:17" s="34" customFormat="1" ht="14.4" thickTop="1">
      <c r="A75" s="559"/>
      <c r="B75" s="517">
        <f>B24</f>
        <v>111</v>
      </c>
      <c r="C75" s="528"/>
      <c r="D75" s="528"/>
      <c r="E75" s="528"/>
      <c r="F75" s="528"/>
      <c r="G75" s="533"/>
      <c r="H75" s="533"/>
      <c r="I75" s="533"/>
      <c r="J75" s="533"/>
      <c r="K75" s="533"/>
      <c r="L75" s="533"/>
      <c r="M75" s="561"/>
      <c r="N75" s="46"/>
      <c r="O75" s="46"/>
      <c r="P75" s="22"/>
      <c r="Q75" s="481"/>
    </row>
    <row r="76" spans="1:17" s="34" customFormat="1" ht="14.4" thickBot="1">
      <c r="A76" s="559"/>
      <c r="B76" s="522"/>
      <c r="C76" s="540"/>
      <c r="D76" s="514"/>
      <c r="E76" s="514"/>
      <c r="F76" s="514"/>
      <c r="G76" s="514"/>
      <c r="H76" s="514"/>
      <c r="I76" s="514"/>
      <c r="J76" s="514"/>
      <c r="K76" s="514"/>
      <c r="L76" s="514"/>
      <c r="M76" s="515"/>
      <c r="N76" s="516"/>
      <c r="O76" s="516"/>
      <c r="P76" s="22"/>
      <c r="Q76" s="481"/>
    </row>
    <row r="77" spans="1:17" s="448" customFormat="1" ht="14.4" thickTop="1">
      <c r="A77" s="532"/>
      <c r="B77" s="517">
        <f>B25</f>
        <v>111</v>
      </c>
      <c r="C77" s="533"/>
      <c r="D77" s="533"/>
      <c r="E77" s="533"/>
      <c r="F77" s="533"/>
      <c r="G77" s="533"/>
      <c r="H77" s="534"/>
      <c r="I77" s="534"/>
      <c r="J77" s="534"/>
      <c r="K77" s="534"/>
      <c r="L77" s="535"/>
      <c r="M77" s="536"/>
      <c r="N77" s="537"/>
      <c r="O77" s="537"/>
      <c r="P77" s="538"/>
      <c r="Q77" s="539"/>
    </row>
    <row r="78" spans="1:17" s="448" customFormat="1" ht="14.4" thickBot="1">
      <c r="A78" s="532"/>
      <c r="B78" s="522"/>
      <c r="C78" s="540"/>
      <c r="D78" s="540"/>
      <c r="E78" s="540"/>
      <c r="F78" s="540"/>
      <c r="G78" s="514"/>
      <c r="H78" s="514"/>
      <c r="I78" s="514"/>
      <c r="J78" s="514"/>
      <c r="K78" s="514"/>
      <c r="L78" s="514"/>
      <c r="M78" s="515"/>
      <c r="N78" s="537"/>
      <c r="O78" s="537"/>
      <c r="P78" s="538"/>
      <c r="Q78" s="539"/>
    </row>
    <row r="79" spans="1:17" ht="29.4" thickTop="1">
      <c r="A79" s="504" t="s">
        <v>2358</v>
      </c>
      <c r="B79" s="505" t="s">
        <v>2518</v>
      </c>
      <c r="C79" s="506">
        <f>C26</f>
        <v>0</v>
      </c>
      <c r="D79" s="507"/>
      <c r="E79" s="507"/>
      <c r="F79" s="507"/>
      <c r="G79" s="507"/>
      <c r="H79" s="507"/>
      <c r="I79" s="507"/>
      <c r="J79" s="507"/>
      <c r="K79" s="508"/>
      <c r="L79" s="509"/>
      <c r="M79" s="510"/>
      <c r="N79" s="511"/>
      <c r="O79" s="511"/>
      <c r="P79" s="22"/>
      <c r="Q79" s="481"/>
    </row>
    <row r="80" spans="1:17" ht="14.4"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 thickTop="1">
      <c r="A81" s="512"/>
      <c r="B81" s="517" t="s">
        <v>2519</v>
      </c>
      <c r="C81" s="640"/>
      <c r="D81" s="640"/>
      <c r="E81" s="640"/>
      <c r="F81" s="640"/>
      <c r="G81" s="640"/>
      <c r="H81" s="640"/>
      <c r="I81" s="640"/>
      <c r="J81" s="640"/>
      <c r="K81" s="641"/>
      <c r="L81" s="642"/>
      <c r="M81" s="643"/>
      <c r="N81" s="46"/>
      <c r="O81" s="46"/>
      <c r="P81" s="22"/>
      <c r="Q81" s="481"/>
    </row>
    <row r="82" spans="1:17" s="448" customFormat="1" ht="14.4"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4.4"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4.4"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4.4"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4.4"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4.4"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4.4"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4.4" thickTop="1">
      <c r="A97" s="579"/>
      <c r="B97" s="616">
        <f>B34</f>
        <v>111</v>
      </c>
      <c r="C97" s="528"/>
      <c r="D97" s="528"/>
      <c r="E97" s="528"/>
      <c r="F97" s="528"/>
      <c r="G97" s="533"/>
      <c r="H97" s="534"/>
      <c r="I97" s="534"/>
      <c r="J97" s="534"/>
      <c r="K97" s="534"/>
      <c r="L97" s="535"/>
      <c r="M97" s="536"/>
      <c r="N97" s="516"/>
      <c r="O97" s="516"/>
      <c r="P97" s="617"/>
      <c r="Q97" s="618"/>
    </row>
    <row r="98" spans="1:17" ht="14.4" thickBot="1">
      <c r="A98" s="512"/>
      <c r="B98" s="522"/>
      <c r="C98" s="540"/>
      <c r="D98" s="514"/>
      <c r="E98" s="514"/>
      <c r="F98" s="514"/>
      <c r="G98" s="540"/>
      <c r="H98" s="542"/>
      <c r="I98" s="542"/>
      <c r="J98" s="542"/>
      <c r="K98" s="542"/>
      <c r="L98" s="542"/>
      <c r="M98" s="543"/>
      <c r="N98" s="516"/>
      <c r="O98" s="516"/>
      <c r="P98" s="22"/>
      <c r="Q98" s="481"/>
    </row>
    <row r="99" spans="1:17" s="448" customFormat="1" ht="14.4" thickTop="1">
      <c r="A99" s="573"/>
      <c r="B99" s="517">
        <f>B35</f>
        <v>111</v>
      </c>
      <c r="C99" s="528"/>
      <c r="D99" s="528"/>
      <c r="E99" s="528"/>
      <c r="F99" s="528"/>
      <c r="G99" s="533"/>
      <c r="H99" s="534"/>
      <c r="I99" s="534"/>
      <c r="J99" s="534"/>
      <c r="K99" s="534"/>
      <c r="L99" s="535"/>
      <c r="M99" s="536"/>
      <c r="N99" s="537"/>
      <c r="O99" s="537"/>
      <c r="P99" s="538"/>
      <c r="Q99" s="539"/>
    </row>
    <row r="100" spans="1:17" s="448" customFormat="1" ht="14.4" thickBot="1">
      <c r="A100" s="532"/>
      <c r="B100" s="513"/>
      <c r="C100" s="540"/>
      <c r="D100" s="514"/>
      <c r="E100" s="514"/>
      <c r="F100" s="514"/>
      <c r="G100" s="540"/>
      <c r="H100" s="542"/>
      <c r="I100" s="542"/>
      <c r="J100" s="542"/>
      <c r="K100" s="542"/>
      <c r="L100" s="542"/>
      <c r="M100" s="543"/>
      <c r="N100" s="537"/>
      <c r="O100" s="537"/>
      <c r="P100" s="538"/>
      <c r="Q100" s="539"/>
    </row>
    <row r="101" spans="1:17" ht="14.4" thickTop="1">
      <c r="A101" s="579"/>
      <c r="B101" s="517">
        <f>B36</f>
        <v>111</v>
      </c>
      <c r="C101" s="533"/>
      <c r="D101" s="533"/>
      <c r="E101" s="533"/>
      <c r="F101" s="533"/>
      <c r="G101" s="533"/>
      <c r="H101" s="534"/>
      <c r="I101" s="534"/>
      <c r="J101" s="534"/>
      <c r="K101" s="534"/>
      <c r="L101" s="535"/>
      <c r="M101" s="536"/>
      <c r="N101" s="511"/>
      <c r="O101" s="511"/>
      <c r="P101" s="22"/>
      <c r="Q101" s="481"/>
    </row>
    <row r="102" spans="1:17" ht="14.4" thickBot="1">
      <c r="A102" s="512"/>
      <c r="B102" s="522"/>
      <c r="C102" s="540"/>
      <c r="D102" s="540"/>
      <c r="E102" s="540"/>
      <c r="F102" s="540"/>
      <c r="G102" s="540"/>
      <c r="H102" s="542"/>
      <c r="I102" s="542"/>
      <c r="J102" s="542"/>
      <c r="K102" s="542"/>
      <c r="L102" s="542"/>
      <c r="M102" s="543"/>
      <c r="N102" s="516"/>
      <c r="O102" s="516"/>
      <c r="P102" s="22"/>
      <c r="Q102" s="481"/>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64" t="s">
        <v>2332</v>
      </c>
      <c r="AC4" s="3063" t="s">
        <v>2333</v>
      </c>
    </row>
    <row r="5" spans="1:29">
      <c r="A5" s="379"/>
      <c r="B5" s="380"/>
      <c r="C5" s="3074" t="s">
        <v>2336</v>
      </c>
      <c r="D5" s="3075"/>
      <c r="E5" s="3123" t="s">
        <v>2337</v>
      </c>
      <c r="F5" s="3077"/>
      <c r="G5" s="3074" t="s">
        <v>2338</v>
      </c>
      <c r="H5" s="3075"/>
      <c r="I5" s="3074" t="s">
        <v>2339</v>
      </c>
      <c r="J5" s="3075"/>
      <c r="K5" s="590"/>
      <c r="L5" s="1225"/>
      <c r="M5" s="1226"/>
      <c r="N5" s="1226"/>
      <c r="O5" s="1226"/>
      <c r="P5" s="3121"/>
      <c r="Q5" s="3045"/>
      <c r="R5" s="3059"/>
      <c r="S5" s="3060"/>
      <c r="T5" s="3059"/>
      <c r="U5" s="3060"/>
      <c r="V5" s="3056"/>
      <c r="W5" s="3056"/>
      <c r="X5" s="1880"/>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122"/>
      <c r="Q6" s="3073"/>
      <c r="R6" s="3059"/>
      <c r="S6" s="3060"/>
      <c r="T6" s="3061"/>
      <c r="U6" s="3062"/>
      <c r="V6" s="3056"/>
      <c r="W6" s="3056"/>
      <c r="X6" s="1880"/>
      <c r="Y6" s="3061"/>
      <c r="Z6" s="3062"/>
      <c r="AA6" s="3065"/>
      <c r="AB6" s="3065"/>
      <c r="AC6" s="3065"/>
    </row>
    <row r="7" spans="1:29" s="34" customFormat="1" ht="1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55" t="s">
        <v>2343</v>
      </c>
      <c r="Q7" s="3053"/>
      <c r="R7" s="741" t="s">
        <v>25</v>
      </c>
      <c r="S7" s="742">
        <f t="shared" ref="S7:S14" si="0">F7</f>
        <v>0</v>
      </c>
      <c r="T7" s="741" t="s">
        <v>25</v>
      </c>
      <c r="U7" s="742">
        <f t="shared" ref="U7:U14" si="1">H7</f>
        <v>0</v>
      </c>
      <c r="V7" s="741" t="s">
        <v>25</v>
      </c>
      <c r="W7" s="742">
        <f t="shared" ref="W7:W14" si="2">J7</f>
        <v>0</v>
      </c>
      <c r="X7" s="743"/>
      <c r="Y7" s="3055" t="s">
        <v>2343</v>
      </c>
      <c r="Z7" s="3054"/>
      <c r="AA7" s="744" t="e">
        <f>D7/F7</f>
        <v>#DIV/0!</v>
      </c>
      <c r="AB7" s="744" t="e">
        <f>D7/H7</f>
        <v>#DIV/0!</v>
      </c>
      <c r="AC7" s="744" t="e">
        <f>D7/J7</f>
        <v>#DIV/0!</v>
      </c>
    </row>
    <row r="8" spans="1:29" s="34" customFormat="1" ht="1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55" t="s">
        <v>2346</v>
      </c>
      <c r="Q8" s="3054"/>
      <c r="R8" s="741" t="s">
        <v>25</v>
      </c>
      <c r="S8" s="742">
        <f t="shared" si="0"/>
        <v>0</v>
      </c>
      <c r="T8" s="741" t="s">
        <v>25</v>
      </c>
      <c r="U8" s="742">
        <f t="shared" si="1"/>
        <v>0</v>
      </c>
      <c r="V8" s="741" t="s">
        <v>25</v>
      </c>
      <c r="W8" s="742">
        <f t="shared" si="2"/>
        <v>0</v>
      </c>
      <c r="X8" s="743"/>
      <c r="Y8" s="3055" t="s">
        <v>2346</v>
      </c>
      <c r="Z8" s="3054"/>
      <c r="AA8" s="744" t="e">
        <f t="shared" ref="AA8:AA34" si="3">D8/F8</f>
        <v>#DIV/0!</v>
      </c>
      <c r="AB8" s="744" t="e">
        <f t="shared" ref="AB8:AB34" si="4">D8/H8</f>
        <v>#DIV/0!</v>
      </c>
      <c r="AC8" s="744" t="e">
        <f t="shared" ref="AC8:AC34" si="5">D8/J8</f>
        <v>#DIV/0!</v>
      </c>
    </row>
    <row r="9" spans="1:29" s="34" customFormat="1" ht="14.4">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40" t="s">
        <v>2349</v>
      </c>
      <c r="Q9" s="1867" t="str">
        <f t="shared" ref="Q9:Q14" si="6">B9</f>
        <v>用途</v>
      </c>
      <c r="R9" s="741" t="s">
        <v>25</v>
      </c>
      <c r="S9" s="742">
        <f t="shared" si="0"/>
        <v>100</v>
      </c>
      <c r="T9" s="741" t="s">
        <v>25</v>
      </c>
      <c r="U9" s="742">
        <f t="shared" si="1"/>
        <v>100</v>
      </c>
      <c r="V9" s="741" t="s">
        <v>25</v>
      </c>
      <c r="W9" s="742">
        <f t="shared" si="2"/>
        <v>100</v>
      </c>
      <c r="X9" s="743"/>
      <c r="Y9" s="2912" t="s">
        <v>2350</v>
      </c>
      <c r="Z9" s="23" t="str">
        <f t="shared" ref="Z9:Z14" si="7">Q9</f>
        <v>用途</v>
      </c>
      <c r="AA9" s="744">
        <f t="shared" si="3"/>
        <v>1</v>
      </c>
      <c r="AB9" s="744">
        <f t="shared" si="4"/>
        <v>1</v>
      </c>
      <c r="AC9" s="744">
        <f t="shared" si="5"/>
        <v>1</v>
      </c>
    </row>
    <row r="10" spans="1:29" s="403" customFormat="1" ht="28.8">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40"/>
      <c r="Q10" s="1867" t="str">
        <f t="shared" si="6"/>
        <v>土地使用年限（年）</v>
      </c>
      <c r="R10" s="741" t="s">
        <v>25</v>
      </c>
      <c r="S10" s="742">
        <f t="shared" si="0"/>
        <v>100</v>
      </c>
      <c r="T10" s="741" t="s">
        <v>25</v>
      </c>
      <c r="U10" s="742">
        <f t="shared" si="1"/>
        <v>100</v>
      </c>
      <c r="V10" s="741" t="s">
        <v>25</v>
      </c>
      <c r="W10" s="742">
        <f t="shared" si="2"/>
        <v>100</v>
      </c>
      <c r="X10" s="743"/>
      <c r="Y10" s="2912"/>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40"/>
      <c r="Q11" s="1867">
        <f t="shared" si="6"/>
        <v>111</v>
      </c>
      <c r="R11" s="741" t="s">
        <v>25</v>
      </c>
      <c r="S11" s="742">
        <f t="shared" si="0"/>
        <v>100</v>
      </c>
      <c r="T11" s="741" t="s">
        <v>25</v>
      </c>
      <c r="U11" s="742">
        <f t="shared" si="1"/>
        <v>100</v>
      </c>
      <c r="V11" s="741" t="s">
        <v>25</v>
      </c>
      <c r="W11" s="742">
        <f t="shared" si="2"/>
        <v>100</v>
      </c>
      <c r="X11" s="743"/>
      <c r="Y11" s="2912"/>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40"/>
      <c r="Q12" s="1867">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6"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40"/>
      <c r="Q13" s="1867">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10.4">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46" t="s">
        <v>2354</v>
      </c>
      <c r="Q14" s="1879" t="str">
        <f t="shared" si="6"/>
        <v>交通便捷度</v>
      </c>
      <c r="R14" s="745" t="s">
        <v>25</v>
      </c>
      <c r="S14" s="746">
        <f t="shared" si="0"/>
        <v>100</v>
      </c>
      <c r="T14" s="745" t="s">
        <v>25</v>
      </c>
      <c r="U14" s="746">
        <f t="shared" si="1"/>
        <v>100</v>
      </c>
      <c r="V14" s="745" t="s">
        <v>25</v>
      </c>
      <c r="W14" s="746">
        <f t="shared" si="2"/>
        <v>100</v>
      </c>
      <c r="X14" s="1880"/>
      <c r="Y14" s="3046"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47"/>
      <c r="Q15" s="1879"/>
      <c r="R15" s="745"/>
      <c r="S15" s="746"/>
      <c r="T15" s="745"/>
      <c r="U15" s="746"/>
      <c r="V15" s="745"/>
      <c r="W15" s="746"/>
      <c r="X15" s="1880"/>
      <c r="Y15" s="3047"/>
      <c r="Z15" s="1882"/>
      <c r="AA15" s="1883">
        <v>1</v>
      </c>
      <c r="AB15" s="1883">
        <v>1</v>
      </c>
      <c r="AC15" s="1883">
        <v>1</v>
      </c>
    </row>
    <row r="16" spans="1:29" ht="96.6">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47"/>
      <c r="Q16" s="1879" t="str">
        <f>B16</f>
        <v>公共配套设施</v>
      </c>
      <c r="R16" s="745" t="s">
        <v>25</v>
      </c>
      <c r="S16" s="746">
        <f>F16</f>
        <v>100</v>
      </c>
      <c r="T16" s="745" t="s">
        <v>25</v>
      </c>
      <c r="U16" s="746">
        <f>H16</f>
        <v>100</v>
      </c>
      <c r="V16" s="745" t="s">
        <v>25</v>
      </c>
      <c r="W16" s="746">
        <f>J16</f>
        <v>100</v>
      </c>
      <c r="X16" s="1880"/>
      <c r="Y16" s="3047"/>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47"/>
      <c r="Q17" s="1879"/>
      <c r="R17" s="745"/>
      <c r="S17" s="746"/>
      <c r="T17" s="745"/>
      <c r="U17" s="746"/>
      <c r="V17" s="745"/>
      <c r="W17" s="746"/>
      <c r="X17" s="1880"/>
      <c r="Y17" s="3047"/>
      <c r="Z17" s="1882"/>
      <c r="AA17" s="1883">
        <v>1</v>
      </c>
      <c r="AB17" s="1883">
        <v>1</v>
      </c>
      <c r="AC17" s="1883">
        <v>1</v>
      </c>
    </row>
    <row r="18" spans="1:29" ht="41.4">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47"/>
      <c r="Q18" s="1879" t="str">
        <f>B18</f>
        <v>基础设施水平</v>
      </c>
      <c r="R18" s="745" t="s">
        <v>25</v>
      </c>
      <c r="S18" s="746">
        <f>F18</f>
        <v>100</v>
      </c>
      <c r="T18" s="745" t="s">
        <v>25</v>
      </c>
      <c r="U18" s="746">
        <f>H18</f>
        <v>100</v>
      </c>
      <c r="V18" s="745" t="s">
        <v>25</v>
      </c>
      <c r="W18" s="746">
        <f>J18</f>
        <v>100</v>
      </c>
      <c r="X18" s="1880"/>
      <c r="Y18" s="3047"/>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47"/>
      <c r="Q19" s="1879"/>
      <c r="R19" s="745"/>
      <c r="S19" s="746"/>
      <c r="T19" s="745"/>
      <c r="U19" s="746"/>
      <c r="V19" s="745"/>
      <c r="W19" s="746"/>
      <c r="X19" s="1880"/>
      <c r="Y19" s="3047"/>
      <c r="Z19" s="1882"/>
      <c r="AA19" s="1883">
        <v>1</v>
      </c>
      <c r="AB19" s="1883">
        <v>1</v>
      </c>
      <c r="AC19" s="1883">
        <v>1</v>
      </c>
    </row>
    <row r="20" spans="1:29" ht="110.4">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47"/>
      <c r="Q20" s="1879" t="str">
        <f>B20</f>
        <v>自然及人文环境</v>
      </c>
      <c r="R20" s="745" t="s">
        <v>25</v>
      </c>
      <c r="S20" s="746">
        <f>F20</f>
        <v>100</v>
      </c>
      <c r="T20" s="745" t="s">
        <v>25</v>
      </c>
      <c r="U20" s="746">
        <f>H20</f>
        <v>100</v>
      </c>
      <c r="V20" s="745" t="s">
        <v>25</v>
      </c>
      <c r="W20" s="746">
        <f>J20</f>
        <v>100</v>
      </c>
      <c r="X20" s="1880"/>
      <c r="Y20" s="3047"/>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47"/>
      <c r="Q21" s="1879"/>
      <c r="R21" s="745"/>
      <c r="S21" s="746"/>
      <c r="T21" s="745"/>
      <c r="U21" s="746"/>
      <c r="V21" s="745"/>
      <c r="W21" s="746"/>
      <c r="X21" s="1880"/>
      <c r="Y21" s="3047"/>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47"/>
      <c r="Q22" s="1879" t="str">
        <f>B22</f>
        <v>楼层</v>
      </c>
      <c r="R22" s="745" t="s">
        <v>25</v>
      </c>
      <c r="S22" s="746">
        <f>F22</f>
        <v>100</v>
      </c>
      <c r="T22" s="745" t="s">
        <v>25</v>
      </c>
      <c r="U22" s="746">
        <f>H22</f>
        <v>100</v>
      </c>
      <c r="V22" s="745" t="s">
        <v>25</v>
      </c>
      <c r="W22" s="746">
        <f>J22</f>
        <v>100</v>
      </c>
      <c r="X22" s="1880"/>
      <c r="Y22" s="3047"/>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47"/>
      <c r="Q23" s="1879">
        <f>B23</f>
        <v>111</v>
      </c>
      <c r="R23" s="745" t="s">
        <v>25</v>
      </c>
      <c r="S23" s="746">
        <f>F23</f>
        <v>100</v>
      </c>
      <c r="T23" s="745" t="s">
        <v>25</v>
      </c>
      <c r="U23" s="746">
        <f>H23</f>
        <v>100</v>
      </c>
      <c r="V23" s="745" t="s">
        <v>25</v>
      </c>
      <c r="W23" s="746">
        <f>J23</f>
        <v>100</v>
      </c>
      <c r="X23" s="1880"/>
      <c r="Y23" s="3047"/>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47"/>
      <c r="Q24" s="1879">
        <f t="shared" ref="Q24:Q34" si="11">B24</f>
        <v>111</v>
      </c>
      <c r="R24" s="745" t="s">
        <v>25</v>
      </c>
      <c r="S24" s="746">
        <f>F24</f>
        <v>100</v>
      </c>
      <c r="T24" s="745" t="s">
        <v>25</v>
      </c>
      <c r="U24" s="746">
        <f>H24</f>
        <v>100</v>
      </c>
      <c r="V24" s="745" t="s">
        <v>25</v>
      </c>
      <c r="W24" s="746">
        <f>J24</f>
        <v>100</v>
      </c>
      <c r="X24" s="1880"/>
      <c r="Y24" s="3047"/>
      <c r="Z24" s="1882">
        <f>Q24</f>
        <v>111</v>
      </c>
      <c r="AA24" s="1883">
        <f t="shared" si="3"/>
        <v>1</v>
      </c>
      <c r="AB24" s="1883">
        <f t="shared" si="4"/>
        <v>1</v>
      </c>
      <c r="AC24" s="1883">
        <f t="shared" si="5"/>
        <v>1</v>
      </c>
    </row>
    <row r="25" spans="1:29" s="34" customFormat="1" ht="15.6"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47"/>
      <c r="Q25" s="1867">
        <f t="shared" si="11"/>
        <v>111</v>
      </c>
      <c r="R25" s="741" t="s">
        <v>25</v>
      </c>
      <c r="S25" s="742">
        <f>F25</f>
        <v>100</v>
      </c>
      <c r="T25" s="741" t="s">
        <v>25</v>
      </c>
      <c r="U25" s="742">
        <f>H25</f>
        <v>100</v>
      </c>
      <c r="V25" s="741" t="s">
        <v>25</v>
      </c>
      <c r="W25" s="742">
        <f>J25</f>
        <v>100</v>
      </c>
      <c r="X25" s="743"/>
      <c r="Y25" s="3047"/>
      <c r="Z25" s="23">
        <f>Q25</f>
        <v>111</v>
      </c>
      <c r="AA25" s="1883">
        <f>D25/F25</f>
        <v>1</v>
      </c>
      <c r="AB25" s="1883">
        <f>D25/H25</f>
        <v>1</v>
      </c>
      <c r="AC25" s="1883">
        <f>D25/J25</f>
        <v>1</v>
      </c>
    </row>
    <row r="26" spans="1:29" ht="30">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4"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51"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51"/>
      <c r="Q27" s="747" t="str">
        <f t="shared" si="11"/>
        <v>成新率</v>
      </c>
      <c r="R27" s="748" t="s">
        <v>25</v>
      </c>
      <c r="S27" s="749" t="e">
        <f t="shared" si="12"/>
        <v>#N/A</v>
      </c>
      <c r="T27" s="748" t="s">
        <v>25</v>
      </c>
      <c r="U27" s="749" t="e">
        <f t="shared" si="13"/>
        <v>#N/A</v>
      </c>
      <c r="V27" s="748" t="s">
        <v>25</v>
      </c>
      <c r="W27" s="749" t="e">
        <f t="shared" si="14"/>
        <v>#N/A</v>
      </c>
      <c r="X27" s="750"/>
      <c r="Y27" s="3051"/>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51"/>
      <c r="Q28" s="1879" t="str">
        <f t="shared" si="11"/>
        <v>物业等级</v>
      </c>
      <c r="R28" s="745" t="s">
        <v>25</v>
      </c>
      <c r="S28" s="746">
        <f t="shared" si="12"/>
        <v>100</v>
      </c>
      <c r="T28" s="745" t="s">
        <v>25</v>
      </c>
      <c r="U28" s="746">
        <f t="shared" si="13"/>
        <v>100</v>
      </c>
      <c r="V28" s="745" t="s">
        <v>25</v>
      </c>
      <c r="W28" s="746">
        <f t="shared" si="14"/>
        <v>100</v>
      </c>
      <c r="X28" s="1880"/>
      <c r="Y28" s="3051"/>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51"/>
      <c r="Q29" s="1879" t="str">
        <f t="shared" si="11"/>
        <v>有无电梯</v>
      </c>
      <c r="R29" s="745" t="s">
        <v>25</v>
      </c>
      <c r="S29" s="746">
        <f t="shared" si="12"/>
        <v>100</v>
      </c>
      <c r="T29" s="745" t="s">
        <v>25</v>
      </c>
      <c r="U29" s="746">
        <f t="shared" si="13"/>
        <v>100</v>
      </c>
      <c r="V29" s="745" t="s">
        <v>25</v>
      </c>
      <c r="W29" s="746">
        <f t="shared" si="14"/>
        <v>100</v>
      </c>
      <c r="X29" s="1880"/>
      <c r="Y29" s="3051"/>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51"/>
      <c r="Q30" s="1879" t="str">
        <f t="shared" si="11"/>
        <v>建筑面积</v>
      </c>
      <c r="R30" s="745" t="s">
        <v>25</v>
      </c>
      <c r="S30" s="746" t="e">
        <f t="shared" si="12"/>
        <v>#N/A</v>
      </c>
      <c r="T30" s="745" t="s">
        <v>25</v>
      </c>
      <c r="U30" s="746" t="e">
        <f t="shared" si="13"/>
        <v>#N/A</v>
      </c>
      <c r="V30" s="745" t="s">
        <v>25</v>
      </c>
      <c r="W30" s="746" t="e">
        <f t="shared" si="14"/>
        <v>#N/A</v>
      </c>
      <c r="X30" s="1880"/>
      <c r="Y30" s="3051"/>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51"/>
      <c r="Q31" s="1867" t="str">
        <f t="shared" si="11"/>
        <v>是否封闭</v>
      </c>
      <c r="R31" s="741" t="s">
        <v>25</v>
      </c>
      <c r="S31" s="742">
        <f t="shared" si="12"/>
        <v>100</v>
      </c>
      <c r="T31" s="741" t="s">
        <v>25</v>
      </c>
      <c r="U31" s="742">
        <f t="shared" si="13"/>
        <v>100</v>
      </c>
      <c r="V31" s="741" t="s">
        <v>25</v>
      </c>
      <c r="W31" s="742">
        <f t="shared" si="14"/>
        <v>100</v>
      </c>
      <c r="X31" s="743"/>
      <c r="Y31" s="3051"/>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51" t="s">
        <v>2360</v>
      </c>
      <c r="Q32" s="1879">
        <f t="shared" si="11"/>
        <v>111</v>
      </c>
      <c r="R32" s="745" t="s">
        <v>25</v>
      </c>
      <c r="S32" s="746">
        <f t="shared" si="12"/>
        <v>100</v>
      </c>
      <c r="T32" s="745" t="s">
        <v>25</v>
      </c>
      <c r="U32" s="746">
        <f t="shared" si="13"/>
        <v>100</v>
      </c>
      <c r="V32" s="745" t="s">
        <v>25</v>
      </c>
      <c r="W32" s="746">
        <f t="shared" si="14"/>
        <v>100</v>
      </c>
      <c r="X32" s="1880"/>
      <c r="Y32" s="3051"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51"/>
      <c r="Q33" s="1879">
        <f t="shared" si="11"/>
        <v>111</v>
      </c>
      <c r="R33" s="745" t="s">
        <v>25</v>
      </c>
      <c r="S33" s="746">
        <f t="shared" si="12"/>
        <v>100</v>
      </c>
      <c r="T33" s="745" t="s">
        <v>25</v>
      </c>
      <c r="U33" s="746">
        <f t="shared" si="13"/>
        <v>100</v>
      </c>
      <c r="V33" s="745" t="s">
        <v>25</v>
      </c>
      <c r="W33" s="746">
        <f t="shared" si="14"/>
        <v>100</v>
      </c>
      <c r="X33" s="1880"/>
      <c r="Y33" s="3051"/>
      <c r="Z33" s="1882">
        <f t="shared" si="15"/>
        <v>111</v>
      </c>
      <c r="AA33" s="1883">
        <f t="shared" si="3"/>
        <v>1</v>
      </c>
      <c r="AB33" s="1883">
        <f t="shared" si="4"/>
        <v>1</v>
      </c>
      <c r="AC33" s="1883">
        <f t="shared" si="5"/>
        <v>1</v>
      </c>
    </row>
    <row r="34" spans="1:29" ht="15.6"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51"/>
      <c r="Q34" s="1879">
        <f t="shared" si="11"/>
        <v>111</v>
      </c>
      <c r="R34" s="745" t="s">
        <v>25</v>
      </c>
      <c r="S34" s="746">
        <f t="shared" si="12"/>
        <v>100</v>
      </c>
      <c r="T34" s="745" t="s">
        <v>25</v>
      </c>
      <c r="U34" s="746">
        <f t="shared" si="13"/>
        <v>100</v>
      </c>
      <c r="V34" s="745" t="s">
        <v>25</v>
      </c>
      <c r="W34" s="746">
        <f t="shared" si="14"/>
        <v>100</v>
      </c>
      <c r="X34" s="1880"/>
      <c r="Y34" s="3051"/>
      <c r="Z34" s="1882">
        <f t="shared" si="15"/>
        <v>111</v>
      </c>
      <c r="AA34" s="1883">
        <f t="shared" si="3"/>
        <v>1</v>
      </c>
      <c r="AB34" s="1883">
        <f t="shared" si="4"/>
        <v>1</v>
      </c>
      <c r="AC34" s="1883">
        <f t="shared" si="5"/>
        <v>1</v>
      </c>
    </row>
    <row r="35" spans="1:29" ht="14.4">
      <c r="A35" s="456" t="s">
        <v>2372</v>
      </c>
      <c r="B35" s="457"/>
      <c r="C35" s="1484" t="s">
        <v>1</v>
      </c>
      <c r="D35" s="1485"/>
      <c r="E35" s="1486"/>
      <c r="F35" s="1487"/>
      <c r="G35" s="1488"/>
      <c r="H35" s="1489"/>
      <c r="I35" s="1486"/>
      <c r="J35" s="1489"/>
      <c r="K35" s="754"/>
      <c r="L35" s="1238"/>
      <c r="M35" s="1239"/>
      <c r="N35" s="1226"/>
      <c r="O35" s="1239"/>
      <c r="P35" s="3040" t="str">
        <f>A35</f>
        <v>成交单价（元/平方米）</v>
      </c>
      <c r="Q35" s="3040"/>
      <c r="R35" s="3041">
        <f>E35</f>
        <v>0</v>
      </c>
      <c r="S35" s="3041"/>
      <c r="T35" s="3041">
        <f>G35</f>
        <v>0</v>
      </c>
      <c r="U35" s="3041"/>
      <c r="V35" s="3041">
        <f>I35</f>
        <v>0</v>
      </c>
      <c r="W35" s="3041"/>
      <c r="X35" s="730"/>
      <c r="Y35" s="752"/>
      <c r="Z35" s="730"/>
      <c r="AA35" s="730"/>
      <c r="AB35" s="730"/>
      <c r="AC35" s="730"/>
    </row>
    <row r="36" spans="1:29" ht="1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40" t="str">
        <f>A36</f>
        <v>比较价值（元/平方米）</v>
      </c>
      <c r="Q36" s="3040"/>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0"/>
      <c r="Y36" s="730"/>
      <c r="Z36" s="730"/>
      <c r="AA36" s="730"/>
      <c r="AB36" s="730"/>
      <c r="AC36" s="730"/>
    </row>
    <row r="37" spans="1:29" ht="15" thickBot="1">
      <c r="A37" s="469" t="s">
        <v>2478</v>
      </c>
      <c r="B37" s="470"/>
      <c r="C37" s="1494" t="e">
        <f>R37</f>
        <v>#DIV/0!</v>
      </c>
      <c r="D37" s="1494"/>
      <c r="E37" s="1494"/>
      <c r="F37" s="1494"/>
      <c r="G37" s="1494"/>
      <c r="H37" s="1494"/>
      <c r="I37" s="1494"/>
      <c r="J37" s="1494"/>
      <c r="K37" s="756"/>
      <c r="L37" s="1238"/>
      <c r="M37" s="1239"/>
      <c r="N37" s="1239"/>
      <c r="O37" s="1239"/>
      <c r="P37" s="3113" t="str">
        <f>A37</f>
        <v>估价对象XX用房的比较价值（楼面单价，元/平方米）</v>
      </c>
      <c r="Q37" s="3039"/>
      <c r="R37" s="3043" t="e">
        <f>IF(E1="售价",ROUND(AVERAGE(R36:V36),0),ROUND(AVERAGE(R36:V36),1))</f>
        <v>#DIV/0!</v>
      </c>
      <c r="S37" s="3043"/>
      <c r="T37" s="3043"/>
      <c r="U37" s="3043"/>
      <c r="V37" s="3043"/>
      <c r="W37" s="3043"/>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2.2" thickBot="1">
      <c r="A45" s="734" t="s">
        <v>2460</v>
      </c>
      <c r="B45" s="730"/>
      <c r="C45" s="735"/>
      <c r="D45" s="735"/>
      <c r="E45" s="735"/>
      <c r="F45" s="736"/>
      <c r="G45" s="736"/>
      <c r="H45" s="735"/>
      <c r="I45" s="735"/>
      <c r="J45" s="735"/>
      <c r="K45" s="737"/>
      <c r="L45" s="738"/>
      <c r="M45" s="735"/>
      <c r="N45" s="735"/>
      <c r="O45" s="735"/>
      <c r="P45" s="480"/>
      <c r="Q45" s="481"/>
    </row>
    <row r="46" spans="1:29" s="485" customFormat="1" ht="14.4">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c r="A47" s="486"/>
      <c r="B47" s="487"/>
      <c r="C47" s="1659">
        <v>100</v>
      </c>
      <c r="D47" s="489"/>
      <c r="E47" s="489"/>
      <c r="F47" s="489"/>
      <c r="G47" s="489"/>
      <c r="H47" s="489"/>
      <c r="I47" s="489"/>
      <c r="J47" s="489"/>
      <c r="K47" s="489"/>
      <c r="L47" s="489"/>
      <c r="M47" s="490"/>
      <c r="N47" s="489"/>
      <c r="O47" s="491"/>
      <c r="P47" s="481"/>
    </row>
    <row r="48" spans="1:29" s="34" customFormat="1" ht="15" thickBot="1">
      <c r="A48" s="492" t="s">
        <v>2380</v>
      </c>
      <c r="B48" s="493"/>
      <c r="C48" s="494"/>
      <c r="D48" s="495"/>
      <c r="E48" s="495"/>
      <c r="F48" s="495"/>
      <c r="G48" s="495"/>
      <c r="H48" s="495"/>
      <c r="I48" s="495"/>
      <c r="J48" s="495"/>
      <c r="K48" s="495"/>
      <c r="L48" s="495"/>
      <c r="M48" s="496"/>
      <c r="N48" s="495"/>
      <c r="O48" s="497"/>
      <c r="P48" s="481"/>
      <c r="Q48" s="481"/>
    </row>
    <row r="49" spans="1:17" s="34" customFormat="1" ht="14.4">
      <c r="A49" s="498" t="s">
        <v>2344</v>
      </c>
      <c r="B49" s="487"/>
      <c r="C49" s="499" t="s">
        <v>2345</v>
      </c>
      <c r="D49" s="500"/>
      <c r="E49" s="500"/>
      <c r="F49" s="500"/>
      <c r="G49" s="500"/>
      <c r="H49" s="500"/>
      <c r="I49" s="500"/>
      <c r="J49" s="500"/>
      <c r="K49" s="500"/>
      <c r="L49" s="501"/>
      <c r="M49" s="502"/>
      <c r="N49" s="1248"/>
      <c r="O49" s="1248"/>
      <c r="P49" s="503"/>
      <c r="Q49" s="481"/>
    </row>
    <row r="50" spans="1:17" s="34" customFormat="1" ht="14.4" thickBot="1">
      <c r="A50" s="498"/>
      <c r="B50" s="487"/>
      <c r="C50" s="619">
        <v>100</v>
      </c>
      <c r="D50" s="489"/>
      <c r="E50" s="489"/>
      <c r="F50" s="489"/>
      <c r="G50" s="489"/>
      <c r="H50" s="489"/>
      <c r="I50" s="489"/>
      <c r="J50" s="489"/>
      <c r="K50" s="489"/>
      <c r="L50" s="489"/>
      <c r="M50" s="491"/>
      <c r="N50" s="1248"/>
      <c r="O50" s="1248"/>
      <c r="P50" s="481"/>
      <c r="Q50" s="481"/>
    </row>
    <row r="51" spans="1:17" ht="14.4">
      <c r="A51" s="504" t="s">
        <v>2383</v>
      </c>
      <c r="B51" s="505" t="s">
        <v>2348</v>
      </c>
      <c r="C51" s="506">
        <f>C9</f>
        <v>0</v>
      </c>
      <c r="D51" s="507"/>
      <c r="E51" s="507"/>
      <c r="F51" s="507"/>
      <c r="G51" s="507"/>
      <c r="H51" s="507"/>
      <c r="I51" s="507"/>
      <c r="J51" s="507"/>
      <c r="K51" s="508"/>
      <c r="L51" s="509"/>
      <c r="M51" s="510"/>
      <c r="N51" s="1249"/>
      <c r="O51" s="1249"/>
      <c r="P51" s="22"/>
      <c r="Q51" s="481"/>
    </row>
    <row r="52" spans="1:17" ht="14.4" thickBot="1">
      <c r="A52" s="512"/>
      <c r="B52" s="513"/>
      <c r="C52" s="514">
        <v>100</v>
      </c>
      <c r="D52" s="514"/>
      <c r="E52" s="514"/>
      <c r="F52" s="514"/>
      <c r="G52" s="514"/>
      <c r="H52" s="514"/>
      <c r="I52" s="514"/>
      <c r="J52" s="514"/>
      <c r="K52" s="514"/>
      <c r="L52" s="514"/>
      <c r="M52" s="515"/>
      <c r="N52" s="1250"/>
      <c r="O52" s="1250"/>
      <c r="P52" s="22"/>
      <c r="Q52" s="481"/>
    </row>
    <row r="53" spans="1:17" ht="29.4"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4.4"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4.4" thickTop="1">
      <c r="A55" s="512"/>
      <c r="B55" s="639">
        <f>B11</f>
        <v>111</v>
      </c>
      <c r="C55" s="528"/>
      <c r="D55" s="528"/>
      <c r="E55" s="528"/>
      <c r="F55" s="528"/>
      <c r="G55" s="528"/>
      <c r="H55" s="528"/>
      <c r="I55" s="528"/>
      <c r="J55" s="528"/>
      <c r="K55" s="529"/>
      <c r="L55" s="530"/>
      <c r="M55" s="531"/>
      <c r="N55" s="1249"/>
      <c r="O55" s="1249"/>
      <c r="P55" s="22"/>
      <c r="Q55" s="481"/>
    </row>
    <row r="56" spans="1:17" ht="14.4" thickBot="1">
      <c r="A56" s="512"/>
      <c r="B56" s="513"/>
      <c r="C56" s="540"/>
      <c r="D56" s="514"/>
      <c r="E56" s="514"/>
      <c r="F56" s="514"/>
      <c r="G56" s="514"/>
      <c r="H56" s="514"/>
      <c r="I56" s="514"/>
      <c r="J56" s="514"/>
      <c r="K56" s="514"/>
      <c r="L56" s="514"/>
      <c r="M56" s="515"/>
      <c r="N56" s="1250"/>
      <c r="O56" s="1250"/>
      <c r="P56" s="22"/>
      <c r="Q56" s="481"/>
    </row>
    <row r="57" spans="1:17" s="448" customFormat="1" ht="14.4" thickTop="1">
      <c r="A57" s="532"/>
      <c r="B57" s="517">
        <f>B12</f>
        <v>111</v>
      </c>
      <c r="C57" s="528"/>
      <c r="D57" s="528"/>
      <c r="E57" s="528"/>
      <c r="F57" s="528"/>
      <c r="G57" s="533"/>
      <c r="H57" s="534"/>
      <c r="I57" s="534"/>
      <c r="J57" s="534"/>
      <c r="K57" s="534"/>
      <c r="L57" s="535"/>
      <c r="M57" s="536"/>
      <c r="N57" s="1251"/>
      <c r="O57" s="1251"/>
      <c r="P57" s="538"/>
      <c r="Q57" s="539"/>
    </row>
    <row r="58" spans="1:17" s="448" customFormat="1" ht="14.4" thickBot="1">
      <c r="A58" s="532"/>
      <c r="B58" s="522"/>
      <c r="C58" s="540"/>
      <c r="D58" s="514"/>
      <c r="E58" s="514"/>
      <c r="F58" s="514"/>
      <c r="G58" s="514"/>
      <c r="H58" s="514"/>
      <c r="I58" s="514"/>
      <c r="J58" s="514"/>
      <c r="K58" s="514"/>
      <c r="L58" s="514"/>
      <c r="M58" s="515"/>
      <c r="N58" s="1250"/>
      <c r="O58" s="1250"/>
      <c r="P58" s="538"/>
      <c r="Q58" s="539"/>
    </row>
    <row r="59" spans="1:17" s="448" customFormat="1" ht="14.4" thickTop="1">
      <c r="A59" s="532"/>
      <c r="B59" s="517">
        <f>B13</f>
        <v>111</v>
      </c>
      <c r="C59" s="528"/>
      <c r="D59" s="528"/>
      <c r="E59" s="528"/>
      <c r="F59" s="528"/>
      <c r="G59" s="533"/>
      <c r="H59" s="534"/>
      <c r="I59" s="534"/>
      <c r="J59" s="534"/>
      <c r="K59" s="534"/>
      <c r="L59" s="535"/>
      <c r="M59" s="536"/>
      <c r="N59" s="1251"/>
      <c r="O59" s="1251"/>
      <c r="P59" s="447"/>
      <c r="Q59" s="541"/>
    </row>
    <row r="60" spans="1:17" s="448" customFormat="1" ht="14.4"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4.4"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4.4"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4.4"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4.4"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 thickTop="1">
      <c r="A69" s="512"/>
      <c r="B69" s="517" t="s">
        <v>2517</v>
      </c>
      <c r="C69" s="533"/>
      <c r="D69" s="533"/>
      <c r="E69" s="533"/>
      <c r="F69" s="533"/>
      <c r="G69" s="533"/>
      <c r="H69" s="563"/>
      <c r="I69" s="563"/>
      <c r="J69" s="563"/>
      <c r="K69" s="564"/>
      <c r="L69" s="565"/>
      <c r="M69" s="566"/>
      <c r="N69" s="1249"/>
      <c r="O69" s="1249"/>
      <c r="P69" s="22"/>
      <c r="Q69" s="481"/>
    </row>
    <row r="70" spans="1:17" ht="14.4"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4.4" thickTop="1">
      <c r="A71" s="559"/>
      <c r="B71" s="517">
        <f>B23</f>
        <v>111</v>
      </c>
      <c r="C71" s="528"/>
      <c r="D71" s="528"/>
      <c r="E71" s="528"/>
      <c r="F71" s="528"/>
      <c r="G71" s="533"/>
      <c r="H71" s="533"/>
      <c r="I71" s="533"/>
      <c r="J71" s="533"/>
      <c r="K71" s="533"/>
      <c r="L71" s="560"/>
      <c r="M71" s="561"/>
      <c r="N71" s="1248"/>
      <c r="O71" s="1248"/>
      <c r="P71" s="22"/>
      <c r="Q71" s="481"/>
    </row>
    <row r="72" spans="1:17" s="34" customFormat="1" ht="14.4" thickBot="1">
      <c r="A72" s="559"/>
      <c r="B72" s="522"/>
      <c r="C72" s="540"/>
      <c r="D72" s="514"/>
      <c r="E72" s="514"/>
      <c r="F72" s="514"/>
      <c r="G72" s="514"/>
      <c r="H72" s="514"/>
      <c r="I72" s="514"/>
      <c r="J72" s="514"/>
      <c r="K72" s="514"/>
      <c r="L72" s="514"/>
      <c r="M72" s="515"/>
      <c r="N72" s="1250"/>
      <c r="O72" s="1250"/>
      <c r="P72" s="22"/>
      <c r="Q72" s="481"/>
    </row>
    <row r="73" spans="1:17" s="34" customFormat="1" ht="14.4" thickTop="1">
      <c r="A73" s="559"/>
      <c r="B73" s="517">
        <f>B24</f>
        <v>111</v>
      </c>
      <c r="C73" s="528"/>
      <c r="D73" s="528"/>
      <c r="E73" s="528"/>
      <c r="F73" s="528"/>
      <c r="G73" s="533"/>
      <c r="H73" s="533"/>
      <c r="I73" s="533"/>
      <c r="J73" s="533"/>
      <c r="K73" s="533"/>
      <c r="L73" s="533"/>
      <c r="M73" s="561"/>
      <c r="N73" s="1248"/>
      <c r="O73" s="1248"/>
      <c r="P73" s="22"/>
      <c r="Q73" s="481"/>
    </row>
    <row r="74" spans="1:17" s="34" customFormat="1" ht="14.4" thickBot="1">
      <c r="A74" s="559"/>
      <c r="B74" s="522"/>
      <c r="C74" s="540"/>
      <c r="D74" s="514"/>
      <c r="E74" s="514"/>
      <c r="F74" s="514"/>
      <c r="G74" s="514"/>
      <c r="H74" s="514"/>
      <c r="I74" s="514"/>
      <c r="J74" s="514"/>
      <c r="K74" s="514"/>
      <c r="L74" s="514"/>
      <c r="M74" s="515"/>
      <c r="N74" s="1250"/>
      <c r="O74" s="1250"/>
      <c r="P74" s="22"/>
      <c r="Q74" s="481"/>
    </row>
    <row r="75" spans="1:17" s="448" customFormat="1" ht="14.4" thickTop="1">
      <c r="A75" s="532"/>
      <c r="B75" s="517">
        <f>B25</f>
        <v>111</v>
      </c>
      <c r="C75" s="528"/>
      <c r="D75" s="528"/>
      <c r="E75" s="528"/>
      <c r="F75" s="528"/>
      <c r="G75" s="533"/>
      <c r="H75" s="534"/>
      <c r="I75" s="534"/>
      <c r="J75" s="534"/>
      <c r="K75" s="534"/>
      <c r="L75" s="535"/>
      <c r="M75" s="536"/>
      <c r="N75" s="1251"/>
      <c r="O75" s="1251"/>
      <c r="P75" s="538"/>
      <c r="Q75" s="539"/>
    </row>
    <row r="76" spans="1:17" s="448" customFormat="1" ht="14.4"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4.4"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4.4"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4.4"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4.4"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4.4"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4.4" thickBot="1">
      <c r="A90" s="532"/>
      <c r="B90" s="522"/>
      <c r="C90" s="540"/>
      <c r="D90" s="514"/>
      <c r="E90" s="514"/>
      <c r="F90" s="514"/>
      <c r="G90" s="514"/>
      <c r="H90" s="514"/>
      <c r="I90" s="514"/>
      <c r="J90" s="514"/>
      <c r="K90" s="514"/>
      <c r="L90" s="514"/>
      <c r="M90" s="515"/>
      <c r="N90" s="1251"/>
      <c r="O90" s="1251"/>
      <c r="P90" s="538"/>
      <c r="Q90" s="539"/>
    </row>
    <row r="91" spans="1:17" ht="14.4" thickTop="1">
      <c r="A91" s="579"/>
      <c r="B91" s="517">
        <f>B32</f>
        <v>111</v>
      </c>
      <c r="C91" s="528"/>
      <c r="D91" s="528"/>
      <c r="E91" s="528"/>
      <c r="F91" s="528"/>
      <c r="G91" s="533"/>
      <c r="H91" s="534"/>
      <c r="I91" s="534"/>
      <c r="J91" s="534"/>
      <c r="K91" s="534"/>
      <c r="L91" s="535"/>
      <c r="M91" s="536"/>
      <c r="N91" s="1249"/>
      <c r="O91" s="1249"/>
      <c r="P91" s="22"/>
      <c r="Q91" s="481"/>
    </row>
    <row r="92" spans="1:17" ht="14.4" thickBot="1">
      <c r="A92" s="512"/>
      <c r="B92" s="522"/>
      <c r="C92" s="540"/>
      <c r="D92" s="514"/>
      <c r="E92" s="514"/>
      <c r="F92" s="514"/>
      <c r="G92" s="540"/>
      <c r="H92" s="542"/>
      <c r="I92" s="542"/>
      <c r="J92" s="542"/>
      <c r="K92" s="542"/>
      <c r="L92" s="542"/>
      <c r="M92" s="543"/>
      <c r="N92" s="1250"/>
      <c r="O92" s="1250"/>
      <c r="P92" s="22"/>
      <c r="Q92" s="481"/>
    </row>
    <row r="93" spans="1:17" ht="14.4" thickTop="1">
      <c r="A93" s="579"/>
      <c r="B93" s="517">
        <f>B33</f>
        <v>111</v>
      </c>
      <c r="C93" s="528"/>
      <c r="D93" s="528"/>
      <c r="E93" s="528"/>
      <c r="F93" s="528"/>
      <c r="G93" s="533"/>
      <c r="H93" s="534"/>
      <c r="I93" s="534"/>
      <c r="J93" s="534"/>
      <c r="K93" s="534"/>
      <c r="L93" s="535"/>
      <c r="M93" s="536"/>
      <c r="N93" s="1249"/>
      <c r="O93" s="1249"/>
      <c r="P93" s="22"/>
      <c r="Q93" s="481"/>
    </row>
    <row r="94" spans="1:17" ht="14.4" thickBot="1">
      <c r="A94" s="512"/>
      <c r="B94" s="522"/>
      <c r="C94" s="540"/>
      <c r="D94" s="514"/>
      <c r="E94" s="514"/>
      <c r="F94" s="514"/>
      <c r="G94" s="540"/>
      <c r="H94" s="542"/>
      <c r="I94" s="542"/>
      <c r="J94" s="542"/>
      <c r="K94" s="542"/>
      <c r="L94" s="542"/>
      <c r="M94" s="543"/>
      <c r="N94" s="1250"/>
      <c r="O94" s="1250"/>
      <c r="P94" s="22"/>
      <c r="Q94" s="481"/>
    </row>
    <row r="95" spans="1:17" ht="14.4" thickTop="1">
      <c r="A95" s="579"/>
      <c r="B95" s="616">
        <f>B34</f>
        <v>111</v>
      </c>
      <c r="C95" s="528"/>
      <c r="D95" s="528"/>
      <c r="E95" s="528"/>
      <c r="F95" s="528"/>
      <c r="G95" s="533"/>
      <c r="H95" s="534"/>
      <c r="I95" s="534"/>
      <c r="J95" s="534"/>
      <c r="K95" s="534"/>
      <c r="L95" s="535"/>
      <c r="M95" s="536"/>
      <c r="N95" s="1250"/>
      <c r="O95" s="1250"/>
      <c r="P95" s="617"/>
      <c r="Q95" s="618"/>
    </row>
    <row r="96" spans="1:17" ht="14.4" thickBot="1">
      <c r="A96" s="512"/>
      <c r="B96" s="522"/>
      <c r="C96" s="540"/>
      <c r="D96" s="540"/>
      <c r="E96" s="540"/>
      <c r="F96" s="540"/>
      <c r="G96" s="540"/>
      <c r="H96" s="542"/>
      <c r="I96" s="542"/>
      <c r="J96" s="542"/>
      <c r="K96" s="542"/>
      <c r="L96" s="542"/>
      <c r="M96" s="543"/>
      <c r="N96" s="1250"/>
      <c r="O96" s="1250"/>
      <c r="P96" s="22"/>
      <c r="Q96" s="481"/>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1261</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北京丰联广场大厦有限公司：</v>
      </c>
      <c r="B3" s="1895"/>
      <c r="C3" s="1895"/>
      <c r="D3" s="1895"/>
      <c r="E3" s="1895"/>
      <c r="F3" s="1895"/>
      <c r="G3" s="1895"/>
    </row>
    <row r="4" spans="1:7" ht="17.399999999999999">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7.399999999999999">
      <c r="A5" s="1898" t="s">
        <v>1262</v>
      </c>
    </row>
    <row r="6" spans="1:7" s="1899" customFormat="1" ht="52.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估价对象为北京市房地产，为北京丰联广场大厦有限公司所有。根据《不动产权证书》[]，估价对象建筑面积为1763.41平方米，（分摊）出让国有建设用地使用权面积为202.08平方米。估价对象用途为办公。</v>
      </c>
      <c r="B6" s="1897"/>
      <c r="C6" s="1897"/>
      <c r="D6" s="1897"/>
      <c r="E6" s="1897"/>
      <c r="F6" s="1897"/>
      <c r="G6" s="1897"/>
    </row>
    <row r="7" spans="1:7" ht="17.399999999999999">
      <c r="A7" s="1898" t="s">
        <v>1263</v>
      </c>
    </row>
    <row r="8" spans="1:7" ht="34.799999999999997">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7.399999999999999">
      <c r="A9" s="1895" t="s">
        <v>1264</v>
      </c>
      <c r="B9" s="1902"/>
    </row>
    <row r="10" spans="1:7" ht="17.399999999999999">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7.399999999999999">
      <c r="A11" s="1895" t="s">
        <v>1265</v>
      </c>
    </row>
    <row r="12" spans="1:7" ht="69.599999999999994">
      <c r="A12" s="1897" t="s">
        <v>1266</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1260</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1259</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4.4">
      <c r="A4" s="376" t="s">
        <v>2329</v>
      </c>
      <c r="B4" s="377"/>
      <c r="C4" s="3066" t="s">
        <v>2330</v>
      </c>
      <c r="D4" s="3067"/>
      <c r="E4" s="3068" t="s">
        <v>2331</v>
      </c>
      <c r="F4" s="3069"/>
      <c r="G4" s="3066" t="s">
        <v>2332</v>
      </c>
      <c r="H4" s="3067"/>
      <c r="I4" s="3066" t="s">
        <v>2333</v>
      </c>
      <c r="J4" s="3067"/>
      <c r="K4" s="590"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64" t="s">
        <v>2332</v>
      </c>
      <c r="AC4" s="3063" t="s">
        <v>2333</v>
      </c>
    </row>
    <row r="5" spans="1:30">
      <c r="A5" s="379"/>
      <c r="B5" s="380"/>
      <c r="C5" s="3074" t="s">
        <v>2336</v>
      </c>
      <c r="D5" s="3075"/>
      <c r="E5" s="3123" t="s">
        <v>2337</v>
      </c>
      <c r="F5" s="3077"/>
      <c r="G5" s="3074" t="s">
        <v>2338</v>
      </c>
      <c r="H5" s="3075"/>
      <c r="I5" s="3074" t="s">
        <v>2339</v>
      </c>
      <c r="J5" s="3075"/>
      <c r="K5" s="590"/>
      <c r="L5" s="1225"/>
      <c r="M5" s="1226"/>
      <c r="N5" s="1226"/>
      <c r="O5" s="1226"/>
      <c r="P5" s="3121"/>
      <c r="Q5" s="3045"/>
      <c r="R5" s="3059"/>
      <c r="S5" s="3060"/>
      <c r="T5" s="3059"/>
      <c r="U5" s="3060"/>
      <c r="V5" s="3056"/>
      <c r="W5" s="3056"/>
      <c r="X5" s="1880"/>
      <c r="Y5" s="3059"/>
      <c r="Z5" s="3060"/>
      <c r="AA5" s="3064"/>
      <c r="AB5" s="3064"/>
      <c r="AC5" s="3064"/>
    </row>
    <row r="6" spans="1:30" ht="15" thickBot="1">
      <c r="A6" s="381"/>
      <c r="B6" s="382"/>
      <c r="C6" s="3078" t="s">
        <v>2340</v>
      </c>
      <c r="D6" s="3079"/>
      <c r="E6" s="3080" t="s">
        <v>2340</v>
      </c>
      <c r="F6" s="3081"/>
      <c r="G6" s="3078" t="s">
        <v>2340</v>
      </c>
      <c r="H6" s="3079"/>
      <c r="I6" s="3078" t="s">
        <v>2340</v>
      </c>
      <c r="J6" s="3079"/>
      <c r="K6" s="590" t="s">
        <v>2341</v>
      </c>
      <c r="L6" s="1225"/>
      <c r="M6" s="1226"/>
      <c r="N6" s="1226"/>
      <c r="O6" s="1226"/>
      <c r="P6" s="3122"/>
      <c r="Q6" s="3073"/>
      <c r="R6" s="3059"/>
      <c r="S6" s="3060"/>
      <c r="T6" s="3061"/>
      <c r="U6" s="3062"/>
      <c r="V6" s="3056"/>
      <c r="W6" s="3056"/>
      <c r="X6" s="1880"/>
      <c r="Y6" s="3061"/>
      <c r="Z6" s="3062"/>
      <c r="AA6" s="3065"/>
      <c r="AB6" s="3065"/>
      <c r="AC6" s="3065"/>
    </row>
    <row r="7" spans="1:30" s="34" customFormat="1" ht="1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55" t="s">
        <v>2343</v>
      </c>
      <c r="Q7" s="3053"/>
      <c r="R7" s="741" t="s">
        <v>25</v>
      </c>
      <c r="S7" s="742">
        <f t="shared" ref="S7:S15" si="0">F7</f>
        <v>0</v>
      </c>
      <c r="T7" s="741" t="s">
        <v>25</v>
      </c>
      <c r="U7" s="742">
        <f t="shared" ref="U7:U15" si="1">H7</f>
        <v>0</v>
      </c>
      <c r="V7" s="741" t="s">
        <v>25</v>
      </c>
      <c r="W7" s="742">
        <f t="shared" ref="W7:W15" si="2">J7</f>
        <v>0</v>
      </c>
      <c r="X7" s="743"/>
      <c r="Y7" s="3055" t="s">
        <v>2343</v>
      </c>
      <c r="Z7" s="3054"/>
      <c r="AA7" s="744" t="e">
        <f>D7/F7</f>
        <v>#DIV/0!</v>
      </c>
      <c r="AB7" s="744" t="e">
        <f>D7/H7</f>
        <v>#DIV/0!</v>
      </c>
      <c r="AC7" s="744" t="e">
        <f>D7/J7</f>
        <v>#DIV/0!</v>
      </c>
    </row>
    <row r="8" spans="1:30" s="34" customFormat="1" ht="1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55" t="s">
        <v>2346</v>
      </c>
      <c r="Q8" s="3054"/>
      <c r="R8" s="741" t="s">
        <v>25</v>
      </c>
      <c r="S8" s="742">
        <f t="shared" si="0"/>
        <v>0</v>
      </c>
      <c r="T8" s="741" t="s">
        <v>25</v>
      </c>
      <c r="U8" s="742">
        <f t="shared" si="1"/>
        <v>0</v>
      </c>
      <c r="V8" s="741" t="s">
        <v>25</v>
      </c>
      <c r="W8" s="742">
        <f t="shared" si="2"/>
        <v>0</v>
      </c>
      <c r="X8" s="743"/>
      <c r="Y8" s="3055" t="s">
        <v>2346</v>
      </c>
      <c r="Z8" s="3054"/>
      <c r="AA8" s="744" t="e">
        <f t="shared" ref="AA8:AA45" si="3">D8/F8</f>
        <v>#DIV/0!</v>
      </c>
      <c r="AB8" s="744" t="e">
        <f t="shared" ref="AB8:AB45" si="4">D8/H8</f>
        <v>#DIV/0!</v>
      </c>
      <c r="AC8" s="744" t="e">
        <f t="shared" ref="AC8:AC45" si="5">D8/J8</f>
        <v>#DIV/0!</v>
      </c>
    </row>
    <row r="9" spans="1:30" s="34" customFormat="1" ht="14.4">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40" t="s">
        <v>2349</v>
      </c>
      <c r="Q9" s="1867"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30" s="403" customFormat="1" ht="28.8">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40"/>
      <c r="Q10" s="1867" t="str">
        <f t="shared" si="6"/>
        <v>土地使用年限（年）</v>
      </c>
      <c r="R10" s="741" t="s">
        <v>25</v>
      </c>
      <c r="S10" s="742">
        <f t="shared" si="0"/>
        <v>132</v>
      </c>
      <c r="T10" s="741" t="s">
        <v>25</v>
      </c>
      <c r="U10" s="742">
        <f t="shared" si="1"/>
        <v>132</v>
      </c>
      <c r="V10" s="741" t="s">
        <v>25</v>
      </c>
      <c r="W10" s="742">
        <f t="shared" si="2"/>
        <v>132</v>
      </c>
      <c r="X10" s="743"/>
      <c r="Y10" s="2912"/>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40"/>
      <c r="Q11" s="1867" t="str">
        <f t="shared" si="6"/>
        <v>容积率</v>
      </c>
      <c r="R11" s="741" t="s">
        <v>25</v>
      </c>
      <c r="S11" s="742" t="e">
        <f t="shared" si="0"/>
        <v>#N/A</v>
      </c>
      <c r="T11" s="741" t="s">
        <v>25</v>
      </c>
      <c r="U11" s="742" t="e">
        <f t="shared" si="1"/>
        <v>#N/A</v>
      </c>
      <c r="V11" s="741" t="s">
        <v>25</v>
      </c>
      <c r="W11" s="742" t="e">
        <f t="shared" si="2"/>
        <v>#N/A</v>
      </c>
      <c r="X11" s="743"/>
      <c r="Y11" s="2912"/>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40"/>
      <c r="Q12" s="1867" t="str">
        <f t="shared" si="6"/>
        <v>配建</v>
      </c>
      <c r="R12" s="741" t="s">
        <v>25</v>
      </c>
      <c r="S12" s="742">
        <f t="shared" si="0"/>
        <v>100</v>
      </c>
      <c r="T12" s="741" t="s">
        <v>25</v>
      </c>
      <c r="U12" s="742">
        <f t="shared" si="1"/>
        <v>100</v>
      </c>
      <c r="V12" s="741" t="s">
        <v>25</v>
      </c>
      <c r="W12" s="742">
        <f t="shared" si="2"/>
        <v>100</v>
      </c>
      <c r="X12" s="743"/>
      <c r="Y12" s="2912"/>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40"/>
      <c r="Q13" s="1867">
        <f t="shared" si="6"/>
        <v>111</v>
      </c>
      <c r="R13" s="741" t="s">
        <v>25</v>
      </c>
      <c r="S13" s="742">
        <f t="shared" si="0"/>
        <v>100</v>
      </c>
      <c r="T13" s="741" t="s">
        <v>25</v>
      </c>
      <c r="U13" s="742">
        <f t="shared" si="1"/>
        <v>100</v>
      </c>
      <c r="V13" s="741" t="s">
        <v>25</v>
      </c>
      <c r="W13" s="742">
        <f t="shared" si="2"/>
        <v>100</v>
      </c>
      <c r="X13" s="743"/>
      <c r="Y13" s="2912"/>
      <c r="Z13" s="23">
        <f t="shared" si="7"/>
        <v>111</v>
      </c>
      <c r="AA13" s="744">
        <f>D13/F13</f>
        <v>1</v>
      </c>
      <c r="AB13" s="744">
        <f>D13/H13</f>
        <v>1</v>
      </c>
      <c r="AC13" s="744">
        <f>D13/J13</f>
        <v>1</v>
      </c>
    </row>
    <row r="14" spans="1:30" ht="15.6"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40"/>
      <c r="Q14" s="1867">
        <f t="shared" si="6"/>
        <v>111</v>
      </c>
      <c r="R14" s="741" t="s">
        <v>25</v>
      </c>
      <c r="S14" s="742">
        <f t="shared" si="0"/>
        <v>100</v>
      </c>
      <c r="T14" s="741" t="s">
        <v>25</v>
      </c>
      <c r="U14" s="742">
        <f t="shared" si="1"/>
        <v>100</v>
      </c>
      <c r="V14" s="741" t="s">
        <v>25</v>
      </c>
      <c r="W14" s="742">
        <f t="shared" si="2"/>
        <v>100</v>
      </c>
      <c r="X14" s="743"/>
      <c r="Y14" s="2912"/>
      <c r="Z14" s="23">
        <f t="shared" si="7"/>
        <v>111</v>
      </c>
      <c r="AA14" s="744">
        <f>D14/F14</f>
        <v>1</v>
      </c>
      <c r="AB14" s="744">
        <f>D14/H14</f>
        <v>1</v>
      </c>
      <c r="AC14" s="744">
        <f>D14/J14</f>
        <v>1</v>
      </c>
    </row>
    <row r="15" spans="1:30" ht="96.6">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46" t="s">
        <v>2354</v>
      </c>
      <c r="Q15" s="1879" t="str">
        <f t="shared" si="6"/>
        <v>居住社区成熟度</v>
      </c>
      <c r="R15" s="745" t="s">
        <v>25</v>
      </c>
      <c r="S15" s="746">
        <f t="shared" si="0"/>
        <v>100</v>
      </c>
      <c r="T15" s="745" t="s">
        <v>25</v>
      </c>
      <c r="U15" s="746">
        <f t="shared" si="1"/>
        <v>100</v>
      </c>
      <c r="V15" s="745" t="s">
        <v>25</v>
      </c>
      <c r="W15" s="746">
        <f t="shared" si="2"/>
        <v>100</v>
      </c>
      <c r="X15" s="1880"/>
      <c r="Y15" s="3046"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47"/>
      <c r="Q16" s="1879"/>
      <c r="R16" s="745"/>
      <c r="S16" s="746"/>
      <c r="T16" s="745"/>
      <c r="U16" s="746"/>
      <c r="V16" s="745"/>
      <c r="W16" s="746"/>
      <c r="X16" s="1880"/>
      <c r="Y16" s="3047"/>
      <c r="Z16" s="1882"/>
      <c r="AA16" s="1883">
        <v>1</v>
      </c>
      <c r="AB16" s="1883">
        <v>1</v>
      </c>
      <c r="AC16" s="1883">
        <v>1</v>
      </c>
    </row>
    <row r="17" spans="1:29" ht="82.8">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47"/>
      <c r="Q17" s="1879" t="str">
        <f>B17</f>
        <v>商业繁华度</v>
      </c>
      <c r="R17" s="745" t="s">
        <v>25</v>
      </c>
      <c r="S17" s="746">
        <f>F17</f>
        <v>100</v>
      </c>
      <c r="T17" s="745" t="s">
        <v>25</v>
      </c>
      <c r="U17" s="746">
        <f>H17</f>
        <v>100</v>
      </c>
      <c r="V17" s="745" t="s">
        <v>25</v>
      </c>
      <c r="W17" s="746">
        <f>J17</f>
        <v>100</v>
      </c>
      <c r="X17" s="1880"/>
      <c r="Y17" s="3047"/>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47"/>
      <c r="Q18" s="1879"/>
      <c r="R18" s="745"/>
      <c r="S18" s="746"/>
      <c r="T18" s="745"/>
      <c r="U18" s="746"/>
      <c r="V18" s="745"/>
      <c r="W18" s="746"/>
      <c r="X18" s="1880"/>
      <c r="Y18" s="3047"/>
      <c r="Z18" s="1882"/>
      <c r="AA18" s="1883">
        <v>1</v>
      </c>
      <c r="AB18" s="1883">
        <v>1</v>
      </c>
      <c r="AC18" s="1883">
        <v>1</v>
      </c>
    </row>
    <row r="19" spans="1:29" ht="124.2">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47"/>
      <c r="Q19" s="1879" t="str">
        <f>B19</f>
        <v>办公集聚程度</v>
      </c>
      <c r="R19" s="745" t="s">
        <v>25</v>
      </c>
      <c r="S19" s="746">
        <f>F19</f>
        <v>100</v>
      </c>
      <c r="T19" s="745" t="s">
        <v>25</v>
      </c>
      <c r="U19" s="746">
        <f>H19</f>
        <v>100</v>
      </c>
      <c r="V19" s="745" t="s">
        <v>25</v>
      </c>
      <c r="W19" s="746">
        <f>J19</f>
        <v>100</v>
      </c>
      <c r="X19" s="1880"/>
      <c r="Y19" s="3047"/>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47"/>
      <c r="Q20" s="1879"/>
      <c r="R20" s="745"/>
      <c r="S20" s="746"/>
      <c r="T20" s="745"/>
      <c r="U20" s="746"/>
      <c r="V20" s="745"/>
      <c r="W20" s="746"/>
      <c r="X20" s="1880"/>
      <c r="Y20" s="3047"/>
      <c r="Z20" s="1882"/>
      <c r="AA20" s="1883">
        <v>1</v>
      </c>
      <c r="AB20" s="1883">
        <v>1</v>
      </c>
      <c r="AC20" s="1883">
        <v>1</v>
      </c>
    </row>
    <row r="21" spans="1:29" ht="110.4">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47"/>
      <c r="Q21" s="1879" t="str">
        <f>B21</f>
        <v>交通便捷度</v>
      </c>
      <c r="R21" s="745" t="s">
        <v>25</v>
      </c>
      <c r="S21" s="746">
        <f>F21</f>
        <v>100</v>
      </c>
      <c r="T21" s="745" t="s">
        <v>25</v>
      </c>
      <c r="U21" s="746">
        <f>H21</f>
        <v>100</v>
      </c>
      <c r="V21" s="745" t="s">
        <v>25</v>
      </c>
      <c r="W21" s="746">
        <f>J21</f>
        <v>100</v>
      </c>
      <c r="X21" s="1880"/>
      <c r="Y21" s="3047"/>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47"/>
      <c r="Q22" s="1879"/>
      <c r="R22" s="745"/>
      <c r="S22" s="746"/>
      <c r="T22" s="745"/>
      <c r="U22" s="746"/>
      <c r="V22" s="745"/>
      <c r="W22" s="746"/>
      <c r="X22" s="1880"/>
      <c r="Y22" s="3047"/>
      <c r="Z22" s="1882"/>
      <c r="AA22" s="1883">
        <v>1</v>
      </c>
      <c r="AB22" s="1883">
        <v>1</v>
      </c>
      <c r="AC22" s="1883">
        <v>1</v>
      </c>
    </row>
    <row r="23" spans="1:29" ht="28.8">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47"/>
      <c r="Q23" s="1879" t="str">
        <f t="shared" ref="Q23:Q37" si="8">B23</f>
        <v>区域土地利用方向</v>
      </c>
      <c r="R23" s="745" t="s">
        <v>25</v>
      </c>
      <c r="S23" s="746">
        <f>F23</f>
        <v>100</v>
      </c>
      <c r="T23" s="745" t="s">
        <v>25</v>
      </c>
      <c r="U23" s="746">
        <f>H23</f>
        <v>100</v>
      </c>
      <c r="V23" s="745" t="s">
        <v>25</v>
      </c>
      <c r="W23" s="746">
        <f>J23</f>
        <v>100</v>
      </c>
      <c r="X23" s="1880"/>
      <c r="Y23" s="3047"/>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47"/>
      <c r="Q24" s="1879"/>
      <c r="R24" s="745"/>
      <c r="S24" s="746"/>
      <c r="T24" s="745"/>
      <c r="U24" s="746"/>
      <c r="V24" s="745"/>
      <c r="W24" s="746"/>
      <c r="X24" s="1880"/>
      <c r="Y24" s="3047"/>
      <c r="Z24" s="1882"/>
      <c r="AA24" s="1883"/>
      <c r="AB24" s="1883"/>
      <c r="AC24" s="1883"/>
    </row>
    <row r="25" spans="1:29" ht="110.4">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47"/>
      <c r="Q25" s="1879" t="str">
        <f t="shared" si="8"/>
        <v>自然及人文环境状况</v>
      </c>
      <c r="R25" s="745" t="s">
        <v>25</v>
      </c>
      <c r="S25" s="746">
        <f>F25</f>
        <v>100</v>
      </c>
      <c r="T25" s="745" t="s">
        <v>25</v>
      </c>
      <c r="U25" s="746">
        <f>H25</f>
        <v>100</v>
      </c>
      <c r="V25" s="745" t="s">
        <v>25</v>
      </c>
      <c r="W25" s="746">
        <f>J25</f>
        <v>100</v>
      </c>
      <c r="X25" s="1880"/>
      <c r="Y25" s="3047"/>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47"/>
      <c r="Q26" s="1879"/>
      <c r="R26" s="745"/>
      <c r="S26" s="746"/>
      <c r="T26" s="745"/>
      <c r="U26" s="746"/>
      <c r="V26" s="745"/>
      <c r="W26" s="746"/>
      <c r="X26" s="1880"/>
      <c r="Y26" s="3047"/>
      <c r="Z26" s="1882"/>
      <c r="AA26" s="1883">
        <v>1</v>
      </c>
      <c r="AB26" s="1883">
        <v>1</v>
      </c>
      <c r="AC26" s="1883">
        <v>1</v>
      </c>
    </row>
    <row r="27" spans="1:29" ht="96.6">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47"/>
      <c r="Q27" s="1867" t="str">
        <f t="shared" ref="Q27" si="9">B27</f>
        <v>公共配套设施</v>
      </c>
      <c r="R27" s="741" t="s">
        <v>25</v>
      </c>
      <c r="S27" s="742">
        <f>F27</f>
        <v>100</v>
      </c>
      <c r="T27" s="741" t="s">
        <v>25</v>
      </c>
      <c r="U27" s="742">
        <f>H27</f>
        <v>100</v>
      </c>
      <c r="V27" s="741" t="s">
        <v>25</v>
      </c>
      <c r="W27" s="742">
        <f>J27</f>
        <v>100</v>
      </c>
      <c r="X27" s="1880"/>
      <c r="Y27" s="3047"/>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47"/>
      <c r="Q28" s="1879"/>
      <c r="R28" s="745"/>
      <c r="S28" s="746"/>
      <c r="T28" s="745"/>
      <c r="U28" s="746"/>
      <c r="V28" s="745"/>
      <c r="W28" s="746"/>
      <c r="X28" s="1880"/>
      <c r="Y28" s="3047"/>
      <c r="Z28" s="23"/>
      <c r="AA28" s="1883">
        <v>1</v>
      </c>
      <c r="AB28" s="1883">
        <v>1</v>
      </c>
      <c r="AC28" s="1883">
        <v>1</v>
      </c>
    </row>
    <row r="29" spans="1:29" s="34" customFormat="1" ht="41.4">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47"/>
      <c r="Q29" s="1867" t="str">
        <f t="shared" si="8"/>
        <v>基础设施水平</v>
      </c>
      <c r="R29" s="741" t="s">
        <v>25</v>
      </c>
      <c r="S29" s="742">
        <f>F29</f>
        <v>100</v>
      </c>
      <c r="T29" s="741" t="s">
        <v>25</v>
      </c>
      <c r="U29" s="742">
        <f>H29</f>
        <v>100</v>
      </c>
      <c r="V29" s="741" t="s">
        <v>25</v>
      </c>
      <c r="W29" s="742">
        <f>J29</f>
        <v>100</v>
      </c>
      <c r="X29" s="743"/>
      <c r="Y29" s="3047"/>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47"/>
      <c r="Q30" s="1867"/>
      <c r="R30" s="741"/>
      <c r="S30" s="742"/>
      <c r="T30" s="741"/>
      <c r="U30" s="742"/>
      <c r="V30" s="741"/>
      <c r="W30" s="742"/>
      <c r="X30" s="743"/>
      <c r="Y30" s="3047"/>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47"/>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47"/>
      <c r="Z31" s="1882" t="str">
        <f t="shared" ref="Z31:Z45" si="13">Q31</f>
        <v>临街状况</v>
      </c>
      <c r="AA31" s="1883">
        <f t="shared" si="3"/>
        <v>1</v>
      </c>
      <c r="AB31" s="1883">
        <f t="shared" si="4"/>
        <v>1</v>
      </c>
      <c r="AC31" s="1883">
        <f t="shared" si="5"/>
        <v>1</v>
      </c>
    </row>
    <row r="32" spans="1:29" ht="28.8">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47"/>
      <c r="Q32" s="1879" t="str">
        <f t="shared" si="8"/>
        <v>毗邻道路的类型与等级</v>
      </c>
      <c r="R32" s="745" t="s">
        <v>25</v>
      </c>
      <c r="S32" s="746">
        <f t="shared" si="10"/>
        <v>100</v>
      </c>
      <c r="T32" s="745" t="s">
        <v>25</v>
      </c>
      <c r="U32" s="746">
        <f t="shared" si="11"/>
        <v>100</v>
      </c>
      <c r="V32" s="745" t="s">
        <v>25</v>
      </c>
      <c r="W32" s="746">
        <f t="shared" si="12"/>
        <v>100</v>
      </c>
      <c r="X32" s="1880"/>
      <c r="Y32" s="3047"/>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47"/>
      <c r="Q33" s="1879"/>
      <c r="R33" s="745"/>
      <c r="S33" s="746"/>
      <c r="T33" s="745"/>
      <c r="U33" s="746"/>
      <c r="V33" s="745"/>
      <c r="W33" s="746"/>
      <c r="X33" s="1880"/>
      <c r="Y33" s="3047"/>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47"/>
      <c r="Q34" s="1879" t="str">
        <f t="shared" si="8"/>
        <v>土地级别</v>
      </c>
      <c r="R34" s="745" t="s">
        <v>25</v>
      </c>
      <c r="S34" s="746">
        <f t="shared" si="10"/>
        <v>100</v>
      </c>
      <c r="T34" s="745" t="s">
        <v>25</v>
      </c>
      <c r="U34" s="746">
        <f t="shared" si="11"/>
        <v>100</v>
      </c>
      <c r="V34" s="745" t="s">
        <v>25</v>
      </c>
      <c r="W34" s="746">
        <f t="shared" si="12"/>
        <v>100</v>
      </c>
      <c r="X34" s="1880"/>
      <c r="Y34" s="3047"/>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47"/>
      <c r="Q35" s="1879">
        <f t="shared" si="8"/>
        <v>111</v>
      </c>
      <c r="R35" s="745" t="s">
        <v>25</v>
      </c>
      <c r="S35" s="746">
        <f t="shared" si="10"/>
        <v>100</v>
      </c>
      <c r="T35" s="745" t="s">
        <v>25</v>
      </c>
      <c r="U35" s="746">
        <f t="shared" si="11"/>
        <v>100</v>
      </c>
      <c r="V35" s="745" t="s">
        <v>25</v>
      </c>
      <c r="W35" s="746">
        <f t="shared" si="12"/>
        <v>100</v>
      </c>
      <c r="X35" s="1880"/>
      <c r="Y35" s="3047"/>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4" t="s">
        <v>2360</v>
      </c>
      <c r="Q36" s="1879">
        <f t="shared" si="8"/>
        <v>111</v>
      </c>
      <c r="R36" s="745" t="s">
        <v>25</v>
      </c>
      <c r="S36" s="746">
        <f t="shared" si="10"/>
        <v>100</v>
      </c>
      <c r="T36" s="745" t="s">
        <v>25</v>
      </c>
      <c r="U36" s="746">
        <f t="shared" si="11"/>
        <v>100</v>
      </c>
      <c r="V36" s="745" t="s">
        <v>25</v>
      </c>
      <c r="W36" s="746">
        <f t="shared" si="12"/>
        <v>100</v>
      </c>
      <c r="X36" s="1880"/>
      <c r="Y36" s="3051" t="s">
        <v>2360</v>
      </c>
      <c r="Z36" s="1882">
        <f t="shared" si="13"/>
        <v>111</v>
      </c>
      <c r="AA36" s="1883">
        <f t="shared" si="3"/>
        <v>1</v>
      </c>
      <c r="AB36" s="1883">
        <f t="shared" si="4"/>
        <v>1</v>
      </c>
      <c r="AC36" s="1883">
        <f t="shared" si="5"/>
        <v>1</v>
      </c>
    </row>
    <row r="37" spans="1:29" s="448" customFormat="1" ht="15.6"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51"/>
      <c r="Q37" s="1879">
        <f t="shared" si="8"/>
        <v>111</v>
      </c>
      <c r="R37" s="748" t="s">
        <v>25</v>
      </c>
      <c r="S37" s="749">
        <f t="shared" si="10"/>
        <v>100</v>
      </c>
      <c r="T37" s="748" t="s">
        <v>25</v>
      </c>
      <c r="U37" s="749">
        <f t="shared" si="11"/>
        <v>100</v>
      </c>
      <c r="V37" s="748" t="s">
        <v>25</v>
      </c>
      <c r="W37" s="749">
        <f t="shared" si="12"/>
        <v>100</v>
      </c>
      <c r="X37" s="750"/>
      <c r="Y37" s="3051"/>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51"/>
      <c r="Q38" s="1879" t="str">
        <f>B38</f>
        <v>宗地面积</v>
      </c>
      <c r="R38" s="745" t="s">
        <v>25</v>
      </c>
      <c r="S38" s="746" t="e">
        <f t="shared" si="10"/>
        <v>#N/A</v>
      </c>
      <c r="T38" s="745" t="s">
        <v>25</v>
      </c>
      <c r="U38" s="746" t="e">
        <f t="shared" si="11"/>
        <v>#N/A</v>
      </c>
      <c r="V38" s="745" t="s">
        <v>25</v>
      </c>
      <c r="W38" s="746" t="e">
        <f t="shared" si="12"/>
        <v>#N/A</v>
      </c>
      <c r="X38" s="1880"/>
      <c r="Y38" s="3051"/>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51"/>
      <c r="Q39" s="1879" t="str">
        <f t="shared" ref="Q39:Q45" si="14">B39</f>
        <v>宗地形状</v>
      </c>
      <c r="R39" s="745" t="s">
        <v>25</v>
      </c>
      <c r="S39" s="746">
        <f t="shared" si="10"/>
        <v>100</v>
      </c>
      <c r="T39" s="745" t="s">
        <v>25</v>
      </c>
      <c r="U39" s="746">
        <f t="shared" si="11"/>
        <v>100</v>
      </c>
      <c r="V39" s="745" t="s">
        <v>25</v>
      </c>
      <c r="W39" s="746">
        <f t="shared" si="12"/>
        <v>100</v>
      </c>
      <c r="X39" s="1880"/>
      <c r="Y39" s="3051"/>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51"/>
      <c r="Q40" s="1879" t="str">
        <f t="shared" si="14"/>
        <v>临街宽度及深度</v>
      </c>
      <c r="R40" s="745" t="s">
        <v>25</v>
      </c>
      <c r="S40" s="746">
        <f t="shared" si="10"/>
        <v>100</v>
      </c>
      <c r="T40" s="745" t="s">
        <v>25</v>
      </c>
      <c r="U40" s="746">
        <f t="shared" si="11"/>
        <v>100</v>
      </c>
      <c r="V40" s="745" t="s">
        <v>25</v>
      </c>
      <c r="W40" s="746">
        <f t="shared" si="12"/>
        <v>100</v>
      </c>
      <c r="X40" s="1880"/>
      <c r="Y40" s="3051"/>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51"/>
      <c r="Q41" s="1879" t="str">
        <f t="shared" si="14"/>
        <v>宗地开发程度</v>
      </c>
      <c r="R41" s="741" t="s">
        <v>25</v>
      </c>
      <c r="S41" s="742">
        <f t="shared" si="10"/>
        <v>100</v>
      </c>
      <c r="T41" s="741" t="s">
        <v>25</v>
      </c>
      <c r="U41" s="742">
        <f t="shared" si="11"/>
        <v>100</v>
      </c>
      <c r="V41" s="741" t="s">
        <v>25</v>
      </c>
      <c r="W41" s="742">
        <f t="shared" si="12"/>
        <v>100</v>
      </c>
      <c r="X41" s="743"/>
      <c r="Y41" s="3051"/>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51" t="s">
        <v>2360</v>
      </c>
      <c r="Q42" s="1879" t="str">
        <f t="shared" si="14"/>
        <v>工程地质条件</v>
      </c>
      <c r="R42" s="745" t="s">
        <v>25</v>
      </c>
      <c r="S42" s="746">
        <f t="shared" si="10"/>
        <v>100</v>
      </c>
      <c r="T42" s="745" t="s">
        <v>25</v>
      </c>
      <c r="U42" s="746">
        <f t="shared" si="11"/>
        <v>100</v>
      </c>
      <c r="V42" s="745" t="s">
        <v>25</v>
      </c>
      <c r="W42" s="746">
        <f t="shared" si="12"/>
        <v>100</v>
      </c>
      <c r="X42" s="1880"/>
      <c r="Y42" s="3051"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51"/>
      <c r="Q43" s="1879">
        <f t="shared" si="14"/>
        <v>111</v>
      </c>
      <c r="R43" s="745" t="s">
        <v>25</v>
      </c>
      <c r="S43" s="746">
        <f t="shared" si="10"/>
        <v>100</v>
      </c>
      <c r="T43" s="745" t="s">
        <v>25</v>
      </c>
      <c r="U43" s="746">
        <f t="shared" si="11"/>
        <v>100</v>
      </c>
      <c r="V43" s="745" t="s">
        <v>25</v>
      </c>
      <c r="W43" s="746">
        <f t="shared" si="12"/>
        <v>100</v>
      </c>
      <c r="X43" s="1880"/>
      <c r="Y43" s="3051"/>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51"/>
      <c r="Q44" s="1879">
        <f t="shared" si="14"/>
        <v>111</v>
      </c>
      <c r="R44" s="745" t="s">
        <v>25</v>
      </c>
      <c r="S44" s="746">
        <f t="shared" si="10"/>
        <v>100</v>
      </c>
      <c r="T44" s="745" t="s">
        <v>25</v>
      </c>
      <c r="U44" s="746">
        <f t="shared" si="11"/>
        <v>100</v>
      </c>
      <c r="V44" s="745" t="s">
        <v>25</v>
      </c>
      <c r="W44" s="746">
        <f t="shared" si="12"/>
        <v>100</v>
      </c>
      <c r="X44" s="1880"/>
      <c r="Y44" s="3051"/>
      <c r="Z44" s="1882">
        <f t="shared" si="13"/>
        <v>111</v>
      </c>
      <c r="AA44" s="1883">
        <f t="shared" si="3"/>
        <v>1</v>
      </c>
      <c r="AB44" s="1883">
        <f t="shared" si="4"/>
        <v>1</v>
      </c>
      <c r="AC44" s="1883">
        <f t="shared" si="5"/>
        <v>1</v>
      </c>
    </row>
    <row r="45" spans="1:29" s="448" customFormat="1" ht="15.6"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51"/>
      <c r="Q45" s="1879">
        <f t="shared" si="14"/>
        <v>111</v>
      </c>
      <c r="R45" s="748" t="s">
        <v>25</v>
      </c>
      <c r="S45" s="749">
        <f t="shared" si="10"/>
        <v>100</v>
      </c>
      <c r="T45" s="748" t="s">
        <v>25</v>
      </c>
      <c r="U45" s="749">
        <f t="shared" si="11"/>
        <v>100</v>
      </c>
      <c r="V45" s="748" t="s">
        <v>25</v>
      </c>
      <c r="W45" s="749">
        <f t="shared" si="12"/>
        <v>100</v>
      </c>
      <c r="X45" s="750"/>
      <c r="Y45" s="3051"/>
      <c r="Z45" s="751">
        <f t="shared" si="13"/>
        <v>111</v>
      </c>
      <c r="AA45" s="1883">
        <f t="shared" si="3"/>
        <v>1</v>
      </c>
      <c r="AB45" s="1883">
        <f t="shared" si="4"/>
        <v>1</v>
      </c>
      <c r="AC45" s="1883">
        <f t="shared" si="5"/>
        <v>1</v>
      </c>
    </row>
    <row r="46" spans="1:29" ht="14.4">
      <c r="A46" s="456" t="s">
        <v>2508</v>
      </c>
      <c r="B46" s="2468" t="s">
        <v>2545</v>
      </c>
      <c r="C46" s="661" t="s">
        <v>1</v>
      </c>
      <c r="D46" s="458"/>
      <c r="E46" s="459"/>
      <c r="F46" s="460"/>
      <c r="G46" s="461"/>
      <c r="H46" s="462"/>
      <c r="I46" s="459"/>
      <c r="J46" s="462"/>
      <c r="K46" s="754"/>
      <c r="L46" s="1238"/>
      <c r="M46" s="1239"/>
      <c r="N46" s="1226"/>
      <c r="O46" s="1239"/>
      <c r="P46" s="3040" t="str">
        <f>A46</f>
        <v>成交单价</v>
      </c>
      <c r="Q46" s="3040"/>
      <c r="R46" s="3056">
        <f>E46</f>
        <v>0</v>
      </c>
      <c r="S46" s="3056"/>
      <c r="T46" s="3056">
        <f>G46</f>
        <v>0</v>
      </c>
      <c r="U46" s="3056"/>
      <c r="V46" s="3056">
        <f>I46</f>
        <v>0</v>
      </c>
      <c r="W46" s="3056"/>
      <c r="X46" s="730"/>
      <c r="Y46" s="752"/>
      <c r="Z46" s="730"/>
      <c r="AA46" s="730"/>
      <c r="AB46" s="730"/>
      <c r="AC46" s="730"/>
    </row>
    <row r="47" spans="1:29" ht="1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40" t="str">
        <f>A47</f>
        <v>比较价值（元/平方米）</v>
      </c>
      <c r="Q47" s="3040"/>
      <c r="R47" s="3125" t="e">
        <f>ROUND(PRODUCT(R46,AA7:AA45),0)</f>
        <v>#DIV/0!</v>
      </c>
      <c r="S47" s="3125"/>
      <c r="T47" s="3125" t="e">
        <f>ROUND(PRODUCT(T46,AB7:AB45),0)</f>
        <v>#DIV/0!</v>
      </c>
      <c r="U47" s="3125"/>
      <c r="V47" s="3125" t="e">
        <f>ROUND(PRODUCT(V46,AC7:AC45),0)</f>
        <v>#DIV/0!</v>
      </c>
      <c r="W47" s="3125"/>
      <c r="X47" s="730"/>
      <c r="Y47" s="730"/>
      <c r="Z47" s="730"/>
      <c r="AA47" s="730"/>
      <c r="AB47" s="730"/>
      <c r="AC47" s="730"/>
    </row>
    <row r="48" spans="1:29" ht="15" thickBot="1">
      <c r="A48" s="469" t="s">
        <v>2478</v>
      </c>
      <c r="B48" s="470"/>
      <c r="C48" s="471" t="e">
        <f>R48</f>
        <v>#DIV/0!</v>
      </c>
      <c r="D48" s="471"/>
      <c r="E48" s="471"/>
      <c r="F48" s="471"/>
      <c r="G48" s="471"/>
      <c r="H48" s="471"/>
      <c r="I48" s="471"/>
      <c r="J48" s="471"/>
      <c r="K48" s="756"/>
      <c r="L48" s="1238"/>
      <c r="M48" s="1239"/>
      <c r="N48" s="1239"/>
      <c r="O48" s="1239"/>
      <c r="P48" s="3113" t="str">
        <f>A48</f>
        <v>估价对象XX用房的比较价值（楼面单价，元/平方米）</v>
      </c>
      <c r="Q48" s="3039"/>
      <c r="R48" s="3126" t="e">
        <f>ROUND(AVERAGE(R47:V47),0)</f>
        <v>#DIV/0!</v>
      </c>
      <c r="S48" s="3126"/>
      <c r="T48" s="3126"/>
      <c r="U48" s="3126"/>
      <c r="V48" s="3126"/>
      <c r="W48" s="3126"/>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4.4" thickBot="1">
      <c r="A54" s="1241"/>
      <c r="B54" s="1242"/>
      <c r="C54" s="733"/>
      <c r="D54" s="732"/>
      <c r="E54" s="732"/>
      <c r="F54" s="732"/>
      <c r="G54" s="732"/>
      <c r="H54" s="732"/>
      <c r="I54" s="732"/>
      <c r="J54" s="732"/>
      <c r="K54" s="1245"/>
      <c r="L54" s="1246"/>
      <c r="M54" s="1241"/>
      <c r="N54" s="1241"/>
      <c r="O54" s="1241"/>
    </row>
    <row r="55" spans="1:15" ht="28.8">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2.2" thickBot="1">
      <c r="A69" s="734" t="s">
        <v>2460</v>
      </c>
      <c r="B69" s="730"/>
      <c r="C69" s="735"/>
      <c r="D69" s="735"/>
      <c r="E69" s="735"/>
      <c r="F69" s="736"/>
      <c r="G69" s="736"/>
      <c r="H69" s="735"/>
      <c r="I69" s="1255"/>
      <c r="J69" s="1255"/>
      <c r="K69" s="1253"/>
      <c r="L69" s="1254"/>
      <c r="M69" s="1255"/>
      <c r="N69" s="1255"/>
      <c r="O69" s="1255"/>
      <c r="P69" s="480"/>
      <c r="Q69" s="481"/>
    </row>
    <row r="70" spans="1:17" s="1656" customFormat="1" ht="14.4">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 thickBot="1">
      <c r="A72" s="492" t="s">
        <v>2380</v>
      </c>
      <c r="B72" s="493"/>
      <c r="C72" s="494"/>
      <c r="D72" s="495"/>
      <c r="E72" s="495"/>
      <c r="F72" s="495"/>
      <c r="G72" s="495"/>
      <c r="H72" s="495"/>
      <c r="I72" s="495"/>
      <c r="J72" s="495"/>
      <c r="K72" s="495"/>
      <c r="L72" s="495"/>
      <c r="M72" s="496"/>
      <c r="N72" s="495"/>
      <c r="O72" s="1658"/>
      <c r="P72" s="481"/>
      <c r="Q72" s="481"/>
    </row>
    <row r="73" spans="1:17" s="34" customFormat="1" ht="14.4">
      <c r="A73" s="498" t="s">
        <v>2344</v>
      </c>
      <c r="B73" s="487"/>
      <c r="C73" s="499" t="s">
        <v>2345</v>
      </c>
      <c r="D73" s="500"/>
      <c r="E73" s="500"/>
      <c r="F73" s="500"/>
      <c r="G73" s="500"/>
      <c r="H73" s="500"/>
      <c r="I73" s="500"/>
      <c r="J73" s="500"/>
      <c r="K73" s="500"/>
      <c r="L73" s="501"/>
      <c r="M73" s="502"/>
      <c r="N73" s="1248"/>
      <c r="O73" s="1248"/>
      <c r="P73" s="503"/>
      <c r="Q73" s="481"/>
    </row>
    <row r="74" spans="1:17" s="34" customFormat="1" ht="14.4" thickBot="1">
      <c r="A74" s="498"/>
      <c r="B74" s="487"/>
      <c r="C74" s="619">
        <v>100</v>
      </c>
      <c r="D74" s="489"/>
      <c r="E74" s="489"/>
      <c r="F74" s="489"/>
      <c r="G74" s="489"/>
      <c r="H74" s="489"/>
      <c r="I74" s="489"/>
      <c r="J74" s="489"/>
      <c r="K74" s="489"/>
      <c r="L74" s="489"/>
      <c r="M74" s="491"/>
      <c r="N74" s="1248"/>
      <c r="O74" s="1248"/>
      <c r="P74" s="481"/>
      <c r="Q74" s="481"/>
    </row>
    <row r="75" spans="1:17" ht="14.4">
      <c r="A75" s="504" t="s">
        <v>2383</v>
      </c>
      <c r="B75" s="505" t="s">
        <v>2348</v>
      </c>
      <c r="C75" s="507"/>
      <c r="D75" s="507"/>
      <c r="E75" s="507"/>
      <c r="F75" s="507"/>
      <c r="G75" s="507"/>
      <c r="H75" s="507"/>
      <c r="I75" s="507"/>
      <c r="J75" s="507"/>
      <c r="K75" s="508"/>
      <c r="L75" s="509"/>
      <c r="M75" s="510"/>
      <c r="N75" s="1249"/>
      <c r="O75" s="1249"/>
      <c r="P75" s="22"/>
      <c r="Q75" s="481"/>
    </row>
    <row r="76" spans="1:17" ht="14.4" thickBot="1">
      <c r="A76" s="512"/>
      <c r="B76" s="513"/>
      <c r="C76" s="514"/>
      <c r="D76" s="514"/>
      <c r="E76" s="514"/>
      <c r="F76" s="514"/>
      <c r="G76" s="514"/>
      <c r="H76" s="514"/>
      <c r="I76" s="514"/>
      <c r="J76" s="514"/>
      <c r="K76" s="514"/>
      <c r="L76" s="514"/>
      <c r="M76" s="515"/>
      <c r="N76" s="1250"/>
      <c r="O76" s="1250"/>
      <c r="P76" s="22"/>
      <c r="Q76" s="481"/>
    </row>
    <row r="77" spans="1:17" ht="29.4" thickTop="1">
      <c r="A77" s="512"/>
      <c r="B77" s="517" t="s">
        <v>2351</v>
      </c>
      <c r="C77" s="518"/>
      <c r="D77" s="518"/>
      <c r="E77" s="518"/>
      <c r="F77" s="518"/>
      <c r="G77" s="518"/>
      <c r="H77" s="518"/>
      <c r="I77" s="518"/>
      <c r="J77" s="518"/>
      <c r="K77" s="519"/>
      <c r="L77" s="520"/>
      <c r="M77" s="521"/>
      <c r="N77" s="1249"/>
      <c r="O77" s="1249"/>
      <c r="P77" s="22"/>
      <c r="Q77" s="481"/>
    </row>
    <row r="78" spans="1:17" ht="14.4" thickBot="1">
      <c r="A78" s="512"/>
      <c r="B78" s="522"/>
      <c r="C78" s="523"/>
      <c r="D78" s="523"/>
      <c r="E78" s="523"/>
      <c r="F78" s="523"/>
      <c r="G78" s="523"/>
      <c r="H78" s="523"/>
      <c r="I78" s="523"/>
      <c r="J78" s="523"/>
      <c r="K78" s="523"/>
      <c r="L78" s="523"/>
      <c r="M78" s="524"/>
      <c r="N78" s="1250"/>
      <c r="O78" s="1250"/>
      <c r="P78" s="22"/>
      <c r="Q78" s="481"/>
    </row>
    <row r="79" spans="1:17" ht="1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c r="A80" s="512"/>
      <c r="B80" s="527"/>
      <c r="C80" s="528"/>
      <c r="D80" s="528"/>
      <c r="E80" s="528"/>
      <c r="F80" s="528"/>
      <c r="G80" s="528"/>
      <c r="H80" s="528"/>
      <c r="I80" s="528"/>
      <c r="J80" s="528"/>
      <c r="K80" s="529"/>
      <c r="L80" s="530"/>
      <c r="M80" s="531"/>
      <c r="N80" s="1249"/>
      <c r="O80" s="1249"/>
      <c r="P80" s="22"/>
      <c r="Q80" s="481"/>
    </row>
    <row r="81" spans="1:17" ht="14.4"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4.4"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4.4" thickBot="1">
      <c r="A83" s="532"/>
      <c r="B83" s="522"/>
      <c r="C83" s="540"/>
      <c r="D83" s="514"/>
      <c r="E83" s="514"/>
      <c r="F83" s="514"/>
      <c r="G83" s="514"/>
      <c r="H83" s="514"/>
      <c r="I83" s="514"/>
      <c r="J83" s="514"/>
      <c r="K83" s="514"/>
      <c r="L83" s="514"/>
      <c r="M83" s="515"/>
      <c r="N83" s="1250"/>
      <c r="O83" s="1250"/>
      <c r="P83" s="538"/>
      <c r="Q83" s="539"/>
    </row>
    <row r="84" spans="1:17" s="448" customFormat="1" ht="14.4" thickTop="1">
      <c r="A84" s="532"/>
      <c r="B84" s="517">
        <f>B13</f>
        <v>111</v>
      </c>
      <c r="C84" s="533"/>
      <c r="D84" s="533"/>
      <c r="E84" s="533"/>
      <c r="F84" s="533"/>
      <c r="G84" s="533"/>
      <c r="H84" s="534"/>
      <c r="I84" s="534"/>
      <c r="J84" s="534"/>
      <c r="K84" s="534"/>
      <c r="L84" s="535"/>
      <c r="M84" s="536"/>
      <c r="N84" s="1251"/>
      <c r="O84" s="1251"/>
      <c r="P84" s="447"/>
      <c r="Q84" s="541"/>
    </row>
    <row r="85" spans="1:17" s="448" customFormat="1" ht="14.4" thickBot="1">
      <c r="A85" s="532"/>
      <c r="B85" s="522"/>
      <c r="C85" s="540"/>
      <c r="D85" s="540"/>
      <c r="E85" s="540"/>
      <c r="F85" s="540"/>
      <c r="G85" s="540"/>
      <c r="H85" s="542"/>
      <c r="I85" s="542"/>
      <c r="J85" s="542"/>
      <c r="K85" s="542"/>
      <c r="L85" s="542"/>
      <c r="M85" s="543"/>
      <c r="N85" s="1251"/>
      <c r="O85" s="1251"/>
      <c r="P85" s="538"/>
      <c r="Q85" s="539"/>
    </row>
    <row r="86" spans="1:17" s="448" customFormat="1" ht="14.4" thickTop="1">
      <c r="A86" s="532"/>
      <c r="B86" s="525">
        <f>B14</f>
        <v>111</v>
      </c>
      <c r="C86" s="500"/>
      <c r="D86" s="500"/>
      <c r="E86" s="500"/>
      <c r="F86" s="500"/>
      <c r="G86" s="500"/>
      <c r="H86" s="544"/>
      <c r="I86" s="544"/>
      <c r="J86" s="544"/>
      <c r="K86" s="544"/>
      <c r="L86" s="545"/>
      <c r="M86" s="546"/>
      <c r="N86" s="1251"/>
      <c r="O86" s="1251"/>
      <c r="P86" s="547"/>
      <c r="Q86" s="539"/>
    </row>
    <row r="87" spans="1:17" s="448" customFormat="1" ht="14.4" thickBot="1">
      <c r="A87" s="548"/>
      <c r="B87" s="549"/>
      <c r="C87" s="550"/>
      <c r="D87" s="550"/>
      <c r="E87" s="550"/>
      <c r="F87" s="550"/>
      <c r="G87" s="550"/>
      <c r="H87" s="551"/>
      <c r="I87" s="551"/>
      <c r="J87" s="551"/>
      <c r="K87" s="551"/>
      <c r="L87" s="551"/>
      <c r="M87" s="552"/>
      <c r="N87" s="1251"/>
      <c r="O87" s="1251"/>
      <c r="P87" s="538"/>
      <c r="Q87" s="539"/>
    </row>
    <row r="88" spans="1:17" ht="14.4">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4.4"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4.4"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4.4"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4.4"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29.4"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4.4"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9.4"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4.4"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4.4"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4.4"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4.4"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9.4" thickTop="1">
      <c r="A106" s="512"/>
      <c r="B106" s="517" t="s">
        <v>2472</v>
      </c>
      <c r="C106" s="533"/>
      <c r="D106" s="533"/>
      <c r="E106" s="533"/>
      <c r="F106" s="533"/>
      <c r="G106" s="533"/>
      <c r="H106" s="563"/>
      <c r="I106" s="563"/>
      <c r="J106" s="563"/>
      <c r="K106" s="564"/>
      <c r="L106" s="565"/>
      <c r="M106" s="566"/>
      <c r="N106" s="1249"/>
      <c r="O106" s="1249"/>
      <c r="P106" s="22"/>
      <c r="Q106" s="481"/>
    </row>
    <row r="107" spans="1:17" ht="14.4"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 thickTop="1">
      <c r="A108" s="512"/>
      <c r="B108" s="517" t="s">
        <v>2539</v>
      </c>
      <c r="C108" s="563"/>
      <c r="D108" s="563"/>
      <c r="E108" s="563"/>
      <c r="F108" s="563"/>
      <c r="G108" s="563"/>
      <c r="H108" s="563"/>
      <c r="I108" s="563"/>
      <c r="J108" s="563"/>
      <c r="K108" s="564"/>
      <c r="L108" s="565"/>
      <c r="M108" s="566"/>
      <c r="N108" s="1249"/>
      <c r="O108" s="1249"/>
      <c r="P108" s="22"/>
      <c r="Q108" s="481"/>
    </row>
    <row r="109" spans="1:17" ht="14.4"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4.4" thickTop="1">
      <c r="A110" s="512"/>
      <c r="B110" s="525">
        <f>B35</f>
        <v>111</v>
      </c>
      <c r="C110" s="533"/>
      <c r="D110" s="533"/>
      <c r="E110" s="533"/>
      <c r="F110" s="533"/>
      <c r="G110" s="567"/>
      <c r="H110" s="567"/>
      <c r="I110" s="567"/>
      <c r="J110" s="567"/>
      <c r="K110" s="568"/>
      <c r="L110" s="569"/>
      <c r="M110" s="570"/>
      <c r="N110" s="1249"/>
      <c r="O110" s="1249"/>
      <c r="P110" s="22"/>
      <c r="Q110" s="481"/>
    </row>
    <row r="111" spans="1:17" ht="14.4" thickBot="1">
      <c r="A111" s="512"/>
      <c r="B111" s="549"/>
      <c r="C111" s="540"/>
      <c r="D111" s="540"/>
      <c r="E111" s="540"/>
      <c r="F111" s="540"/>
      <c r="G111" s="571"/>
      <c r="H111" s="571"/>
      <c r="I111" s="571"/>
      <c r="J111" s="571"/>
      <c r="K111" s="571"/>
      <c r="L111" s="571"/>
      <c r="M111" s="572"/>
      <c r="N111" s="1250"/>
      <c r="O111" s="1250"/>
      <c r="P111" s="22"/>
      <c r="Q111" s="481"/>
    </row>
    <row r="112" spans="1:17" ht="14.4" thickTop="1">
      <c r="A112" s="654"/>
      <c r="B112" s="517">
        <f>B36</f>
        <v>111</v>
      </c>
      <c r="C112" s="500"/>
      <c r="D112" s="500"/>
      <c r="E112" s="500"/>
      <c r="F112" s="500"/>
      <c r="G112" s="563"/>
      <c r="H112" s="563"/>
      <c r="I112" s="563"/>
      <c r="J112" s="563"/>
      <c r="K112" s="564"/>
      <c r="L112" s="565"/>
      <c r="M112" s="566"/>
      <c r="N112" s="1249"/>
      <c r="O112" s="1249"/>
      <c r="P112" s="22"/>
      <c r="Q112" s="481"/>
    </row>
    <row r="113" spans="1:17" ht="14.4" thickBot="1">
      <c r="A113" s="512"/>
      <c r="B113" s="522"/>
      <c r="C113" s="550"/>
      <c r="D113" s="550"/>
      <c r="E113" s="550"/>
      <c r="F113" s="550"/>
      <c r="G113" s="514"/>
      <c r="H113" s="514"/>
      <c r="I113" s="514"/>
      <c r="J113" s="514"/>
      <c r="K113" s="514"/>
      <c r="L113" s="514"/>
      <c r="M113" s="515"/>
      <c r="N113" s="1250"/>
      <c r="O113" s="1250"/>
      <c r="P113" s="22"/>
      <c r="Q113" s="481"/>
    </row>
    <row r="114" spans="1:17" s="448" customFormat="1" ht="14.4"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4.4" thickBot="1">
      <c r="A115" s="532"/>
      <c r="B115" s="525"/>
      <c r="C115" s="489"/>
      <c r="D115" s="656"/>
      <c r="E115" s="656"/>
      <c r="F115" s="656"/>
      <c r="G115" s="656"/>
      <c r="H115" s="656"/>
      <c r="I115" s="656"/>
      <c r="J115" s="656"/>
      <c r="K115" s="656"/>
      <c r="L115" s="656"/>
      <c r="M115" s="679"/>
      <c r="N115" s="1250"/>
      <c r="O115" s="1250"/>
      <c r="P115" s="538"/>
      <c r="Q115" s="539"/>
    </row>
    <row r="116" spans="1:17" ht="14.4">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c r="A117" s="512"/>
      <c r="B117" s="525"/>
      <c r="C117" s="575"/>
      <c r="D117" s="575"/>
      <c r="E117" s="575"/>
      <c r="F117" s="575"/>
      <c r="G117" s="575"/>
      <c r="H117" s="575"/>
      <c r="I117" s="575"/>
      <c r="J117" s="576"/>
      <c r="K117" s="576"/>
      <c r="L117" s="577"/>
      <c r="M117" s="578"/>
      <c r="N117" s="1249"/>
      <c r="O117" s="1249"/>
      <c r="P117" s="22"/>
      <c r="Q117" s="481"/>
    </row>
    <row r="118" spans="1:17" ht="14.4"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4.4"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4.4"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4.4"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4.4"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4.4" thickTop="1">
      <c r="A127" s="579"/>
      <c r="B127" s="517">
        <f>B43</f>
        <v>111</v>
      </c>
      <c r="C127" s="533"/>
      <c r="D127" s="533"/>
      <c r="E127" s="533"/>
      <c r="F127" s="533"/>
      <c r="G127" s="533"/>
      <c r="H127" s="563"/>
      <c r="I127" s="563"/>
      <c r="J127" s="563"/>
      <c r="K127" s="564"/>
      <c r="L127" s="565"/>
      <c r="M127" s="566"/>
      <c r="N127" s="1249"/>
      <c r="O127" s="1249"/>
      <c r="P127" s="22"/>
      <c r="Q127" s="481"/>
    </row>
    <row r="128" spans="1:17" ht="14.4" thickBot="1">
      <c r="A128" s="512"/>
      <c r="B128" s="522"/>
      <c r="C128" s="540"/>
      <c r="D128" s="540"/>
      <c r="E128" s="540"/>
      <c r="F128" s="540"/>
      <c r="G128" s="514"/>
      <c r="H128" s="514"/>
      <c r="I128" s="514"/>
      <c r="J128" s="514"/>
      <c r="K128" s="514"/>
      <c r="L128" s="514"/>
      <c r="M128" s="515"/>
      <c r="N128" s="1250"/>
      <c r="O128" s="1250"/>
      <c r="P128" s="22"/>
      <c r="Q128" s="481"/>
    </row>
    <row r="129" spans="1:17" ht="14.4" thickTop="1">
      <c r="A129" s="579"/>
      <c r="B129" s="517">
        <f>B44</f>
        <v>111</v>
      </c>
      <c r="C129" s="500"/>
      <c r="D129" s="500"/>
      <c r="E129" s="500"/>
      <c r="F129" s="500"/>
      <c r="G129" s="563"/>
      <c r="H129" s="563"/>
      <c r="I129" s="563"/>
      <c r="J129" s="563"/>
      <c r="K129" s="564"/>
      <c r="L129" s="565"/>
      <c r="M129" s="566"/>
      <c r="N129" s="1249"/>
      <c r="O129" s="1249"/>
      <c r="P129" s="22"/>
      <c r="Q129" s="481"/>
    </row>
    <row r="130" spans="1:17" ht="14.4" thickBot="1">
      <c r="A130" s="512"/>
      <c r="B130" s="522"/>
      <c r="C130" s="550"/>
      <c r="D130" s="550"/>
      <c r="E130" s="550"/>
      <c r="F130" s="550"/>
      <c r="G130" s="514"/>
      <c r="H130" s="514"/>
      <c r="I130" s="514"/>
      <c r="J130" s="514"/>
      <c r="K130" s="514"/>
      <c r="L130" s="514"/>
      <c r="M130" s="515"/>
      <c r="N130" s="1250"/>
      <c r="O130" s="1250"/>
      <c r="P130" s="22"/>
      <c r="Q130" s="481"/>
    </row>
    <row r="131" spans="1:17" s="448" customFormat="1" ht="14.4"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4.4"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6" t="s">
        <v>2330</v>
      </c>
      <c r="D4" s="3067"/>
      <c r="E4" s="3068" t="s">
        <v>2331</v>
      </c>
      <c r="F4" s="3069"/>
      <c r="G4" s="3066" t="s">
        <v>2332</v>
      </c>
      <c r="H4" s="3067"/>
      <c r="I4" s="3066" t="s">
        <v>2333</v>
      </c>
      <c r="J4" s="3067"/>
      <c r="K4" s="590" t="s">
        <v>2334</v>
      </c>
      <c r="L4" s="1225"/>
      <c r="M4" s="1226"/>
      <c r="N4" s="1226"/>
      <c r="O4" s="1226"/>
      <c r="P4" s="3120" t="s">
        <v>2335</v>
      </c>
      <c r="Q4" s="3044"/>
      <c r="R4" s="3057" t="s">
        <v>2331</v>
      </c>
      <c r="S4" s="3058"/>
      <c r="T4" s="3057" t="s">
        <v>2332</v>
      </c>
      <c r="U4" s="3058"/>
      <c r="V4" s="3056" t="s">
        <v>2333</v>
      </c>
      <c r="W4" s="3056"/>
      <c r="X4" s="1880"/>
      <c r="Y4" s="3057" t="s">
        <v>2335</v>
      </c>
      <c r="Z4" s="3058"/>
      <c r="AA4" s="3063" t="s">
        <v>2331</v>
      </c>
      <c r="AB4" s="3064" t="s">
        <v>2332</v>
      </c>
      <c r="AC4" s="3063" t="s">
        <v>2333</v>
      </c>
    </row>
    <row r="5" spans="1:29">
      <c r="A5" s="379"/>
      <c r="B5" s="380"/>
      <c r="C5" s="3074" t="s">
        <v>2336</v>
      </c>
      <c r="D5" s="3075"/>
      <c r="E5" s="3123" t="s">
        <v>2337</v>
      </c>
      <c r="F5" s="3077"/>
      <c r="G5" s="3074" t="s">
        <v>2338</v>
      </c>
      <c r="H5" s="3075"/>
      <c r="I5" s="3074" t="s">
        <v>2339</v>
      </c>
      <c r="J5" s="3075"/>
      <c r="K5" s="590"/>
      <c r="L5" s="1225"/>
      <c r="M5" s="1226"/>
      <c r="N5" s="1226"/>
      <c r="O5" s="1226"/>
      <c r="P5" s="3121"/>
      <c r="Q5" s="3045"/>
      <c r="R5" s="3059"/>
      <c r="S5" s="3060"/>
      <c r="T5" s="3059"/>
      <c r="U5" s="3060"/>
      <c r="V5" s="3056"/>
      <c r="W5" s="3056"/>
      <c r="X5" s="1880"/>
      <c r="Y5" s="3059"/>
      <c r="Z5" s="3060"/>
      <c r="AA5" s="3064"/>
      <c r="AB5" s="3064"/>
      <c r="AC5" s="3064"/>
    </row>
    <row r="6" spans="1:29" ht="15" thickBot="1">
      <c r="A6" s="381"/>
      <c r="B6" s="382"/>
      <c r="C6" s="3078" t="s">
        <v>2340</v>
      </c>
      <c r="D6" s="3079"/>
      <c r="E6" s="3080" t="s">
        <v>2340</v>
      </c>
      <c r="F6" s="3081"/>
      <c r="G6" s="3078" t="s">
        <v>2340</v>
      </c>
      <c r="H6" s="3079"/>
      <c r="I6" s="3078" t="s">
        <v>2340</v>
      </c>
      <c r="J6" s="3079"/>
      <c r="K6" s="590" t="s">
        <v>2341</v>
      </c>
      <c r="L6" s="1225"/>
      <c r="M6" s="1226"/>
      <c r="N6" s="1226"/>
      <c r="O6" s="1226"/>
      <c r="P6" s="3122"/>
      <c r="Q6" s="3073"/>
      <c r="R6" s="3059"/>
      <c r="S6" s="3060"/>
      <c r="T6" s="3061"/>
      <c r="U6" s="3062"/>
      <c r="V6" s="3056"/>
      <c r="W6" s="3056"/>
      <c r="X6" s="1880"/>
      <c r="Y6" s="3061"/>
      <c r="Z6" s="3062"/>
      <c r="AA6" s="3065"/>
      <c r="AB6" s="3065"/>
      <c r="AC6" s="3065"/>
    </row>
    <row r="7" spans="1:29" s="34" customFormat="1" ht="1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55" t="s">
        <v>2343</v>
      </c>
      <c r="Q7" s="3053"/>
      <c r="R7" s="741" t="s">
        <v>25</v>
      </c>
      <c r="S7" s="742">
        <f t="shared" ref="S7:S15" si="0">F7</f>
        <v>0</v>
      </c>
      <c r="T7" s="741" t="s">
        <v>25</v>
      </c>
      <c r="U7" s="742">
        <f t="shared" ref="U7:U15" si="1">H7</f>
        <v>0</v>
      </c>
      <c r="V7" s="741" t="s">
        <v>25</v>
      </c>
      <c r="W7" s="742">
        <f t="shared" ref="W7:W15" si="2">J7</f>
        <v>0</v>
      </c>
      <c r="X7" s="743"/>
      <c r="Y7" s="3055" t="s">
        <v>2343</v>
      </c>
      <c r="Z7" s="3054"/>
      <c r="AA7" s="744" t="e">
        <f>D7/F7</f>
        <v>#DIV/0!</v>
      </c>
      <c r="AB7" s="744" t="e">
        <f>D7/H7</f>
        <v>#DIV/0!</v>
      </c>
      <c r="AC7" s="744" t="e">
        <f>D7/J7</f>
        <v>#DIV/0!</v>
      </c>
    </row>
    <row r="8" spans="1:29" s="34" customFormat="1" ht="1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55" t="s">
        <v>2346</v>
      </c>
      <c r="Q8" s="3054"/>
      <c r="R8" s="741" t="s">
        <v>25</v>
      </c>
      <c r="S8" s="742">
        <f t="shared" si="0"/>
        <v>0</v>
      </c>
      <c r="T8" s="741" t="s">
        <v>25</v>
      </c>
      <c r="U8" s="742">
        <f t="shared" si="1"/>
        <v>0</v>
      </c>
      <c r="V8" s="741" t="s">
        <v>25</v>
      </c>
      <c r="W8" s="742">
        <f t="shared" si="2"/>
        <v>0</v>
      </c>
      <c r="X8" s="743"/>
      <c r="Y8" s="3055" t="s">
        <v>2346</v>
      </c>
      <c r="Z8" s="3054"/>
      <c r="AA8" s="744" t="e">
        <f t="shared" ref="AA8:AA40" si="3">D8/F8</f>
        <v>#DIV/0!</v>
      </c>
      <c r="AB8" s="744" t="e">
        <f t="shared" ref="AB8:AB40" si="4">D8/H8</f>
        <v>#DIV/0!</v>
      </c>
      <c r="AC8" s="744" t="e">
        <f t="shared" ref="AC8:AC40" si="5">D8/J8</f>
        <v>#DIV/0!</v>
      </c>
    </row>
    <row r="9" spans="1:29" s="34" customFormat="1" ht="14.4">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40" t="s">
        <v>2349</v>
      </c>
      <c r="Q9" s="1867" t="str">
        <f t="shared" ref="Q9:Q15" si="6">B9</f>
        <v>用途</v>
      </c>
      <c r="R9" s="741" t="s">
        <v>25</v>
      </c>
      <c r="S9" s="742">
        <f t="shared" si="0"/>
        <v>100</v>
      </c>
      <c r="T9" s="741" t="s">
        <v>25</v>
      </c>
      <c r="U9" s="742">
        <f t="shared" si="1"/>
        <v>100</v>
      </c>
      <c r="V9" s="741" t="s">
        <v>25</v>
      </c>
      <c r="W9" s="742">
        <f t="shared" si="2"/>
        <v>100</v>
      </c>
      <c r="X9" s="743"/>
      <c r="Y9" s="2912" t="s">
        <v>2350</v>
      </c>
      <c r="Z9" s="23" t="str">
        <f t="shared" ref="Z9:Z15" si="7">Q9</f>
        <v>用途</v>
      </c>
      <c r="AA9" s="744">
        <f t="shared" si="3"/>
        <v>1</v>
      </c>
      <c r="AB9" s="744">
        <f t="shared" si="4"/>
        <v>1</v>
      </c>
      <c r="AC9" s="744">
        <f t="shared" si="5"/>
        <v>1</v>
      </c>
    </row>
    <row r="10" spans="1:29" s="403" customFormat="1" ht="28.8">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40"/>
      <c r="Q10" s="1867" t="str">
        <f t="shared" si="6"/>
        <v>土地使用年限（年）</v>
      </c>
      <c r="R10" s="741" t="s">
        <v>25</v>
      </c>
      <c r="S10" s="742">
        <f t="shared" si="0"/>
        <v>132</v>
      </c>
      <c r="T10" s="741" t="s">
        <v>25</v>
      </c>
      <c r="U10" s="742">
        <f t="shared" si="1"/>
        <v>132</v>
      </c>
      <c r="V10" s="741" t="s">
        <v>25</v>
      </c>
      <c r="W10" s="742">
        <f t="shared" si="2"/>
        <v>132</v>
      </c>
      <c r="X10" s="743"/>
      <c r="Y10" s="2912"/>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40"/>
      <c r="Q11" s="1867" t="str">
        <f t="shared" si="6"/>
        <v>容积率</v>
      </c>
      <c r="R11" s="741" t="s">
        <v>25</v>
      </c>
      <c r="S11" s="742" t="e">
        <f t="shared" si="0"/>
        <v>#N/A</v>
      </c>
      <c r="T11" s="741" t="s">
        <v>25</v>
      </c>
      <c r="U11" s="742" t="e">
        <f t="shared" si="1"/>
        <v>#N/A</v>
      </c>
      <c r="V11" s="741" t="s">
        <v>25</v>
      </c>
      <c r="W11" s="742" t="e">
        <f t="shared" si="2"/>
        <v>#N/A</v>
      </c>
      <c r="X11" s="743"/>
      <c r="Y11" s="2912"/>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40"/>
      <c r="Q12" s="1867">
        <f t="shared" si="6"/>
        <v>111</v>
      </c>
      <c r="R12" s="741" t="s">
        <v>25</v>
      </c>
      <c r="S12" s="742">
        <f t="shared" si="0"/>
        <v>100</v>
      </c>
      <c r="T12" s="741" t="s">
        <v>25</v>
      </c>
      <c r="U12" s="742">
        <f t="shared" si="1"/>
        <v>100</v>
      </c>
      <c r="V12" s="741" t="s">
        <v>25</v>
      </c>
      <c r="W12" s="742">
        <f t="shared" si="2"/>
        <v>100</v>
      </c>
      <c r="X12" s="743"/>
      <c r="Y12" s="2912"/>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40"/>
      <c r="Q13" s="1867">
        <f t="shared" si="6"/>
        <v>111</v>
      </c>
      <c r="R13" s="741" t="s">
        <v>25</v>
      </c>
      <c r="S13" s="742">
        <f t="shared" si="0"/>
        <v>100</v>
      </c>
      <c r="T13" s="741" t="s">
        <v>25</v>
      </c>
      <c r="U13" s="742">
        <f t="shared" si="1"/>
        <v>100</v>
      </c>
      <c r="V13" s="741" t="s">
        <v>25</v>
      </c>
      <c r="W13" s="742">
        <f t="shared" si="2"/>
        <v>100</v>
      </c>
      <c r="X13" s="743"/>
      <c r="Y13" s="2912"/>
      <c r="Z13" s="23">
        <f t="shared" si="7"/>
        <v>111</v>
      </c>
      <c r="AA13" s="744">
        <f t="shared" si="3"/>
        <v>1</v>
      </c>
      <c r="AB13" s="744">
        <f t="shared" si="4"/>
        <v>1</v>
      </c>
      <c r="AC13" s="744">
        <f t="shared" si="5"/>
        <v>1</v>
      </c>
    </row>
    <row r="14" spans="1:29" ht="15.6"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40"/>
      <c r="Q14" s="1867">
        <f t="shared" si="6"/>
        <v>111</v>
      </c>
      <c r="R14" s="741" t="s">
        <v>25</v>
      </c>
      <c r="S14" s="742">
        <f t="shared" si="0"/>
        <v>100</v>
      </c>
      <c r="T14" s="741" t="s">
        <v>25</v>
      </c>
      <c r="U14" s="742">
        <f t="shared" si="1"/>
        <v>100</v>
      </c>
      <c r="V14" s="741" t="s">
        <v>25</v>
      </c>
      <c r="W14" s="742">
        <f t="shared" si="2"/>
        <v>100</v>
      </c>
      <c r="X14" s="743"/>
      <c r="Y14" s="2912"/>
      <c r="Z14" s="23">
        <f t="shared" si="7"/>
        <v>111</v>
      </c>
      <c r="AA14" s="744">
        <f t="shared" si="3"/>
        <v>1</v>
      </c>
      <c r="AB14" s="744">
        <f t="shared" si="4"/>
        <v>1</v>
      </c>
      <c r="AC14" s="744">
        <f t="shared" si="5"/>
        <v>1</v>
      </c>
    </row>
    <row r="15" spans="1:29" ht="69">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46" t="s">
        <v>2354</v>
      </c>
      <c r="Q15" s="1879" t="str">
        <f t="shared" si="6"/>
        <v>产业集聚程度</v>
      </c>
      <c r="R15" s="745" t="s">
        <v>25</v>
      </c>
      <c r="S15" s="746">
        <f t="shared" si="0"/>
        <v>100</v>
      </c>
      <c r="T15" s="745" t="s">
        <v>25</v>
      </c>
      <c r="U15" s="746">
        <f t="shared" si="1"/>
        <v>100</v>
      </c>
      <c r="V15" s="745" t="s">
        <v>25</v>
      </c>
      <c r="W15" s="746">
        <f t="shared" si="2"/>
        <v>100</v>
      </c>
      <c r="X15" s="1880"/>
      <c r="Y15" s="3046"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47"/>
      <c r="Q16" s="1879"/>
      <c r="R16" s="745"/>
      <c r="S16" s="746"/>
      <c r="T16" s="745"/>
      <c r="U16" s="746"/>
      <c r="V16" s="745"/>
      <c r="W16" s="746"/>
      <c r="X16" s="1880"/>
      <c r="Y16" s="3047"/>
      <c r="Z16" s="1882"/>
      <c r="AA16" s="1883">
        <v>1</v>
      </c>
      <c r="AB16" s="1883">
        <v>1</v>
      </c>
      <c r="AC16" s="1883">
        <v>1</v>
      </c>
    </row>
    <row r="17" spans="1:29" ht="96.6">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47"/>
      <c r="Q17" s="1879" t="str">
        <f>B17</f>
        <v>交通便捷度</v>
      </c>
      <c r="R17" s="745" t="s">
        <v>25</v>
      </c>
      <c r="S17" s="746">
        <f>F17</f>
        <v>100</v>
      </c>
      <c r="T17" s="745" t="s">
        <v>25</v>
      </c>
      <c r="U17" s="746">
        <f>H17</f>
        <v>100</v>
      </c>
      <c r="V17" s="745" t="s">
        <v>25</v>
      </c>
      <c r="W17" s="746">
        <f>J17</f>
        <v>100</v>
      </c>
      <c r="X17" s="1880"/>
      <c r="Y17" s="3047"/>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47"/>
      <c r="Q18" s="1879"/>
      <c r="R18" s="745"/>
      <c r="S18" s="746"/>
      <c r="T18" s="745"/>
      <c r="U18" s="746"/>
      <c r="V18" s="745"/>
      <c r="W18" s="746"/>
      <c r="X18" s="1880"/>
      <c r="Y18" s="3047"/>
      <c r="Z18" s="1882"/>
      <c r="AA18" s="1883">
        <v>1</v>
      </c>
      <c r="AB18" s="1883">
        <v>1</v>
      </c>
      <c r="AC18" s="1883">
        <v>1</v>
      </c>
    </row>
    <row r="19" spans="1:29" ht="28.8">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47"/>
      <c r="Q19" s="1879" t="str">
        <f t="shared" ref="Q19:Q33" si="8">B19</f>
        <v>区域土地利用方向</v>
      </c>
      <c r="R19" s="745" t="s">
        <v>25</v>
      </c>
      <c r="S19" s="746">
        <f>F19</f>
        <v>100</v>
      </c>
      <c r="T19" s="745" t="s">
        <v>25</v>
      </c>
      <c r="U19" s="746">
        <f>H19</f>
        <v>100</v>
      </c>
      <c r="V19" s="745" t="s">
        <v>25</v>
      </c>
      <c r="W19" s="746">
        <f>J19</f>
        <v>100</v>
      </c>
      <c r="X19" s="1880"/>
      <c r="Y19" s="3047"/>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47"/>
      <c r="Q20" s="1879"/>
      <c r="R20" s="745"/>
      <c r="S20" s="746"/>
      <c r="T20" s="745"/>
      <c r="U20" s="746"/>
      <c r="V20" s="745"/>
      <c r="W20" s="746"/>
      <c r="X20" s="1880"/>
      <c r="Y20" s="3047"/>
      <c r="Z20" s="1882"/>
      <c r="AA20" s="1883"/>
      <c r="AB20" s="1883"/>
      <c r="AC20" s="1883"/>
    </row>
    <row r="21" spans="1:29" ht="82.8">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47"/>
      <c r="Q21" s="1879" t="str">
        <f t="shared" si="8"/>
        <v>环境状况</v>
      </c>
      <c r="R21" s="745" t="s">
        <v>25</v>
      </c>
      <c r="S21" s="746">
        <f>F21</f>
        <v>100</v>
      </c>
      <c r="T21" s="745" t="s">
        <v>25</v>
      </c>
      <c r="U21" s="746">
        <f>H21</f>
        <v>100</v>
      </c>
      <c r="V21" s="745" t="s">
        <v>25</v>
      </c>
      <c r="W21" s="746">
        <f>J21</f>
        <v>100</v>
      </c>
      <c r="X21" s="1880"/>
      <c r="Y21" s="3047"/>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47"/>
      <c r="Q22" s="1879"/>
      <c r="R22" s="745"/>
      <c r="S22" s="746"/>
      <c r="T22" s="745"/>
      <c r="U22" s="746"/>
      <c r="V22" s="745"/>
      <c r="W22" s="746"/>
      <c r="X22" s="1880"/>
      <c r="Y22" s="3047"/>
      <c r="Z22" s="1882"/>
      <c r="AA22" s="1883">
        <v>1</v>
      </c>
      <c r="AB22" s="1883">
        <v>1</v>
      </c>
      <c r="AC22" s="1883">
        <v>1</v>
      </c>
    </row>
    <row r="23" spans="1:29" s="34" customFormat="1" ht="41.4">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47"/>
      <c r="Q23" s="1867" t="str">
        <f t="shared" si="8"/>
        <v>公共配套设施</v>
      </c>
      <c r="R23" s="741" t="s">
        <v>25</v>
      </c>
      <c r="S23" s="742">
        <f>F23</f>
        <v>100</v>
      </c>
      <c r="T23" s="741" t="s">
        <v>25</v>
      </c>
      <c r="U23" s="742">
        <f>H23</f>
        <v>100</v>
      </c>
      <c r="V23" s="741" t="s">
        <v>25</v>
      </c>
      <c r="W23" s="742">
        <f>J23</f>
        <v>100</v>
      </c>
      <c r="X23" s="743"/>
      <c r="Y23" s="3047"/>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47"/>
      <c r="Q24" s="1867"/>
      <c r="R24" s="741"/>
      <c r="S24" s="742"/>
      <c r="T24" s="741"/>
      <c r="U24" s="742"/>
      <c r="V24" s="741"/>
      <c r="W24" s="742"/>
      <c r="X24" s="743"/>
      <c r="Y24" s="3047"/>
      <c r="Z24" s="23"/>
      <c r="AA24" s="744">
        <v>1</v>
      </c>
      <c r="AB24" s="744">
        <v>1</v>
      </c>
      <c r="AC24" s="744">
        <v>1</v>
      </c>
    </row>
    <row r="25" spans="1:29" s="34" customFormat="1" ht="41.4">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47"/>
      <c r="Q25" s="1867" t="str">
        <f t="shared" ref="Q25" si="9">B25</f>
        <v>基础设施水平</v>
      </c>
      <c r="R25" s="741" t="s">
        <v>25</v>
      </c>
      <c r="S25" s="742">
        <f>F25</f>
        <v>100</v>
      </c>
      <c r="T25" s="741" t="s">
        <v>25</v>
      </c>
      <c r="U25" s="742">
        <f>H25</f>
        <v>100</v>
      </c>
      <c r="V25" s="741" t="s">
        <v>25</v>
      </c>
      <c r="W25" s="742">
        <f>J25</f>
        <v>100</v>
      </c>
      <c r="X25" s="743"/>
      <c r="Y25" s="3047"/>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47"/>
      <c r="Q26" s="1867"/>
      <c r="R26" s="741"/>
      <c r="S26" s="742"/>
      <c r="T26" s="741"/>
      <c r="U26" s="742"/>
      <c r="V26" s="741"/>
      <c r="W26" s="742"/>
      <c r="X26" s="743"/>
      <c r="Y26" s="3047"/>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47"/>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47"/>
      <c r="Z27" s="1882" t="str">
        <f t="shared" ref="Z27:Z40" si="13">Q27</f>
        <v>临街状况</v>
      </c>
      <c r="AA27" s="1883">
        <f t="shared" si="3"/>
        <v>1</v>
      </c>
      <c r="AB27" s="1883">
        <f t="shared" si="4"/>
        <v>1</v>
      </c>
      <c r="AC27" s="1883">
        <f t="shared" si="5"/>
        <v>1</v>
      </c>
    </row>
    <row r="28" spans="1:29" ht="28.8">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47"/>
      <c r="Q28" s="1879" t="str">
        <f t="shared" si="8"/>
        <v>毗邻道路的类型与等级</v>
      </c>
      <c r="R28" s="745" t="s">
        <v>25</v>
      </c>
      <c r="S28" s="746">
        <f t="shared" si="10"/>
        <v>100</v>
      </c>
      <c r="T28" s="745" t="s">
        <v>25</v>
      </c>
      <c r="U28" s="746">
        <f t="shared" si="11"/>
        <v>100</v>
      </c>
      <c r="V28" s="745" t="s">
        <v>25</v>
      </c>
      <c r="W28" s="746">
        <f t="shared" si="12"/>
        <v>100</v>
      </c>
      <c r="X28" s="1880"/>
      <c r="Y28" s="3047"/>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47"/>
      <c r="Q29" s="1879"/>
      <c r="R29" s="745"/>
      <c r="S29" s="746"/>
      <c r="T29" s="745"/>
      <c r="U29" s="746"/>
      <c r="V29" s="745"/>
      <c r="W29" s="746"/>
      <c r="X29" s="1880"/>
      <c r="Y29" s="3047"/>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47"/>
      <c r="Q30" s="1879" t="str">
        <f t="shared" si="8"/>
        <v>土地级别</v>
      </c>
      <c r="R30" s="745" t="s">
        <v>25</v>
      </c>
      <c r="S30" s="746">
        <f t="shared" si="10"/>
        <v>100</v>
      </c>
      <c r="T30" s="745" t="s">
        <v>25</v>
      </c>
      <c r="U30" s="746">
        <f t="shared" si="11"/>
        <v>100</v>
      </c>
      <c r="V30" s="745" t="s">
        <v>25</v>
      </c>
      <c r="W30" s="746">
        <f t="shared" si="12"/>
        <v>100</v>
      </c>
      <c r="X30" s="1880"/>
      <c r="Y30" s="3047"/>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47"/>
      <c r="Q31" s="1879">
        <f t="shared" si="8"/>
        <v>111</v>
      </c>
      <c r="R31" s="745" t="s">
        <v>25</v>
      </c>
      <c r="S31" s="746">
        <f t="shared" si="10"/>
        <v>100</v>
      </c>
      <c r="T31" s="745" t="s">
        <v>25</v>
      </c>
      <c r="U31" s="746">
        <f t="shared" si="11"/>
        <v>100</v>
      </c>
      <c r="V31" s="745" t="s">
        <v>25</v>
      </c>
      <c r="W31" s="746">
        <f t="shared" si="12"/>
        <v>100</v>
      </c>
      <c r="X31" s="1880"/>
      <c r="Y31" s="3047"/>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4" t="s">
        <v>2360</v>
      </c>
      <c r="Q32" s="1879">
        <f t="shared" si="8"/>
        <v>111</v>
      </c>
      <c r="R32" s="745" t="s">
        <v>25</v>
      </c>
      <c r="S32" s="746">
        <f t="shared" si="10"/>
        <v>100</v>
      </c>
      <c r="T32" s="745" t="s">
        <v>25</v>
      </c>
      <c r="U32" s="746">
        <f t="shared" si="11"/>
        <v>100</v>
      </c>
      <c r="V32" s="745" t="s">
        <v>25</v>
      </c>
      <c r="W32" s="746">
        <f t="shared" si="12"/>
        <v>100</v>
      </c>
      <c r="X32" s="1880"/>
      <c r="Y32" s="3051" t="s">
        <v>2360</v>
      </c>
      <c r="Z32" s="1882">
        <f t="shared" si="13"/>
        <v>111</v>
      </c>
      <c r="AA32" s="1883">
        <f t="shared" si="3"/>
        <v>1</v>
      </c>
      <c r="AB32" s="1883">
        <f t="shared" si="4"/>
        <v>1</v>
      </c>
      <c r="AC32" s="1883">
        <f t="shared" si="5"/>
        <v>1</v>
      </c>
    </row>
    <row r="33" spans="1:29" s="448" customFormat="1" ht="15.6"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51"/>
      <c r="Q33" s="1879">
        <f t="shared" si="8"/>
        <v>111</v>
      </c>
      <c r="R33" s="748" t="s">
        <v>25</v>
      </c>
      <c r="S33" s="749">
        <f t="shared" si="10"/>
        <v>100</v>
      </c>
      <c r="T33" s="748" t="s">
        <v>25</v>
      </c>
      <c r="U33" s="749">
        <f t="shared" si="11"/>
        <v>100</v>
      </c>
      <c r="V33" s="748" t="s">
        <v>25</v>
      </c>
      <c r="W33" s="749">
        <f t="shared" si="12"/>
        <v>100</v>
      </c>
      <c r="X33" s="750"/>
      <c r="Y33" s="3051"/>
      <c r="Z33" s="751">
        <f t="shared" si="13"/>
        <v>111</v>
      </c>
      <c r="AA33" s="1883">
        <f t="shared" si="3"/>
        <v>1</v>
      </c>
      <c r="AB33" s="1883">
        <f t="shared" si="4"/>
        <v>1</v>
      </c>
      <c r="AC33" s="1883">
        <f t="shared" si="5"/>
        <v>1</v>
      </c>
    </row>
    <row r="34" spans="1:29" ht="15.6">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51"/>
      <c r="Q34" s="1879" t="str">
        <f>B34</f>
        <v>宗地面积</v>
      </c>
      <c r="R34" s="745" t="s">
        <v>25</v>
      </c>
      <c r="S34" s="746" t="e">
        <f t="shared" si="10"/>
        <v>#N/A</v>
      </c>
      <c r="T34" s="745" t="s">
        <v>25</v>
      </c>
      <c r="U34" s="746" t="e">
        <f t="shared" si="11"/>
        <v>#N/A</v>
      </c>
      <c r="V34" s="745" t="s">
        <v>25</v>
      </c>
      <c r="W34" s="746" t="e">
        <f t="shared" si="12"/>
        <v>#N/A</v>
      </c>
      <c r="X34" s="1880"/>
      <c r="Y34" s="3051"/>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51"/>
      <c r="Q35" s="1879" t="str">
        <f t="shared" ref="Q35:Q40" si="14">B35</f>
        <v>宗地形状</v>
      </c>
      <c r="R35" s="745" t="s">
        <v>25</v>
      </c>
      <c r="S35" s="746">
        <f t="shared" si="10"/>
        <v>100</v>
      </c>
      <c r="T35" s="745" t="s">
        <v>25</v>
      </c>
      <c r="U35" s="746">
        <f t="shared" si="11"/>
        <v>100</v>
      </c>
      <c r="V35" s="745" t="s">
        <v>25</v>
      </c>
      <c r="W35" s="746">
        <f t="shared" si="12"/>
        <v>100</v>
      </c>
      <c r="X35" s="1880"/>
      <c r="Y35" s="3051"/>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51"/>
      <c r="Q36" s="1879" t="str">
        <f t="shared" si="14"/>
        <v>宗地开发程度</v>
      </c>
      <c r="R36" s="741" t="s">
        <v>25</v>
      </c>
      <c r="S36" s="742">
        <f t="shared" si="10"/>
        <v>100</v>
      </c>
      <c r="T36" s="741" t="s">
        <v>25</v>
      </c>
      <c r="U36" s="742">
        <f t="shared" si="11"/>
        <v>100</v>
      </c>
      <c r="V36" s="741" t="s">
        <v>25</v>
      </c>
      <c r="W36" s="742">
        <f t="shared" si="12"/>
        <v>100</v>
      </c>
      <c r="X36" s="743"/>
      <c r="Y36" s="3051"/>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51" t="s">
        <v>2360</v>
      </c>
      <c r="Q37" s="1879" t="str">
        <f t="shared" si="14"/>
        <v>工程地质条件</v>
      </c>
      <c r="R37" s="745" t="s">
        <v>25</v>
      </c>
      <c r="S37" s="746">
        <f t="shared" si="10"/>
        <v>100</v>
      </c>
      <c r="T37" s="745" t="s">
        <v>25</v>
      </c>
      <c r="U37" s="746">
        <f t="shared" si="11"/>
        <v>100</v>
      </c>
      <c r="V37" s="745" t="s">
        <v>25</v>
      </c>
      <c r="W37" s="746">
        <f t="shared" si="12"/>
        <v>100</v>
      </c>
      <c r="X37" s="1880"/>
      <c r="Y37" s="3051"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51"/>
      <c r="Q38" s="1879">
        <f t="shared" si="14"/>
        <v>111</v>
      </c>
      <c r="R38" s="745" t="s">
        <v>25</v>
      </c>
      <c r="S38" s="746">
        <f t="shared" si="10"/>
        <v>100</v>
      </c>
      <c r="T38" s="745" t="s">
        <v>25</v>
      </c>
      <c r="U38" s="746">
        <f t="shared" si="11"/>
        <v>100</v>
      </c>
      <c r="V38" s="745" t="s">
        <v>25</v>
      </c>
      <c r="W38" s="746">
        <f t="shared" si="12"/>
        <v>100</v>
      </c>
      <c r="X38" s="1880"/>
      <c r="Y38" s="3051"/>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51"/>
      <c r="Q39" s="1879">
        <f t="shared" si="14"/>
        <v>111</v>
      </c>
      <c r="R39" s="745" t="s">
        <v>25</v>
      </c>
      <c r="S39" s="746">
        <f t="shared" si="10"/>
        <v>100</v>
      </c>
      <c r="T39" s="745" t="s">
        <v>25</v>
      </c>
      <c r="U39" s="746">
        <f t="shared" si="11"/>
        <v>100</v>
      </c>
      <c r="V39" s="745" t="s">
        <v>25</v>
      </c>
      <c r="W39" s="746">
        <f t="shared" si="12"/>
        <v>100</v>
      </c>
      <c r="X39" s="1880"/>
      <c r="Y39" s="3051"/>
      <c r="Z39" s="1882">
        <f t="shared" si="13"/>
        <v>111</v>
      </c>
      <c r="AA39" s="1883">
        <f t="shared" si="3"/>
        <v>1</v>
      </c>
      <c r="AB39" s="1883">
        <f t="shared" si="4"/>
        <v>1</v>
      </c>
      <c r="AC39" s="1883">
        <f t="shared" si="5"/>
        <v>1</v>
      </c>
    </row>
    <row r="40" spans="1:29" s="448" customFormat="1" ht="15.6"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51"/>
      <c r="Q40" s="1879">
        <f t="shared" si="14"/>
        <v>111</v>
      </c>
      <c r="R40" s="748" t="s">
        <v>25</v>
      </c>
      <c r="S40" s="749">
        <f t="shared" si="10"/>
        <v>100</v>
      </c>
      <c r="T40" s="748" t="s">
        <v>25</v>
      </c>
      <c r="U40" s="749">
        <f t="shared" si="11"/>
        <v>100</v>
      </c>
      <c r="V40" s="748" t="s">
        <v>25</v>
      </c>
      <c r="W40" s="749">
        <f t="shared" si="12"/>
        <v>100</v>
      </c>
      <c r="X40" s="750"/>
      <c r="Y40" s="3051"/>
      <c r="Z40" s="751">
        <f t="shared" si="13"/>
        <v>111</v>
      </c>
      <c r="AA40" s="1883">
        <f t="shared" si="3"/>
        <v>1</v>
      </c>
      <c r="AB40" s="1883">
        <f t="shared" si="4"/>
        <v>1</v>
      </c>
      <c r="AC40" s="1883">
        <f t="shared" si="5"/>
        <v>1</v>
      </c>
    </row>
    <row r="41" spans="1:29" ht="14.4">
      <c r="A41" s="456" t="s">
        <v>2508</v>
      </c>
      <c r="B41" s="2468" t="s">
        <v>2583</v>
      </c>
      <c r="C41" s="661" t="s">
        <v>1</v>
      </c>
      <c r="D41" s="458"/>
      <c r="E41" s="459"/>
      <c r="F41" s="460"/>
      <c r="G41" s="461"/>
      <c r="H41" s="462"/>
      <c r="I41" s="459"/>
      <c r="J41" s="462"/>
      <c r="K41" s="754"/>
      <c r="L41" s="1238"/>
      <c r="M41" s="1226"/>
      <c r="N41" s="1226"/>
      <c r="O41" s="1239"/>
      <c r="P41" s="3040" t="str">
        <f>A41</f>
        <v>成交单价</v>
      </c>
      <c r="Q41" s="3040"/>
      <c r="R41" s="3056">
        <f>E41</f>
        <v>0</v>
      </c>
      <c r="S41" s="3056"/>
      <c r="T41" s="3056">
        <f>G41</f>
        <v>0</v>
      </c>
      <c r="U41" s="3056"/>
      <c r="V41" s="3056">
        <f>I41</f>
        <v>0</v>
      </c>
      <c r="W41" s="3056"/>
      <c r="X41" s="730"/>
      <c r="Y41" s="752"/>
      <c r="Z41" s="730"/>
      <c r="AA41" s="730"/>
      <c r="AB41" s="730"/>
      <c r="AC41" s="730"/>
    </row>
    <row r="42" spans="1:29" ht="1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40" t="str">
        <f>A42</f>
        <v>比较价值（元/平方米）</v>
      </c>
      <c r="Q42" s="3040"/>
      <c r="R42" s="3125" t="e">
        <f>ROUND(PRODUCT(R41,AA7:AA40),0)</f>
        <v>#DIV/0!</v>
      </c>
      <c r="S42" s="3125"/>
      <c r="T42" s="3125" t="e">
        <f>ROUND(PRODUCT(T41,AB7:AB40),0)</f>
        <v>#DIV/0!</v>
      </c>
      <c r="U42" s="3125"/>
      <c r="V42" s="3125" t="e">
        <f>ROUND(PRODUCT(V41,AC7:AC40),0)</f>
        <v>#DIV/0!</v>
      </c>
      <c r="W42" s="3125"/>
      <c r="X42" s="730"/>
      <c r="Y42" s="730"/>
      <c r="Z42" s="730"/>
      <c r="AA42" s="730"/>
      <c r="AB42" s="730"/>
      <c r="AC42" s="730"/>
    </row>
    <row r="43" spans="1:29" ht="15" thickBot="1">
      <c r="A43" s="469" t="s">
        <v>2478</v>
      </c>
      <c r="B43" s="470"/>
      <c r="C43" s="471" t="e">
        <f>R43</f>
        <v>#DIV/0!</v>
      </c>
      <c r="D43" s="471"/>
      <c r="E43" s="471"/>
      <c r="F43" s="471"/>
      <c r="G43" s="471"/>
      <c r="H43" s="471"/>
      <c r="I43" s="471"/>
      <c r="J43" s="471"/>
      <c r="K43" s="756"/>
      <c r="L43" s="1238"/>
      <c r="M43" s="1226"/>
      <c r="N43" s="1226"/>
      <c r="O43" s="1239"/>
      <c r="P43" s="3113" t="str">
        <f>A43</f>
        <v>估价对象XX用房的比较价值（楼面单价，元/平方米）</v>
      </c>
      <c r="Q43" s="3039"/>
      <c r="R43" s="3126" t="e">
        <f>ROUND(AVERAGE(R42:V42),0)</f>
        <v>#DIV/0!</v>
      </c>
      <c r="S43" s="3126"/>
      <c r="T43" s="3126"/>
      <c r="U43" s="3126"/>
      <c r="V43" s="3126"/>
      <c r="W43" s="3126"/>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4.4" thickBot="1">
      <c r="A49" s="1241"/>
      <c r="B49" s="1242"/>
      <c r="C49" s="1247"/>
      <c r="D49" s="1241"/>
      <c r="E49" s="1241"/>
      <c r="F49" s="1241"/>
      <c r="G49" s="1241"/>
      <c r="H49" s="1241"/>
      <c r="I49" s="1241"/>
      <c r="J49" s="1241"/>
      <c r="K49" s="1245"/>
      <c r="L49" s="1246"/>
      <c r="M49" s="1241"/>
      <c r="N49" s="1241"/>
      <c r="O49" s="1241"/>
    </row>
    <row r="50" spans="1:17" ht="28.8">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4.4"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2.2" thickBot="1">
      <c r="A64" s="734" t="s">
        <v>2460</v>
      </c>
      <c r="B64" s="730"/>
      <c r="C64" s="735"/>
      <c r="D64" s="735"/>
      <c r="E64" s="735"/>
      <c r="F64" s="736"/>
      <c r="G64" s="736"/>
      <c r="H64" s="735"/>
      <c r="I64" s="1255"/>
      <c r="J64" s="1255"/>
      <c r="K64" s="1253"/>
      <c r="L64" s="1254"/>
      <c r="M64" s="1255"/>
      <c r="N64" s="1255"/>
      <c r="O64" s="1255"/>
      <c r="P64" s="480"/>
      <c r="Q64" s="481"/>
    </row>
    <row r="65" spans="1:17" s="485" customFormat="1" ht="14.4">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 thickBot="1">
      <c r="A67" s="492" t="s">
        <v>2380</v>
      </c>
      <c r="B67" s="493"/>
      <c r="C67" s="494"/>
      <c r="D67" s="495"/>
      <c r="E67" s="495"/>
      <c r="F67" s="495"/>
      <c r="G67" s="495"/>
      <c r="H67" s="495"/>
      <c r="I67" s="495"/>
      <c r="J67" s="495"/>
      <c r="K67" s="495"/>
      <c r="L67" s="495"/>
      <c r="M67" s="496"/>
      <c r="N67" s="495"/>
      <c r="O67" s="1658"/>
      <c r="P67" s="481"/>
      <c r="Q67" s="481"/>
    </row>
    <row r="68" spans="1:17" s="34" customFormat="1" ht="14.4">
      <c r="A68" s="498" t="s">
        <v>2344</v>
      </c>
      <c r="B68" s="487"/>
      <c r="C68" s="499" t="s">
        <v>2345</v>
      </c>
      <c r="D68" s="500"/>
      <c r="E68" s="500"/>
      <c r="F68" s="500"/>
      <c r="G68" s="500"/>
      <c r="H68" s="500"/>
      <c r="I68" s="500"/>
      <c r="J68" s="500"/>
      <c r="K68" s="500"/>
      <c r="L68" s="501"/>
      <c r="M68" s="502"/>
      <c r="N68" s="1248"/>
      <c r="O68" s="1248"/>
      <c r="P68" s="503"/>
      <c r="Q68" s="481"/>
    </row>
    <row r="69" spans="1:17" s="34" customFormat="1" ht="14.4" thickBot="1">
      <c r="A69" s="498"/>
      <c r="B69" s="487"/>
      <c r="C69" s="619">
        <v>100</v>
      </c>
      <c r="D69" s="489"/>
      <c r="E69" s="489"/>
      <c r="F69" s="489"/>
      <c r="G69" s="489"/>
      <c r="H69" s="489"/>
      <c r="I69" s="489"/>
      <c r="J69" s="489"/>
      <c r="K69" s="489"/>
      <c r="L69" s="489"/>
      <c r="M69" s="491"/>
      <c r="N69" s="1248"/>
      <c r="O69" s="1248"/>
      <c r="P69" s="481"/>
      <c r="Q69" s="481"/>
    </row>
    <row r="70" spans="1:17" ht="14.4">
      <c r="A70" s="504" t="s">
        <v>2383</v>
      </c>
      <c r="B70" s="505" t="s">
        <v>2348</v>
      </c>
      <c r="C70" s="507"/>
      <c r="D70" s="507"/>
      <c r="E70" s="507"/>
      <c r="F70" s="507"/>
      <c r="G70" s="507"/>
      <c r="H70" s="507"/>
      <c r="I70" s="507"/>
      <c r="J70" s="507"/>
      <c r="K70" s="508"/>
      <c r="L70" s="509"/>
      <c r="M70" s="510"/>
      <c r="N70" s="1249"/>
      <c r="O70" s="1249"/>
      <c r="P70" s="22"/>
      <c r="Q70" s="481"/>
    </row>
    <row r="71" spans="1:17" ht="14.4" thickBot="1">
      <c r="A71" s="512"/>
      <c r="B71" s="513"/>
      <c r="C71" s="514"/>
      <c r="D71" s="514"/>
      <c r="E71" s="514"/>
      <c r="F71" s="514"/>
      <c r="G71" s="514"/>
      <c r="H71" s="514"/>
      <c r="I71" s="514"/>
      <c r="J71" s="514"/>
      <c r="K71" s="514"/>
      <c r="L71" s="514"/>
      <c r="M71" s="515"/>
      <c r="N71" s="1250"/>
      <c r="O71" s="1250"/>
      <c r="P71" s="22"/>
      <c r="Q71" s="481"/>
    </row>
    <row r="72" spans="1:17" ht="29.4" thickTop="1">
      <c r="A72" s="512"/>
      <c r="B72" s="517" t="s">
        <v>2351</v>
      </c>
      <c r="C72" s="518"/>
      <c r="D72" s="518"/>
      <c r="E72" s="518"/>
      <c r="F72" s="518"/>
      <c r="G72" s="518"/>
      <c r="H72" s="518"/>
      <c r="I72" s="518"/>
      <c r="J72" s="518"/>
      <c r="K72" s="519"/>
      <c r="L72" s="520"/>
      <c r="M72" s="521"/>
      <c r="N72" s="1249"/>
      <c r="O72" s="1249"/>
      <c r="P72" s="22"/>
      <c r="Q72" s="481"/>
    </row>
    <row r="73" spans="1:17" ht="14.4" thickBot="1">
      <c r="A73" s="512"/>
      <c r="B73" s="522"/>
      <c r="C73" s="523"/>
      <c r="D73" s="523"/>
      <c r="E73" s="523"/>
      <c r="F73" s="523"/>
      <c r="G73" s="523"/>
      <c r="H73" s="523"/>
      <c r="I73" s="523"/>
      <c r="J73" s="523"/>
      <c r="K73" s="523"/>
      <c r="L73" s="523"/>
      <c r="M73" s="524"/>
      <c r="N73" s="1250"/>
      <c r="O73" s="1250"/>
      <c r="P73" s="22"/>
      <c r="Q73" s="481"/>
    </row>
    <row r="74" spans="1:17" ht="1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c r="A75" s="512"/>
      <c r="B75" s="527"/>
      <c r="C75" s="528"/>
      <c r="D75" s="528"/>
      <c r="E75" s="528"/>
      <c r="F75" s="528"/>
      <c r="G75" s="528"/>
      <c r="H75" s="528"/>
      <c r="I75" s="528"/>
      <c r="J75" s="528"/>
      <c r="K75" s="529"/>
      <c r="L75" s="530"/>
      <c r="M75" s="531"/>
      <c r="N75" s="1249"/>
      <c r="O75" s="1249"/>
      <c r="P75" s="22"/>
      <c r="Q75" s="481"/>
    </row>
    <row r="76" spans="1:17" ht="14.4"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4.4" thickTop="1">
      <c r="A77" s="532"/>
      <c r="B77" s="517">
        <f>B12</f>
        <v>111</v>
      </c>
      <c r="C77" s="533"/>
      <c r="D77" s="533"/>
      <c r="E77" s="533"/>
      <c r="F77" s="533"/>
      <c r="G77" s="533"/>
      <c r="H77" s="534"/>
      <c r="I77" s="534"/>
      <c r="J77" s="534"/>
      <c r="K77" s="534"/>
      <c r="L77" s="535"/>
      <c r="M77" s="536"/>
      <c r="N77" s="1251"/>
      <c r="O77" s="1251"/>
      <c r="P77" s="538"/>
      <c r="Q77" s="539"/>
    </row>
    <row r="78" spans="1:17" s="448" customFormat="1" ht="14.4" thickBot="1">
      <c r="A78" s="532"/>
      <c r="B78" s="522"/>
      <c r="C78" s="540"/>
      <c r="D78" s="514"/>
      <c r="E78" s="514"/>
      <c r="F78" s="514"/>
      <c r="G78" s="514"/>
      <c r="H78" s="514"/>
      <c r="I78" s="514"/>
      <c r="J78" s="514"/>
      <c r="K78" s="514"/>
      <c r="L78" s="514"/>
      <c r="M78" s="515"/>
      <c r="N78" s="1250"/>
      <c r="O78" s="1250"/>
      <c r="P78" s="538"/>
      <c r="Q78" s="539"/>
    </row>
    <row r="79" spans="1:17" s="448" customFormat="1" ht="14.4" thickTop="1">
      <c r="A79" s="532"/>
      <c r="B79" s="517">
        <f>B13</f>
        <v>111</v>
      </c>
      <c r="C79" s="533"/>
      <c r="D79" s="533"/>
      <c r="E79" s="533"/>
      <c r="F79" s="533"/>
      <c r="G79" s="533"/>
      <c r="H79" s="534"/>
      <c r="I79" s="534"/>
      <c r="J79" s="534"/>
      <c r="K79" s="534"/>
      <c r="L79" s="535"/>
      <c r="M79" s="536"/>
      <c r="N79" s="1251"/>
      <c r="O79" s="1251"/>
      <c r="P79" s="447"/>
      <c r="Q79" s="541"/>
    </row>
    <row r="80" spans="1:17" s="448" customFormat="1" ht="14.4" thickBot="1">
      <c r="A80" s="532"/>
      <c r="B80" s="522"/>
      <c r="C80" s="540"/>
      <c r="D80" s="540"/>
      <c r="E80" s="540"/>
      <c r="F80" s="540"/>
      <c r="G80" s="540"/>
      <c r="H80" s="542"/>
      <c r="I80" s="542"/>
      <c r="J80" s="542"/>
      <c r="K80" s="542"/>
      <c r="L80" s="542"/>
      <c r="M80" s="543"/>
      <c r="N80" s="1251"/>
      <c r="O80" s="1251"/>
      <c r="P80" s="538"/>
      <c r="Q80" s="539"/>
    </row>
    <row r="81" spans="1:17" s="448" customFormat="1" ht="14.4" thickTop="1">
      <c r="A81" s="532"/>
      <c r="B81" s="525">
        <f>B14</f>
        <v>111</v>
      </c>
      <c r="C81" s="500"/>
      <c r="D81" s="500"/>
      <c r="E81" s="500"/>
      <c r="F81" s="500"/>
      <c r="G81" s="500"/>
      <c r="H81" s="544"/>
      <c r="I81" s="544"/>
      <c r="J81" s="544"/>
      <c r="K81" s="544"/>
      <c r="L81" s="545"/>
      <c r="M81" s="546"/>
      <c r="N81" s="1251"/>
      <c r="O81" s="1251"/>
      <c r="P81" s="547"/>
      <c r="Q81" s="539"/>
    </row>
    <row r="82" spans="1:17" s="448" customFormat="1" ht="14.4" thickBot="1">
      <c r="A82" s="548"/>
      <c r="B82" s="549"/>
      <c r="C82" s="550"/>
      <c r="D82" s="550"/>
      <c r="E82" s="550"/>
      <c r="F82" s="550"/>
      <c r="G82" s="550"/>
      <c r="H82" s="551"/>
      <c r="I82" s="551"/>
      <c r="J82" s="551"/>
      <c r="K82" s="551"/>
      <c r="L82" s="551"/>
      <c r="M82" s="552"/>
      <c r="N82" s="1251"/>
      <c r="O82" s="1251"/>
      <c r="P82" s="538"/>
      <c r="Q82" s="539"/>
    </row>
    <row r="83" spans="1:17" ht="14.4">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4.4"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29.4"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4.4"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9.4"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4.4"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4.4"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4.4"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4.4"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9.4" thickTop="1">
      <c r="A97" s="512"/>
      <c r="B97" s="517" t="s">
        <v>2472</v>
      </c>
      <c r="C97" s="533"/>
      <c r="D97" s="533"/>
      <c r="E97" s="533"/>
      <c r="F97" s="533"/>
      <c r="G97" s="533"/>
      <c r="H97" s="563"/>
      <c r="I97" s="563"/>
      <c r="J97" s="563"/>
      <c r="K97" s="564"/>
      <c r="L97" s="565"/>
      <c r="M97" s="566"/>
      <c r="N97" s="1249"/>
      <c r="O97" s="1249"/>
      <c r="P97" s="22"/>
      <c r="Q97" s="481"/>
    </row>
    <row r="98" spans="1:17" ht="14.4"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 thickTop="1">
      <c r="A99" s="512"/>
      <c r="B99" s="517" t="s">
        <v>2539</v>
      </c>
      <c r="C99" s="563"/>
      <c r="D99" s="563"/>
      <c r="E99" s="563"/>
      <c r="F99" s="563"/>
      <c r="G99" s="563"/>
      <c r="H99" s="563"/>
      <c r="I99" s="563"/>
      <c r="J99" s="563"/>
      <c r="K99" s="564"/>
      <c r="L99" s="565"/>
      <c r="M99" s="566"/>
      <c r="N99" s="1249"/>
      <c r="O99" s="1249"/>
      <c r="P99" s="22"/>
      <c r="Q99" s="481"/>
    </row>
    <row r="100" spans="1:17" ht="14.4"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4.4" thickTop="1">
      <c r="A101" s="512"/>
      <c r="B101" s="525">
        <f>B31</f>
        <v>111</v>
      </c>
      <c r="C101" s="533"/>
      <c r="D101" s="533"/>
      <c r="E101" s="533"/>
      <c r="F101" s="533"/>
      <c r="G101" s="567"/>
      <c r="H101" s="567"/>
      <c r="I101" s="567"/>
      <c r="J101" s="567"/>
      <c r="K101" s="568"/>
      <c r="L101" s="569"/>
      <c r="M101" s="570"/>
      <c r="N101" s="1249"/>
      <c r="O101" s="1249"/>
      <c r="P101" s="22"/>
      <c r="Q101" s="481"/>
    </row>
    <row r="102" spans="1:17" ht="14.4" thickBot="1">
      <c r="A102" s="512"/>
      <c r="B102" s="549"/>
      <c r="C102" s="540"/>
      <c r="D102" s="514"/>
      <c r="E102" s="514"/>
      <c r="F102" s="514"/>
      <c r="G102" s="571"/>
      <c r="H102" s="571"/>
      <c r="I102" s="571"/>
      <c r="J102" s="571"/>
      <c r="K102" s="571"/>
      <c r="L102" s="571"/>
      <c r="M102" s="572"/>
      <c r="N102" s="1250"/>
      <c r="O102" s="1250"/>
      <c r="P102" s="22"/>
      <c r="Q102" s="481"/>
    </row>
    <row r="103" spans="1:17" ht="14.4" thickTop="1">
      <c r="A103" s="654"/>
      <c r="B103" s="517">
        <f>B32</f>
        <v>111</v>
      </c>
      <c r="C103" s="533"/>
      <c r="D103" s="533"/>
      <c r="E103" s="533"/>
      <c r="F103" s="533"/>
      <c r="G103" s="563"/>
      <c r="H103" s="563"/>
      <c r="I103" s="563"/>
      <c r="J103" s="563"/>
      <c r="K103" s="564"/>
      <c r="L103" s="565"/>
      <c r="M103" s="566"/>
      <c r="N103" s="1249"/>
      <c r="O103" s="1249"/>
      <c r="P103" s="22"/>
      <c r="Q103" s="481"/>
    </row>
    <row r="104" spans="1:17" ht="14.4" thickBot="1">
      <c r="A104" s="512"/>
      <c r="B104" s="522"/>
      <c r="C104" s="540"/>
      <c r="D104" s="540"/>
      <c r="E104" s="540"/>
      <c r="F104" s="540"/>
      <c r="G104" s="514"/>
      <c r="H104" s="514"/>
      <c r="I104" s="514"/>
      <c r="J104" s="514"/>
      <c r="K104" s="514"/>
      <c r="L104" s="514"/>
      <c r="M104" s="515"/>
      <c r="N104" s="1250"/>
      <c r="O104" s="1250"/>
      <c r="P104" s="22"/>
      <c r="Q104" s="481"/>
    </row>
    <row r="105" spans="1:17" s="448" customFormat="1" ht="14.4"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4.4" thickBot="1">
      <c r="A106" s="532"/>
      <c r="B106" s="525"/>
      <c r="C106" s="550"/>
      <c r="D106" s="550"/>
      <c r="E106" s="550"/>
      <c r="F106" s="550"/>
      <c r="G106" s="656"/>
      <c r="H106" s="656"/>
      <c r="I106" s="656"/>
      <c r="J106" s="656"/>
      <c r="K106" s="656"/>
      <c r="L106" s="656"/>
      <c r="M106" s="679"/>
      <c r="N106" s="1250"/>
      <c r="O106" s="1250"/>
      <c r="P106" s="538"/>
      <c r="Q106" s="539"/>
    </row>
    <row r="107" spans="1:17" ht="14.4">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c r="A108" s="512"/>
      <c r="B108" s="525"/>
      <c r="C108" s="575"/>
      <c r="D108" s="575"/>
      <c r="E108" s="575"/>
      <c r="F108" s="575"/>
      <c r="G108" s="575"/>
      <c r="H108" s="575"/>
      <c r="I108" s="575"/>
      <c r="J108" s="576"/>
      <c r="K108" s="576"/>
      <c r="L108" s="577"/>
      <c r="M108" s="578"/>
      <c r="N108" s="1249"/>
      <c r="O108" s="1249"/>
      <c r="P108" s="22"/>
      <c r="Q108" s="481"/>
    </row>
    <row r="109" spans="1:17" ht="14.4"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4.4"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4.4"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4.4"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4.4" thickTop="1">
      <c r="A116" s="579"/>
      <c r="B116" s="517">
        <f>B38</f>
        <v>111</v>
      </c>
      <c r="C116" s="533"/>
      <c r="D116" s="533"/>
      <c r="E116" s="533"/>
      <c r="F116" s="533"/>
      <c r="G116" s="533"/>
      <c r="H116" s="563"/>
      <c r="I116" s="563"/>
      <c r="J116" s="563"/>
      <c r="K116" s="564"/>
      <c r="L116" s="565"/>
      <c r="M116" s="566"/>
      <c r="N116" s="1249"/>
      <c r="O116" s="1249"/>
      <c r="P116" s="22"/>
      <c r="Q116" s="481"/>
    </row>
    <row r="117" spans="1:17" ht="14.4" thickBot="1">
      <c r="A117" s="512"/>
      <c r="B117" s="522"/>
      <c r="C117" s="540"/>
      <c r="D117" s="514"/>
      <c r="E117" s="514"/>
      <c r="F117" s="514"/>
      <c r="G117" s="514"/>
      <c r="H117" s="514"/>
      <c r="I117" s="514"/>
      <c r="J117" s="514"/>
      <c r="K117" s="514"/>
      <c r="L117" s="514"/>
      <c r="M117" s="515"/>
      <c r="N117" s="1250"/>
      <c r="O117" s="1250"/>
      <c r="P117" s="22"/>
      <c r="Q117" s="481"/>
    </row>
    <row r="118" spans="1:17" ht="14.4" thickTop="1">
      <c r="A118" s="579"/>
      <c r="B118" s="517">
        <f>B39</f>
        <v>111</v>
      </c>
      <c r="C118" s="533"/>
      <c r="D118" s="533"/>
      <c r="E118" s="533"/>
      <c r="F118" s="533"/>
      <c r="G118" s="563"/>
      <c r="H118" s="563"/>
      <c r="I118" s="563"/>
      <c r="J118" s="563"/>
      <c r="K118" s="564"/>
      <c r="L118" s="565"/>
      <c r="M118" s="566"/>
      <c r="N118" s="1249"/>
      <c r="O118" s="1249"/>
      <c r="P118" s="22"/>
      <c r="Q118" s="481"/>
    </row>
    <row r="119" spans="1:17" ht="14.4" thickBot="1">
      <c r="A119" s="512"/>
      <c r="B119" s="522"/>
      <c r="C119" s="540"/>
      <c r="D119" s="540"/>
      <c r="E119" s="540"/>
      <c r="F119" s="540"/>
      <c r="G119" s="514"/>
      <c r="H119" s="514"/>
      <c r="I119" s="514"/>
      <c r="J119" s="514"/>
      <c r="K119" s="514"/>
      <c r="L119" s="514"/>
      <c r="M119" s="515"/>
      <c r="N119" s="1250"/>
      <c r="O119" s="1250"/>
      <c r="P119" s="22"/>
      <c r="Q119" s="481"/>
    </row>
    <row r="120" spans="1:17" s="448" customFormat="1" ht="14.4"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4.4"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50" customWidth="1"/>
    <col min="2" max="2" width="19.21875" style="2663" customWidth="1"/>
    <col min="3" max="3" width="12.44140625" style="2483" customWidth="1"/>
    <col min="4" max="4" width="12" style="2483" customWidth="1"/>
    <col min="5" max="5" width="14.6640625" style="2483" customWidth="1"/>
    <col min="6" max="8" width="12" style="2483" customWidth="1"/>
    <col min="9" max="9" width="12.21875" style="2483" bestFit="1" customWidth="1"/>
    <col min="10" max="10" width="12" style="2483" customWidth="1"/>
    <col min="11" max="11" width="9.44140625" style="1444" customWidth="1"/>
    <col min="12" max="12" width="12" style="2483" customWidth="1"/>
    <col min="13" max="13" width="8.44140625" style="2483" customWidth="1"/>
    <col min="14" max="14" width="9.77734375" style="2483" customWidth="1"/>
    <col min="15" max="25" width="12" style="2483" customWidth="1"/>
    <col min="26" max="26" width="9.33203125" style="2550" customWidth="1"/>
    <col min="27" max="32" width="9.33203125" style="2626" customWidth="1"/>
    <col min="33" max="36" width="9.33203125" style="2550" customWidth="1"/>
    <col min="37" max="38" width="9.33203125" style="2483" customWidth="1"/>
    <col min="39" max="16384" width="9" style="2483"/>
  </cols>
  <sheetData>
    <row r="1" spans="1:36" ht="31.2">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5.2">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6">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6">
      <c r="A4" s="3130"/>
      <c r="B4" s="3131"/>
      <c r="C4" s="3131"/>
      <c r="D4" s="3132"/>
      <c r="E4" s="3132"/>
      <c r="F4" s="3132"/>
      <c r="G4" s="3132"/>
      <c r="H4" s="3132"/>
      <c r="I4" s="3132"/>
      <c r="J4" s="3133"/>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6"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6"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34"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35"/>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27" t="s">
        <v>2622</v>
      </c>
      <c r="X8" s="3128"/>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35"/>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29"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35"/>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29"/>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35"/>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29"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8" thickBot="1">
      <c r="A12" s="3134"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29"/>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36"/>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129"/>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36"/>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6" thickBot="1">
      <c r="A15" s="3137"/>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38" t="b">
        <f>IF(E2="办公",2,IF(E2="工业",2,IF(E2="住宅",3,IF(E2="商业",IF(C8="不临58条商业街",2,3)))))</f>
        <v>0</v>
      </c>
      <c r="B16" s="2709" t="s">
        <v>2668</v>
      </c>
      <c r="C16" s="2703" t="e">
        <f>ROUND(IF(F17="与级别开发程度一致",0,(G17-E17)/C17),0)</f>
        <v>#DIV/0!</v>
      </c>
      <c r="D16" s="3151" t="s">
        <v>2672</v>
      </c>
      <c r="E16" s="3152"/>
      <c r="F16" s="3151" t="s">
        <v>2669</v>
      </c>
      <c r="G16" s="3152"/>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8" thickBot="1">
      <c r="A17" s="3139"/>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4"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9.4"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4">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4">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8.8">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4.4">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ht="25.2">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8"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36">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48"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49"/>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49"/>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8" thickBot="1">
      <c r="A36" s="3150"/>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8"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ht="24">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4.4">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5.2">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52.8">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66">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50.4">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6.4">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36">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66">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6.4">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79.8"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4.4">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5.2">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79.2">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66">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50.4">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6.4">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36">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66">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6.4">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79.8"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4.4">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5.2">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66">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66">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6.4">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66">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6.4">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36">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79.2">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36.6"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4.4">
      <c r="A79" s="2631" t="s">
        <v>2764</v>
      </c>
      <c r="B79" s="2647">
        <f>1+E81</f>
        <v>1</v>
      </c>
      <c r="C79" s="809"/>
      <c r="D79" s="809"/>
      <c r="E79" s="810"/>
      <c r="F79" s="2634"/>
      <c r="G79" s="7"/>
      <c r="H79" s="7"/>
      <c r="I79" s="7"/>
      <c r="J79" s="9"/>
      <c r="K79" s="9"/>
      <c r="L79" s="9"/>
      <c r="M79" s="9"/>
      <c r="N79" s="9"/>
      <c r="Z79" s="2483"/>
      <c r="AA79" s="2550"/>
      <c r="AG79" s="2626"/>
      <c r="AK79" s="2550"/>
    </row>
    <row r="80" spans="1:37" ht="25.2">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9.6">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66">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3.8">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6.4">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6.4">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36">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53.4"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40" t="s">
        <v>2767</v>
      </c>
      <c r="B90" s="3140"/>
      <c r="C90" s="3140"/>
      <c r="D90" s="3140"/>
      <c r="E90" s="3140"/>
      <c r="F90" s="3140"/>
      <c r="G90" s="3140"/>
      <c r="H90" s="3140"/>
      <c r="I90" s="3140"/>
      <c r="J90" s="3140"/>
      <c r="K90" s="2653"/>
      <c r="L90" s="2653"/>
      <c r="M90" s="2653"/>
      <c r="N90" s="2653"/>
    </row>
    <row r="91" spans="1:37">
      <c r="A91" s="3142" t="s">
        <v>2768</v>
      </c>
      <c r="B91" s="3142" t="s">
        <v>2769</v>
      </c>
      <c r="C91" s="2601" t="s">
        <v>2770</v>
      </c>
      <c r="D91" s="2602"/>
      <c r="E91" s="2602"/>
      <c r="F91" s="2602"/>
      <c r="G91" s="2602"/>
      <c r="H91" s="2602"/>
      <c r="I91" s="2602"/>
      <c r="J91" s="2654"/>
      <c r="K91" s="2655"/>
      <c r="L91" s="2655"/>
      <c r="M91" s="2655"/>
      <c r="N91" s="2655"/>
    </row>
    <row r="92" spans="1:37">
      <c r="A92" s="3142"/>
      <c r="B92" s="3142"/>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43"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44"/>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44"/>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44"/>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44"/>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44"/>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44"/>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45"/>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43"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44"/>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44"/>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44"/>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44"/>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44"/>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44"/>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44"/>
      <c r="B108" s="3146"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45"/>
      <c r="B109" s="3147"/>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41" t="s">
        <v>2775</v>
      </c>
      <c r="B110" s="3141"/>
      <c r="C110" s="3141"/>
      <c r="D110" s="3141"/>
      <c r="E110" s="3141"/>
      <c r="F110" s="3141"/>
      <c r="G110" s="3141"/>
      <c r="H110" s="3141"/>
      <c r="I110" s="3141"/>
      <c r="J110" s="3141"/>
      <c r="K110" s="2662"/>
      <c r="L110" s="2662"/>
      <c r="M110" s="2662"/>
      <c r="N110" s="2662"/>
    </row>
    <row r="112" spans="1:14" ht="13.8" thickBot="1"/>
    <row r="113" spans="1:13" ht="25.8"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8"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2" customWidth="1"/>
    <col min="2" max="2" width="10.21875" style="805" customWidth="1"/>
  </cols>
  <sheetData>
    <row r="1" spans="1:6">
      <c r="A1" s="3153" t="s">
        <v>783</v>
      </c>
      <c r="B1" s="3153"/>
    </row>
    <row r="2" spans="1:6" ht="15" thickBot="1">
      <c r="A2" s="1078"/>
      <c r="B2" s="1078"/>
    </row>
    <row r="3" spans="1:6" ht="15" thickBot="1">
      <c r="A3" s="1078"/>
      <c r="B3" s="1078"/>
      <c r="C3" s="1081" t="s">
        <v>784</v>
      </c>
      <c r="D3" s="1081" t="s">
        <v>785</v>
      </c>
      <c r="E3" s="1081" t="s">
        <v>786</v>
      </c>
      <c r="F3" s="1081" t="s">
        <v>787</v>
      </c>
    </row>
    <row r="4" spans="1:6" ht="15" thickBot="1">
      <c r="A4" s="1082" t="s">
        <v>788</v>
      </c>
      <c r="B4" s="1083" t="s">
        <v>789</v>
      </c>
      <c r="C4" s="1081"/>
      <c r="D4" s="1081"/>
      <c r="E4" s="1081"/>
      <c r="F4" s="1081"/>
    </row>
    <row r="5" spans="1:6" ht="15" thickBot="1">
      <c r="A5" s="848" t="s">
        <v>790</v>
      </c>
      <c r="B5" s="849" t="s">
        <v>791</v>
      </c>
      <c r="C5" s="1084">
        <v>8.8999999999999996E-2</v>
      </c>
      <c r="D5" s="1084">
        <v>7.3999999999999996E-2</v>
      </c>
      <c r="E5" s="1084">
        <v>7.4999999999999997E-2</v>
      </c>
      <c r="F5" s="1085">
        <v>0.1</v>
      </c>
    </row>
    <row r="6" spans="1:6" ht="15" thickBot="1">
      <c r="A6" s="848" t="s">
        <v>161</v>
      </c>
      <c r="B6" s="842" t="s">
        <v>792</v>
      </c>
      <c r="C6" s="1086">
        <v>0.1</v>
      </c>
      <c r="D6" s="1086">
        <v>9.0999999999999998E-2</v>
      </c>
      <c r="E6" s="1086">
        <v>9.0999999999999998E-2</v>
      </c>
      <c r="F6" s="1087">
        <v>0.1</v>
      </c>
    </row>
    <row r="7" spans="1:6" ht="15" thickBot="1">
      <c r="A7" s="848" t="s">
        <v>161</v>
      </c>
      <c r="B7" s="856" t="s">
        <v>150</v>
      </c>
      <c r="C7" s="1086">
        <v>8.5999999999999993E-2</v>
      </c>
      <c r="D7" s="1086">
        <v>9.6000000000000002E-2</v>
      </c>
      <c r="E7" s="1086">
        <v>7.5999999999999998E-2</v>
      </c>
      <c r="F7" s="1087">
        <v>0.1</v>
      </c>
    </row>
    <row r="8" spans="1:6" ht="15" thickBot="1">
      <c r="A8" s="848" t="s">
        <v>161</v>
      </c>
      <c r="B8" s="842" t="s">
        <v>162</v>
      </c>
      <c r="C8" s="1086">
        <v>9.9000000000000005E-2</v>
      </c>
      <c r="D8" s="1086">
        <v>9.8000000000000004E-2</v>
      </c>
      <c r="E8" s="1086">
        <v>9.8000000000000004E-2</v>
      </c>
      <c r="F8" s="1087">
        <v>0.1</v>
      </c>
    </row>
    <row r="9" spans="1:6" ht="15" thickBot="1">
      <c r="A9" s="865" t="s">
        <v>161</v>
      </c>
      <c r="B9" s="857" t="s">
        <v>174</v>
      </c>
      <c r="C9" s="1088">
        <v>0.05</v>
      </c>
      <c r="D9" s="1089"/>
      <c r="E9" s="1089"/>
      <c r="F9" s="1090"/>
    </row>
    <row r="10" spans="1:6" ht="15" thickBot="1">
      <c r="A10" s="848" t="s">
        <v>221</v>
      </c>
      <c r="B10" s="849" t="s">
        <v>793</v>
      </c>
      <c r="C10" s="1084">
        <v>8.8999999999999996E-2</v>
      </c>
      <c r="D10" s="1084">
        <v>7.2999999999999995E-2</v>
      </c>
      <c r="E10" s="1084">
        <v>8.2000000000000003E-2</v>
      </c>
      <c r="F10" s="1085">
        <v>0.1</v>
      </c>
    </row>
    <row r="11" spans="1:6" ht="15" thickBot="1">
      <c r="A11" s="848" t="s">
        <v>221</v>
      </c>
      <c r="B11" s="856" t="s">
        <v>137</v>
      </c>
      <c r="C11" s="1086">
        <v>8.8999999999999996E-2</v>
      </c>
      <c r="D11" s="1086">
        <v>7.2999999999999995E-2</v>
      </c>
      <c r="E11" s="1086">
        <v>8.2000000000000003E-2</v>
      </c>
      <c r="F11" s="1087">
        <v>0.1</v>
      </c>
    </row>
    <row r="12" spans="1:6" ht="15" thickBot="1">
      <c r="A12" s="848" t="s">
        <v>221</v>
      </c>
      <c r="B12" s="856" t="s">
        <v>88</v>
      </c>
      <c r="C12" s="1086">
        <v>6.0999999999999999E-2</v>
      </c>
      <c r="D12" s="1086">
        <v>7.0999999999999994E-2</v>
      </c>
      <c r="E12" s="1086">
        <v>9.6000000000000002E-2</v>
      </c>
      <c r="F12" s="1087">
        <v>0.1</v>
      </c>
    </row>
    <row r="13" spans="1:6" ht="15" thickBot="1">
      <c r="A13" s="848" t="s">
        <v>221</v>
      </c>
      <c r="B13" s="856" t="s">
        <v>163</v>
      </c>
      <c r="C13" s="1086">
        <v>6.9000000000000006E-2</v>
      </c>
      <c r="D13" s="1086">
        <v>6.5000000000000002E-2</v>
      </c>
      <c r="E13" s="1086">
        <v>6.6000000000000003E-2</v>
      </c>
      <c r="F13" s="1087">
        <v>0.1</v>
      </c>
    </row>
    <row r="14" spans="1:6" ht="15" thickBot="1">
      <c r="A14" s="848" t="s">
        <v>221</v>
      </c>
      <c r="B14" s="856" t="s">
        <v>175</v>
      </c>
      <c r="C14" s="1086">
        <v>0.1</v>
      </c>
      <c r="D14" s="1086">
        <v>6.5000000000000002E-2</v>
      </c>
      <c r="E14" s="1086">
        <v>7.0000000000000007E-2</v>
      </c>
      <c r="F14" s="1087">
        <v>0.1</v>
      </c>
    </row>
    <row r="15" spans="1:6" ht="15" thickBot="1">
      <c r="A15" s="848" t="s">
        <v>221</v>
      </c>
      <c r="B15" s="856" t="s">
        <v>187</v>
      </c>
      <c r="C15" s="1086">
        <v>9.8000000000000004E-2</v>
      </c>
      <c r="D15" s="1086">
        <v>8.8999999999999996E-2</v>
      </c>
      <c r="E15" s="1086">
        <v>8.8999999999999996E-2</v>
      </c>
      <c r="F15" s="1087">
        <v>0.1</v>
      </c>
    </row>
    <row r="16" spans="1:6" ht="15" thickBot="1">
      <c r="A16" s="848" t="s">
        <v>221</v>
      </c>
      <c r="B16" s="856" t="s">
        <v>199</v>
      </c>
      <c r="C16" s="1086">
        <v>7.0000000000000007E-2</v>
      </c>
      <c r="D16" s="1086">
        <v>9.2999999999999999E-2</v>
      </c>
      <c r="E16" s="1086">
        <v>9.6000000000000002E-2</v>
      </c>
      <c r="F16" s="1087">
        <v>0.1</v>
      </c>
    </row>
    <row r="17" spans="1:6" ht="15" thickBot="1">
      <c r="A17" s="848" t="s">
        <v>221</v>
      </c>
      <c r="B17" s="856" t="s">
        <v>211</v>
      </c>
      <c r="C17" s="1086">
        <v>9.5000000000000001E-2</v>
      </c>
      <c r="D17" s="1086">
        <v>0.1</v>
      </c>
      <c r="E17" s="1086">
        <v>0.1</v>
      </c>
      <c r="F17" s="1091"/>
    </row>
    <row r="18" spans="1:6" ht="15" thickBot="1">
      <c r="A18" s="848" t="s">
        <v>221</v>
      </c>
      <c r="B18" s="856" t="s">
        <v>224</v>
      </c>
      <c r="C18" s="1086">
        <v>7.3999999999999996E-2</v>
      </c>
      <c r="D18" s="1086">
        <v>9.9000000000000005E-2</v>
      </c>
      <c r="E18" s="1086">
        <v>0.1</v>
      </c>
      <c r="F18" s="1091"/>
    </row>
    <row r="19" spans="1:6" ht="15" thickBot="1">
      <c r="A19" s="848" t="s">
        <v>221</v>
      </c>
      <c r="B19" s="856" t="s">
        <v>235</v>
      </c>
      <c r="C19" s="1086">
        <v>9.9000000000000005E-2</v>
      </c>
      <c r="D19" s="1086">
        <v>7.5999999999999998E-2</v>
      </c>
      <c r="E19" s="1086">
        <v>8.6999999999999994E-2</v>
      </c>
      <c r="F19" s="1091"/>
    </row>
    <row r="20" spans="1:6" ht="15" thickBot="1">
      <c r="A20" s="848" t="s">
        <v>221</v>
      </c>
      <c r="B20" s="856" t="s">
        <v>246</v>
      </c>
      <c r="C20" s="1086">
        <v>9.8000000000000004E-2</v>
      </c>
      <c r="D20" s="1086">
        <v>8.5000000000000006E-2</v>
      </c>
      <c r="E20" s="1086">
        <v>8.2000000000000003E-2</v>
      </c>
      <c r="F20" s="1091"/>
    </row>
    <row r="21" spans="1:6" ht="15" thickBot="1">
      <c r="A21" s="848" t="s">
        <v>221</v>
      </c>
      <c r="B21" s="856" t="s">
        <v>257</v>
      </c>
      <c r="C21" s="1086">
        <v>6.6000000000000003E-2</v>
      </c>
      <c r="D21" s="1086">
        <v>6.4000000000000001E-2</v>
      </c>
      <c r="E21" s="1086">
        <v>6.5000000000000002E-2</v>
      </c>
      <c r="F21" s="1091"/>
    </row>
    <row r="22" spans="1:6" ht="15" thickBot="1">
      <c r="A22" s="848" t="s">
        <v>221</v>
      </c>
      <c r="B22" s="856" t="s">
        <v>794</v>
      </c>
      <c r="C22" s="1086">
        <v>0.08</v>
      </c>
      <c r="D22" s="1086">
        <v>9.8000000000000004E-2</v>
      </c>
      <c r="E22" s="1086">
        <v>9.8000000000000004E-2</v>
      </c>
      <c r="F22" s="1091"/>
    </row>
    <row r="23" spans="1:6" ht="15" thickBot="1">
      <c r="A23" s="848" t="s">
        <v>221</v>
      </c>
      <c r="B23" s="856" t="s">
        <v>279</v>
      </c>
      <c r="C23" s="1086">
        <v>9.9000000000000005E-2</v>
      </c>
      <c r="D23" s="1086">
        <v>9.8000000000000004E-2</v>
      </c>
      <c r="E23" s="1086">
        <v>9.0999999999999998E-2</v>
      </c>
      <c r="F23" s="1091"/>
    </row>
    <row r="24" spans="1:6" ht="15" thickBot="1">
      <c r="A24" s="848" t="s">
        <v>221</v>
      </c>
      <c r="B24" s="856" t="s">
        <v>290</v>
      </c>
      <c r="C24" s="1086">
        <v>8.8999999999999996E-2</v>
      </c>
      <c r="D24" s="1086">
        <v>9.7000000000000003E-2</v>
      </c>
      <c r="E24" s="1086">
        <v>7.0000000000000007E-2</v>
      </c>
      <c r="F24" s="1091"/>
    </row>
    <row r="25" spans="1:6" ht="15" thickBot="1">
      <c r="A25" s="848" t="s">
        <v>221</v>
      </c>
      <c r="B25" s="856" t="s">
        <v>300</v>
      </c>
      <c r="C25" s="1086">
        <v>8.8999999999999996E-2</v>
      </c>
      <c r="D25" s="1086">
        <v>0.1</v>
      </c>
      <c r="E25" s="1086">
        <v>8.1000000000000003E-2</v>
      </c>
      <c r="F25" s="1091"/>
    </row>
    <row r="26" spans="1:6" ht="15" thickBot="1">
      <c r="A26" s="848" t="s">
        <v>221</v>
      </c>
      <c r="B26" s="856" t="s">
        <v>310</v>
      </c>
      <c r="C26" s="1092"/>
      <c r="D26" s="1086">
        <v>9.6000000000000002E-2</v>
      </c>
      <c r="E26" s="1086">
        <v>9.2999999999999999E-2</v>
      </c>
      <c r="F26" s="1091"/>
    </row>
    <row r="27" spans="1:6" ht="15" thickBot="1">
      <c r="A27" s="848" t="s">
        <v>221</v>
      </c>
      <c r="B27" s="856" t="s">
        <v>320</v>
      </c>
      <c r="C27" s="1092"/>
      <c r="D27" s="1086">
        <v>7.5999999999999998E-2</v>
      </c>
      <c r="E27" s="1086">
        <v>9.1999999999999998E-2</v>
      </c>
      <c r="F27" s="1091"/>
    </row>
    <row r="28" spans="1:6" ht="15" thickBot="1">
      <c r="A28" s="865" t="s">
        <v>221</v>
      </c>
      <c r="B28" s="857" t="s">
        <v>330</v>
      </c>
      <c r="C28" s="1089"/>
      <c r="D28" s="1088">
        <v>7.5999999999999998E-2</v>
      </c>
      <c r="E28" s="1088">
        <v>9.1999999999999998E-2</v>
      </c>
      <c r="F28" s="1090"/>
    </row>
    <row r="29" spans="1:6" ht="15" thickBot="1">
      <c r="A29" s="848" t="s">
        <v>399</v>
      </c>
      <c r="B29" s="849" t="s">
        <v>795</v>
      </c>
      <c r="C29" s="1084">
        <v>6.4000000000000001E-2</v>
      </c>
      <c r="D29" s="1084">
        <v>6.5000000000000002E-2</v>
      </c>
      <c r="E29" s="1084">
        <v>6.9000000000000006E-2</v>
      </c>
      <c r="F29" s="1085">
        <v>0.1</v>
      </c>
    </row>
    <row r="30" spans="1:6" ht="15" thickBot="1">
      <c r="A30" s="848" t="s">
        <v>399</v>
      </c>
      <c r="B30" s="856" t="s">
        <v>138</v>
      </c>
      <c r="C30" s="1086">
        <v>6.4000000000000001E-2</v>
      </c>
      <c r="D30" s="1086">
        <v>9.9000000000000005E-2</v>
      </c>
      <c r="E30" s="1086">
        <v>0.1</v>
      </c>
      <c r="F30" s="1087">
        <v>0.1</v>
      </c>
    </row>
    <row r="31" spans="1:6" ht="15" thickBot="1">
      <c r="A31" s="848" t="s">
        <v>399</v>
      </c>
      <c r="B31" s="856" t="s">
        <v>151</v>
      </c>
      <c r="C31" s="1086">
        <v>0.1</v>
      </c>
      <c r="D31" s="1086">
        <v>9.5000000000000001E-2</v>
      </c>
      <c r="E31" s="1086">
        <v>8.8999999999999996E-2</v>
      </c>
      <c r="F31" s="1087">
        <v>0.1</v>
      </c>
    </row>
    <row r="32" spans="1:6" ht="15" thickBot="1">
      <c r="A32" s="848" t="s">
        <v>399</v>
      </c>
      <c r="B32" s="856" t="s">
        <v>164</v>
      </c>
      <c r="C32" s="1086">
        <v>0.05</v>
      </c>
      <c r="D32" s="1086">
        <v>0.05</v>
      </c>
      <c r="E32" s="1086">
        <v>8.7999999999999995E-2</v>
      </c>
      <c r="F32" s="1087">
        <v>0.1</v>
      </c>
    </row>
    <row r="33" spans="1:6" ht="15" thickBot="1">
      <c r="A33" s="848" t="s">
        <v>399</v>
      </c>
      <c r="B33" s="856" t="s">
        <v>176</v>
      </c>
      <c r="C33" s="1086">
        <v>7.4999999999999997E-2</v>
      </c>
      <c r="D33" s="1086">
        <v>9.4E-2</v>
      </c>
      <c r="E33" s="1086">
        <v>9.7000000000000003E-2</v>
      </c>
      <c r="F33" s="1087">
        <v>0.1</v>
      </c>
    </row>
    <row r="34" spans="1:6" ht="15" thickBot="1">
      <c r="A34" s="848" t="s">
        <v>399</v>
      </c>
      <c r="B34" s="856" t="s">
        <v>188</v>
      </c>
      <c r="C34" s="1086">
        <v>9.8000000000000004E-2</v>
      </c>
      <c r="D34" s="1086">
        <v>8.5999999999999993E-2</v>
      </c>
      <c r="E34" s="1086">
        <v>9.7000000000000003E-2</v>
      </c>
      <c r="F34" s="1087">
        <v>0.1</v>
      </c>
    </row>
    <row r="35" spans="1:6" ht="15" thickBot="1">
      <c r="A35" s="848" t="s">
        <v>399</v>
      </c>
      <c r="B35" s="856" t="s">
        <v>200</v>
      </c>
      <c r="C35" s="1086">
        <v>5.8999999999999997E-2</v>
      </c>
      <c r="D35" s="1086">
        <v>6.5000000000000002E-2</v>
      </c>
      <c r="E35" s="1086">
        <v>7.0000000000000007E-2</v>
      </c>
      <c r="F35" s="1087">
        <v>0.1</v>
      </c>
    </row>
    <row r="36" spans="1:6" ht="15" thickBot="1">
      <c r="A36" s="848" t="s">
        <v>399</v>
      </c>
      <c r="B36" s="856" t="s">
        <v>212</v>
      </c>
      <c r="C36" s="1086">
        <v>6.3E-2</v>
      </c>
      <c r="D36" s="1086">
        <v>0.1</v>
      </c>
      <c r="E36" s="1086">
        <v>0.1</v>
      </c>
      <c r="F36" s="1087">
        <v>0.1</v>
      </c>
    </row>
    <row r="37" spans="1:6" ht="15" thickBot="1">
      <c r="A37" s="848" t="s">
        <v>399</v>
      </c>
      <c r="B37" s="856" t="s">
        <v>225</v>
      </c>
      <c r="C37" s="1086">
        <v>7.3999999999999996E-2</v>
      </c>
      <c r="D37" s="1086">
        <v>0.1</v>
      </c>
      <c r="E37" s="1086">
        <v>0.1</v>
      </c>
      <c r="F37" s="1087">
        <v>0.1</v>
      </c>
    </row>
    <row r="38" spans="1:6" ht="15" thickBot="1">
      <c r="A38" s="848" t="s">
        <v>399</v>
      </c>
      <c r="B38" s="856" t="s">
        <v>236</v>
      </c>
      <c r="C38" s="1086">
        <v>0.1</v>
      </c>
      <c r="D38" s="1086">
        <v>9.6000000000000002E-2</v>
      </c>
      <c r="E38" s="1086">
        <v>9.6000000000000002E-2</v>
      </c>
      <c r="F38" s="1091"/>
    </row>
    <row r="39" spans="1:6" ht="15" thickBot="1">
      <c r="A39" s="848" t="s">
        <v>399</v>
      </c>
      <c r="B39" s="856" t="s">
        <v>247</v>
      </c>
      <c r="C39" s="1086">
        <v>0.1</v>
      </c>
      <c r="D39" s="1086">
        <v>9.6000000000000002E-2</v>
      </c>
      <c r="E39" s="1086">
        <v>9.6000000000000002E-2</v>
      </c>
      <c r="F39" s="1091"/>
    </row>
    <row r="40" spans="1:6" ht="15" thickBot="1">
      <c r="A40" s="848" t="s">
        <v>399</v>
      </c>
      <c r="B40" s="856" t="s">
        <v>258</v>
      </c>
      <c r="C40" s="1086">
        <v>9.6000000000000002E-2</v>
      </c>
      <c r="D40" s="1086">
        <v>0.1</v>
      </c>
      <c r="E40" s="1086">
        <v>9.9000000000000005E-2</v>
      </c>
      <c r="F40" s="1091"/>
    </row>
    <row r="41" spans="1:6" ht="15" thickBot="1">
      <c r="A41" s="848" t="s">
        <v>399</v>
      </c>
      <c r="B41" s="856" t="s">
        <v>269</v>
      </c>
      <c r="C41" s="1086">
        <v>9.6000000000000002E-2</v>
      </c>
      <c r="D41" s="1086">
        <v>9.8000000000000004E-2</v>
      </c>
      <c r="E41" s="1086">
        <v>9.8000000000000004E-2</v>
      </c>
      <c r="F41" s="1091"/>
    </row>
    <row r="42" spans="1:6" ht="15" thickBot="1">
      <c r="A42" s="848" t="s">
        <v>399</v>
      </c>
      <c r="B42" s="856" t="s">
        <v>280</v>
      </c>
      <c r="C42" s="1086">
        <v>0.1</v>
      </c>
      <c r="D42" s="1086">
        <v>8.7999999999999995E-2</v>
      </c>
      <c r="E42" s="1086">
        <v>0.1</v>
      </c>
      <c r="F42" s="1091"/>
    </row>
    <row r="43" spans="1:6" ht="15" thickBot="1">
      <c r="A43" s="848" t="s">
        <v>399</v>
      </c>
      <c r="B43" s="856" t="s">
        <v>291</v>
      </c>
      <c r="C43" s="1086">
        <v>9.8000000000000004E-2</v>
      </c>
      <c r="D43" s="1086">
        <v>9.7000000000000003E-2</v>
      </c>
      <c r="E43" s="1086">
        <v>9.6000000000000002E-2</v>
      </c>
      <c r="F43" s="1091"/>
    </row>
    <row r="44" spans="1:6" ht="15" thickBot="1">
      <c r="A44" s="848" t="s">
        <v>399</v>
      </c>
      <c r="B44" s="856" t="s">
        <v>301</v>
      </c>
      <c r="C44" s="1086">
        <v>8.5999999999999993E-2</v>
      </c>
      <c r="D44" s="1086">
        <v>7.9000000000000001E-2</v>
      </c>
      <c r="E44" s="1086">
        <v>7.0999999999999994E-2</v>
      </c>
      <c r="F44" s="1091"/>
    </row>
    <row r="45" spans="1:6" ht="15" thickBot="1">
      <c r="A45" s="848" t="s">
        <v>399</v>
      </c>
      <c r="B45" s="856" t="s">
        <v>311</v>
      </c>
      <c r="C45" s="1086">
        <v>9.8000000000000004E-2</v>
      </c>
      <c r="D45" s="1086">
        <v>9.6000000000000002E-2</v>
      </c>
      <c r="E45" s="1086">
        <v>9.6000000000000002E-2</v>
      </c>
      <c r="F45" s="1091"/>
    </row>
    <row r="46" spans="1:6" ht="15" thickBot="1">
      <c r="A46" s="848" t="s">
        <v>399</v>
      </c>
      <c r="B46" s="856" t="s">
        <v>321</v>
      </c>
      <c r="C46" s="1086">
        <v>8.5999999999999993E-2</v>
      </c>
      <c r="D46" s="1086">
        <v>9.8000000000000004E-2</v>
      </c>
      <c r="E46" s="1086">
        <v>8.7999999999999995E-2</v>
      </c>
      <c r="F46" s="1091"/>
    </row>
    <row r="47" spans="1:6" ht="15" thickBot="1">
      <c r="A47" s="848" t="s">
        <v>399</v>
      </c>
      <c r="B47" s="856" t="s">
        <v>331</v>
      </c>
      <c r="C47" s="1086">
        <v>9.6000000000000002E-2</v>
      </c>
      <c r="D47" s="1092"/>
      <c r="E47" s="1086">
        <v>6.9000000000000006E-2</v>
      </c>
      <c r="F47" s="1091"/>
    </row>
    <row r="48" spans="1:6" ht="15" thickBot="1">
      <c r="A48" s="865" t="s">
        <v>399</v>
      </c>
      <c r="B48" s="857" t="s">
        <v>340</v>
      </c>
      <c r="C48" s="1088">
        <v>9.8000000000000004E-2</v>
      </c>
      <c r="D48" s="1089"/>
      <c r="E48" s="1088">
        <v>9.5000000000000001E-2</v>
      </c>
      <c r="F48" s="1090"/>
    </row>
    <row r="49" spans="1:6" ht="15" thickBot="1">
      <c r="A49" s="848" t="s">
        <v>87</v>
      </c>
      <c r="B49" s="849" t="s">
        <v>796</v>
      </c>
      <c r="C49" s="1084">
        <v>9.7000000000000003E-2</v>
      </c>
      <c r="D49" s="1084">
        <v>9.5000000000000001E-2</v>
      </c>
      <c r="E49" s="1084">
        <v>9.7000000000000003E-2</v>
      </c>
      <c r="F49" s="1085">
        <v>0.1</v>
      </c>
    </row>
    <row r="50" spans="1:6" ht="15" thickBot="1">
      <c r="A50" s="848" t="s">
        <v>87</v>
      </c>
      <c r="B50" s="842" t="s">
        <v>139</v>
      </c>
      <c r="C50" s="1086">
        <v>7.4999999999999997E-2</v>
      </c>
      <c r="D50" s="1086">
        <v>9.5000000000000001E-2</v>
      </c>
      <c r="E50" s="1086">
        <v>0.1</v>
      </c>
      <c r="F50" s="1087">
        <v>0.1</v>
      </c>
    </row>
    <row r="51" spans="1:6" ht="15" thickBot="1">
      <c r="A51" s="848" t="s">
        <v>87</v>
      </c>
      <c r="B51" s="842" t="s">
        <v>152</v>
      </c>
      <c r="C51" s="1086">
        <v>9.8000000000000004E-2</v>
      </c>
      <c r="D51" s="1086">
        <v>8.8999999999999996E-2</v>
      </c>
      <c r="E51" s="1086">
        <v>0.1</v>
      </c>
      <c r="F51" s="1087">
        <v>0.1</v>
      </c>
    </row>
    <row r="52" spans="1:6" ht="15" thickBot="1">
      <c r="A52" s="848" t="s">
        <v>87</v>
      </c>
      <c r="B52" s="842" t="s">
        <v>165</v>
      </c>
      <c r="C52" s="1086">
        <v>9.8000000000000004E-2</v>
      </c>
      <c r="D52" s="1086">
        <v>9.7000000000000003E-2</v>
      </c>
      <c r="E52" s="1086">
        <v>8.1000000000000003E-2</v>
      </c>
      <c r="F52" s="1087">
        <v>0.1</v>
      </c>
    </row>
    <row r="53" spans="1:6" ht="15" thickBot="1">
      <c r="A53" s="848" t="s">
        <v>87</v>
      </c>
      <c r="B53" s="842" t="s">
        <v>177</v>
      </c>
      <c r="C53" s="1086">
        <v>9.7000000000000003E-2</v>
      </c>
      <c r="D53" s="1086">
        <v>7.5999999999999998E-2</v>
      </c>
      <c r="E53" s="1086">
        <v>7.0999999999999994E-2</v>
      </c>
      <c r="F53" s="1087">
        <v>0.1</v>
      </c>
    </row>
    <row r="54" spans="1:6" ht="15" thickBot="1">
      <c r="A54" s="848" t="s">
        <v>87</v>
      </c>
      <c r="B54" s="842" t="s">
        <v>189</v>
      </c>
      <c r="C54" s="1086">
        <v>7.5999999999999998E-2</v>
      </c>
      <c r="D54" s="1086">
        <v>0.1</v>
      </c>
      <c r="E54" s="1086">
        <v>9.9000000000000005E-2</v>
      </c>
      <c r="F54" s="1087">
        <v>0.1</v>
      </c>
    </row>
    <row r="55" spans="1:6" ht="15" thickBot="1">
      <c r="A55" s="848" t="s">
        <v>87</v>
      </c>
      <c r="B55" s="842" t="s">
        <v>201</v>
      </c>
      <c r="C55" s="1086">
        <v>0.1</v>
      </c>
      <c r="D55" s="1086">
        <v>0.1</v>
      </c>
      <c r="E55" s="1086">
        <v>9.6000000000000002E-2</v>
      </c>
      <c r="F55" s="1087">
        <v>0.1</v>
      </c>
    </row>
    <row r="56" spans="1:6" ht="15" thickBot="1">
      <c r="A56" s="848" t="s">
        <v>87</v>
      </c>
      <c r="B56" s="842" t="s">
        <v>213</v>
      </c>
      <c r="C56" s="1086">
        <v>0.1</v>
      </c>
      <c r="D56" s="1086">
        <v>9.6000000000000002E-2</v>
      </c>
      <c r="E56" s="1086">
        <v>5.1999999999999998E-2</v>
      </c>
      <c r="F56" s="1087">
        <v>0.1</v>
      </c>
    </row>
    <row r="57" spans="1:6" ht="15" thickBot="1">
      <c r="A57" s="848" t="s">
        <v>87</v>
      </c>
      <c r="B57" s="842" t="s">
        <v>226</v>
      </c>
      <c r="C57" s="1086">
        <v>9.7000000000000003E-2</v>
      </c>
      <c r="D57" s="1086">
        <v>9.6000000000000002E-2</v>
      </c>
      <c r="E57" s="1086">
        <v>9.6000000000000002E-2</v>
      </c>
      <c r="F57" s="1087">
        <v>0.1</v>
      </c>
    </row>
    <row r="58" spans="1:6" ht="15" thickBot="1">
      <c r="A58" s="848" t="s">
        <v>87</v>
      </c>
      <c r="B58" s="842" t="s">
        <v>237</v>
      </c>
      <c r="C58" s="1086">
        <v>9.6000000000000002E-2</v>
      </c>
      <c r="D58" s="1086">
        <v>9.9000000000000005E-2</v>
      </c>
      <c r="E58" s="1086">
        <v>9.6000000000000002E-2</v>
      </c>
      <c r="F58" s="1087">
        <v>0.1</v>
      </c>
    </row>
    <row r="59" spans="1:6" ht="15" thickBot="1">
      <c r="A59" s="848" t="s">
        <v>87</v>
      </c>
      <c r="B59" s="842" t="s">
        <v>248</v>
      </c>
      <c r="C59" s="1086">
        <v>7.1999999999999995E-2</v>
      </c>
      <c r="D59" s="1086">
        <v>9.6000000000000002E-2</v>
      </c>
      <c r="E59" s="1086">
        <v>7.0999999999999994E-2</v>
      </c>
      <c r="F59" s="1087">
        <v>0.1</v>
      </c>
    </row>
    <row r="60" spans="1:6" ht="15" thickBot="1">
      <c r="A60" s="848" t="s">
        <v>87</v>
      </c>
      <c r="B60" s="842" t="s">
        <v>259</v>
      </c>
      <c r="C60" s="1086">
        <v>9.6000000000000002E-2</v>
      </c>
      <c r="D60" s="1086">
        <v>8.8999999999999996E-2</v>
      </c>
      <c r="E60" s="1086">
        <v>9.6000000000000002E-2</v>
      </c>
      <c r="F60" s="1087">
        <v>0.1</v>
      </c>
    </row>
    <row r="61" spans="1:6" ht="15" thickBot="1">
      <c r="A61" s="848" t="s">
        <v>87</v>
      </c>
      <c r="B61" s="842" t="s">
        <v>270</v>
      </c>
      <c r="C61" s="1086">
        <v>8.8999999999999996E-2</v>
      </c>
      <c r="D61" s="1086">
        <v>9.8000000000000004E-2</v>
      </c>
      <c r="E61" s="1086">
        <v>8.7999999999999995E-2</v>
      </c>
      <c r="F61" s="1091"/>
    </row>
    <row r="62" spans="1:6" ht="15" thickBot="1">
      <c r="A62" s="848" t="s">
        <v>87</v>
      </c>
      <c r="B62" s="842" t="s">
        <v>281</v>
      </c>
      <c r="C62" s="1086">
        <v>9.8000000000000004E-2</v>
      </c>
      <c r="D62" s="1086">
        <v>9.2999999999999999E-2</v>
      </c>
      <c r="E62" s="1086">
        <v>9.7000000000000003E-2</v>
      </c>
      <c r="F62" s="1091"/>
    </row>
    <row r="63" spans="1:6" ht="15" thickBot="1">
      <c r="A63" s="848" t="s">
        <v>87</v>
      </c>
      <c r="B63" s="842" t="s">
        <v>292</v>
      </c>
      <c r="C63" s="1086">
        <v>9.6000000000000002E-2</v>
      </c>
      <c r="D63" s="1086">
        <v>9.8000000000000004E-2</v>
      </c>
      <c r="E63" s="1086">
        <v>0.09</v>
      </c>
      <c r="F63" s="1091"/>
    </row>
    <row r="64" spans="1:6" ht="15" thickBot="1">
      <c r="A64" s="848" t="s">
        <v>87</v>
      </c>
      <c r="B64" s="842" t="s">
        <v>302</v>
      </c>
      <c r="C64" s="1086">
        <v>9.9000000000000005E-2</v>
      </c>
      <c r="D64" s="1086">
        <v>9.7000000000000003E-2</v>
      </c>
      <c r="E64" s="1086">
        <v>9.9000000000000005E-2</v>
      </c>
      <c r="F64" s="1091"/>
    </row>
    <row r="65" spans="1:6" ht="15" thickBot="1">
      <c r="A65" s="848" t="s">
        <v>87</v>
      </c>
      <c r="B65" s="842" t="s">
        <v>312</v>
      </c>
      <c r="C65" s="1086">
        <v>9.8000000000000004E-2</v>
      </c>
      <c r="D65" s="1086">
        <v>9.6000000000000002E-2</v>
      </c>
      <c r="E65" s="1086">
        <v>9.6000000000000002E-2</v>
      </c>
      <c r="F65" s="1091"/>
    </row>
    <row r="66" spans="1:6" ht="15" thickBot="1">
      <c r="A66" s="848" t="s">
        <v>87</v>
      </c>
      <c r="B66" s="842" t="s">
        <v>322</v>
      </c>
      <c r="C66" s="1086">
        <v>9.6000000000000002E-2</v>
      </c>
      <c r="D66" s="1086">
        <v>9.1999999999999998E-2</v>
      </c>
      <c r="E66" s="1086">
        <v>9.6000000000000002E-2</v>
      </c>
      <c r="F66" s="1091"/>
    </row>
    <row r="67" spans="1:6" ht="15" thickBot="1">
      <c r="A67" s="848" t="s">
        <v>87</v>
      </c>
      <c r="B67" s="842" t="s">
        <v>332</v>
      </c>
      <c r="C67" s="1086">
        <v>9.4E-2</v>
      </c>
      <c r="D67" s="1086">
        <v>0.1</v>
      </c>
      <c r="E67" s="1086">
        <v>8.7999999999999995E-2</v>
      </c>
      <c r="F67" s="1091"/>
    </row>
    <row r="68" spans="1:6" ht="15" thickBot="1">
      <c r="A68" s="848" t="s">
        <v>87</v>
      </c>
      <c r="B68" s="842" t="s">
        <v>341</v>
      </c>
      <c r="C68" s="1086">
        <v>0.1</v>
      </c>
      <c r="D68" s="1086">
        <v>8.7999999999999995E-2</v>
      </c>
      <c r="E68" s="1086">
        <v>9.7000000000000003E-2</v>
      </c>
      <c r="F68" s="1091"/>
    </row>
    <row r="69" spans="1:6" ht="15" thickBot="1">
      <c r="A69" s="848" t="s">
        <v>87</v>
      </c>
      <c r="B69" s="842" t="s">
        <v>350</v>
      </c>
      <c r="C69" s="1086">
        <v>6.4000000000000001E-2</v>
      </c>
      <c r="D69" s="1086">
        <v>0.1</v>
      </c>
      <c r="E69" s="1086">
        <v>0.1</v>
      </c>
      <c r="F69" s="1091"/>
    </row>
    <row r="70" spans="1:6" ht="15" thickBot="1">
      <c r="A70" s="848" t="s">
        <v>87</v>
      </c>
      <c r="B70" s="842" t="s">
        <v>358</v>
      </c>
      <c r="C70" s="1086">
        <v>9.0999999999999998E-2</v>
      </c>
      <c r="D70" s="1092"/>
      <c r="E70" s="1092"/>
      <c r="F70" s="1091"/>
    </row>
    <row r="71" spans="1:6" ht="15" thickBot="1">
      <c r="A71" s="848" t="s">
        <v>87</v>
      </c>
      <c r="B71" s="842" t="s">
        <v>365</v>
      </c>
      <c r="C71" s="1086">
        <v>0.1</v>
      </c>
      <c r="D71" s="1092"/>
      <c r="E71" s="1092"/>
      <c r="F71" s="1091"/>
    </row>
    <row r="72" spans="1:6" ht="24.6" thickBot="1">
      <c r="A72" s="848" t="s">
        <v>87</v>
      </c>
      <c r="B72" s="842" t="s">
        <v>797</v>
      </c>
      <c r="C72" s="1092"/>
      <c r="D72" s="1092"/>
      <c r="E72" s="1092"/>
      <c r="F72" s="1087">
        <v>0.05</v>
      </c>
    </row>
    <row r="73" spans="1:6" ht="24.6" thickBot="1">
      <c r="A73" s="848" t="s">
        <v>87</v>
      </c>
      <c r="B73" s="842" t="s">
        <v>798</v>
      </c>
      <c r="C73" s="1092"/>
      <c r="D73" s="1092"/>
      <c r="E73" s="1092"/>
      <c r="F73" s="1087">
        <v>0.05</v>
      </c>
    </row>
    <row r="74" spans="1:6" ht="24.6" thickBot="1">
      <c r="A74" s="848" t="s">
        <v>87</v>
      </c>
      <c r="B74" s="842" t="s">
        <v>799</v>
      </c>
      <c r="C74" s="1092"/>
      <c r="D74" s="1092"/>
      <c r="E74" s="1092"/>
      <c r="F74" s="1087">
        <v>0.05</v>
      </c>
    </row>
    <row r="75" spans="1:6" ht="24.6" thickBot="1">
      <c r="A75" s="865" t="s">
        <v>87</v>
      </c>
      <c r="B75" s="858" t="s">
        <v>800</v>
      </c>
      <c r="C75" s="1089"/>
      <c r="D75" s="1089"/>
      <c r="E75" s="1089"/>
      <c r="F75" s="1093">
        <v>0.05</v>
      </c>
    </row>
    <row r="76" spans="1:6" ht="15" thickBot="1">
      <c r="A76" s="848" t="s">
        <v>480</v>
      </c>
      <c r="B76" s="849" t="s">
        <v>801</v>
      </c>
      <c r="C76" s="1084">
        <v>0.1</v>
      </c>
      <c r="D76" s="1084">
        <v>0.1</v>
      </c>
      <c r="E76" s="1084">
        <v>0.1</v>
      </c>
      <c r="F76" s="1085">
        <v>0.1</v>
      </c>
    </row>
    <row r="77" spans="1:6" ht="15" thickBot="1">
      <c r="A77" s="848" t="s">
        <v>480</v>
      </c>
      <c r="B77" s="842" t="s">
        <v>140</v>
      </c>
      <c r="C77" s="1086">
        <v>8.7999999999999995E-2</v>
      </c>
      <c r="D77" s="1086">
        <v>8.6999999999999994E-2</v>
      </c>
      <c r="E77" s="1086">
        <v>7.9000000000000001E-2</v>
      </c>
      <c r="F77" s="1087">
        <v>0.1</v>
      </c>
    </row>
    <row r="78" spans="1:6" ht="15" thickBot="1">
      <c r="A78" s="848" t="s">
        <v>480</v>
      </c>
      <c r="B78" s="842" t="s">
        <v>153</v>
      </c>
      <c r="C78" s="1086">
        <v>8.6999999999999994E-2</v>
      </c>
      <c r="D78" s="1086">
        <v>8.4000000000000005E-2</v>
      </c>
      <c r="E78" s="1086">
        <v>9.6000000000000002E-2</v>
      </c>
      <c r="F78" s="1087">
        <v>0.1</v>
      </c>
    </row>
    <row r="79" spans="1:6" ht="15" thickBot="1">
      <c r="A79" s="848" t="s">
        <v>480</v>
      </c>
      <c r="B79" s="842" t="s">
        <v>166</v>
      </c>
      <c r="C79" s="1086">
        <v>9.8000000000000004E-2</v>
      </c>
      <c r="D79" s="1086">
        <v>9.8000000000000004E-2</v>
      </c>
      <c r="E79" s="1086">
        <v>9.0999999999999998E-2</v>
      </c>
      <c r="F79" s="1087">
        <v>0.1</v>
      </c>
    </row>
    <row r="80" spans="1:6" ht="15" thickBot="1">
      <c r="A80" s="848" t="s">
        <v>480</v>
      </c>
      <c r="B80" s="842" t="s">
        <v>178</v>
      </c>
      <c r="C80" s="1086">
        <v>9.6000000000000002E-2</v>
      </c>
      <c r="D80" s="1086">
        <v>9.6000000000000002E-2</v>
      </c>
      <c r="E80" s="1086">
        <v>0.1</v>
      </c>
      <c r="F80" s="1087">
        <v>0.1</v>
      </c>
    </row>
    <row r="81" spans="1:6" ht="15" thickBot="1">
      <c r="A81" s="848" t="s">
        <v>480</v>
      </c>
      <c r="B81" s="842" t="s">
        <v>190</v>
      </c>
      <c r="C81" s="1086">
        <v>9.9000000000000005E-2</v>
      </c>
      <c r="D81" s="1086">
        <v>9.9000000000000005E-2</v>
      </c>
      <c r="E81" s="1086">
        <v>9.8000000000000004E-2</v>
      </c>
      <c r="F81" s="1087">
        <v>0.1</v>
      </c>
    </row>
    <row r="82" spans="1:6" ht="15" thickBot="1">
      <c r="A82" s="848" t="s">
        <v>480</v>
      </c>
      <c r="B82" s="842" t="s">
        <v>202</v>
      </c>
      <c r="C82" s="1086">
        <v>9.9000000000000005E-2</v>
      </c>
      <c r="D82" s="1086">
        <v>9.9000000000000005E-2</v>
      </c>
      <c r="E82" s="1086">
        <v>9.7000000000000003E-2</v>
      </c>
      <c r="F82" s="1087">
        <v>0.1</v>
      </c>
    </row>
    <row r="83" spans="1:6" ht="15" thickBot="1">
      <c r="A83" s="848" t="s">
        <v>480</v>
      </c>
      <c r="B83" s="842" t="s">
        <v>214</v>
      </c>
      <c r="C83" s="1086">
        <v>9.8000000000000004E-2</v>
      </c>
      <c r="D83" s="1086">
        <v>9.8000000000000004E-2</v>
      </c>
      <c r="E83" s="1086">
        <v>9.8000000000000004E-2</v>
      </c>
      <c r="F83" s="1087">
        <v>0.1</v>
      </c>
    </row>
    <row r="84" spans="1:6" ht="15" thickBot="1">
      <c r="A84" s="848" t="s">
        <v>480</v>
      </c>
      <c r="B84" s="842" t="s">
        <v>227</v>
      </c>
      <c r="C84" s="1086">
        <v>9.9000000000000005E-2</v>
      </c>
      <c r="D84" s="1086">
        <v>9.9000000000000005E-2</v>
      </c>
      <c r="E84" s="1086">
        <v>9.9000000000000005E-2</v>
      </c>
      <c r="F84" s="1087">
        <v>0.1</v>
      </c>
    </row>
    <row r="85" spans="1:6" ht="15" thickBot="1">
      <c r="A85" s="848" t="s">
        <v>480</v>
      </c>
      <c r="B85" s="842" t="s">
        <v>238</v>
      </c>
      <c r="C85" s="1086">
        <v>9.9000000000000005E-2</v>
      </c>
      <c r="D85" s="1086">
        <v>9.9000000000000005E-2</v>
      </c>
      <c r="E85" s="1086">
        <v>9.9000000000000005E-2</v>
      </c>
      <c r="F85" s="1087">
        <v>0.1</v>
      </c>
    </row>
    <row r="86" spans="1:6" ht="15" thickBot="1">
      <c r="A86" s="848" t="s">
        <v>480</v>
      </c>
      <c r="B86" s="842" t="s">
        <v>249</v>
      </c>
      <c r="C86" s="1086">
        <v>0.1</v>
      </c>
      <c r="D86" s="1086">
        <v>0.1</v>
      </c>
      <c r="E86" s="1086">
        <v>7.6999999999999999E-2</v>
      </c>
      <c r="F86" s="1087">
        <v>0.1</v>
      </c>
    </row>
    <row r="87" spans="1:6" ht="15" thickBot="1">
      <c r="A87" s="848" t="s">
        <v>480</v>
      </c>
      <c r="B87" s="842" t="s">
        <v>260</v>
      </c>
      <c r="C87" s="1086">
        <v>0.1</v>
      </c>
      <c r="D87" s="1086">
        <v>0.1</v>
      </c>
      <c r="E87" s="1086">
        <v>9.8000000000000004E-2</v>
      </c>
      <c r="F87" s="1091"/>
    </row>
    <row r="88" spans="1:6" ht="15" thickBot="1">
      <c r="A88" s="848" t="s">
        <v>480</v>
      </c>
      <c r="B88" s="842" t="s">
        <v>271</v>
      </c>
      <c r="C88" s="1086">
        <v>9.1999999999999998E-2</v>
      </c>
      <c r="D88" s="1086">
        <v>8.5000000000000006E-2</v>
      </c>
      <c r="E88" s="1086">
        <v>9.6000000000000002E-2</v>
      </c>
      <c r="F88" s="1091"/>
    </row>
    <row r="89" spans="1:6" ht="15" thickBot="1">
      <c r="A89" s="848" t="s">
        <v>480</v>
      </c>
      <c r="B89" s="842" t="s">
        <v>282</v>
      </c>
      <c r="C89" s="1086">
        <v>0.1</v>
      </c>
      <c r="D89" s="1086">
        <v>0.1</v>
      </c>
      <c r="E89" s="1086">
        <v>9.7000000000000003E-2</v>
      </c>
      <c r="F89" s="1091"/>
    </row>
    <row r="90" spans="1:6" ht="15" thickBot="1">
      <c r="A90" s="848" t="s">
        <v>480</v>
      </c>
      <c r="B90" s="842" t="s">
        <v>293</v>
      </c>
      <c r="C90" s="1086">
        <v>9.8000000000000004E-2</v>
      </c>
      <c r="D90" s="1086">
        <v>9.8000000000000004E-2</v>
      </c>
      <c r="E90" s="1086">
        <v>8.7999999999999995E-2</v>
      </c>
      <c r="F90" s="1091"/>
    </row>
    <row r="91" spans="1:6" ht="15" thickBot="1">
      <c r="A91" s="848" t="s">
        <v>480</v>
      </c>
      <c r="B91" s="842" t="s">
        <v>303</v>
      </c>
      <c r="C91" s="1086">
        <v>9.9000000000000005E-2</v>
      </c>
      <c r="D91" s="1086">
        <v>9.9000000000000005E-2</v>
      </c>
      <c r="E91" s="1086">
        <v>9.0999999999999998E-2</v>
      </c>
      <c r="F91" s="1091"/>
    </row>
    <row r="92" spans="1:6" ht="15" thickBot="1">
      <c r="A92" s="848" t="s">
        <v>480</v>
      </c>
      <c r="B92" s="842" t="s">
        <v>313</v>
      </c>
      <c r="C92" s="1086">
        <v>9.6000000000000002E-2</v>
      </c>
      <c r="D92" s="1086">
        <v>9.6000000000000002E-2</v>
      </c>
      <c r="E92" s="1086">
        <v>7.2999999999999995E-2</v>
      </c>
      <c r="F92" s="1091"/>
    </row>
    <row r="93" spans="1:6" ht="15" thickBot="1">
      <c r="A93" s="848" t="s">
        <v>480</v>
      </c>
      <c r="B93" s="842" t="s">
        <v>323</v>
      </c>
      <c r="C93" s="1086">
        <v>9.6000000000000002E-2</v>
      </c>
      <c r="D93" s="1086">
        <v>9.6000000000000002E-2</v>
      </c>
      <c r="E93" s="1086">
        <v>9.9000000000000005E-2</v>
      </c>
      <c r="F93" s="1091"/>
    </row>
    <row r="94" spans="1:6" ht="15" thickBot="1">
      <c r="A94" s="848" t="s">
        <v>480</v>
      </c>
      <c r="B94" s="842" t="s">
        <v>333</v>
      </c>
      <c r="C94" s="1086">
        <v>7.5999999999999998E-2</v>
      </c>
      <c r="D94" s="1086">
        <v>7.3999999999999996E-2</v>
      </c>
      <c r="E94" s="1086">
        <v>9.7000000000000003E-2</v>
      </c>
      <c r="F94" s="1091"/>
    </row>
    <row r="95" spans="1:6" ht="15" thickBot="1">
      <c r="A95" s="848" t="s">
        <v>480</v>
      </c>
      <c r="B95" s="842" t="s">
        <v>342</v>
      </c>
      <c r="C95" s="1086">
        <v>9.9000000000000005E-2</v>
      </c>
      <c r="D95" s="1086">
        <v>9.4E-2</v>
      </c>
      <c r="E95" s="1086">
        <v>9.6000000000000002E-2</v>
      </c>
      <c r="F95" s="1091"/>
    </row>
    <row r="96" spans="1:6" ht="15" thickBot="1">
      <c r="A96" s="848" t="s">
        <v>480</v>
      </c>
      <c r="B96" s="842" t="s">
        <v>351</v>
      </c>
      <c r="C96" s="1086">
        <v>9.9000000000000005E-2</v>
      </c>
      <c r="D96" s="1086">
        <v>9.9000000000000005E-2</v>
      </c>
      <c r="E96" s="1086">
        <v>9.9000000000000005E-2</v>
      </c>
      <c r="F96" s="1091"/>
    </row>
    <row r="97" spans="1:6" ht="15" thickBot="1">
      <c r="A97" s="848" t="s">
        <v>480</v>
      </c>
      <c r="B97" s="842" t="s">
        <v>359</v>
      </c>
      <c r="C97" s="1086">
        <v>9.8000000000000004E-2</v>
      </c>
      <c r="D97" s="1086">
        <v>9.8000000000000004E-2</v>
      </c>
      <c r="E97" s="1086">
        <v>9.7000000000000003E-2</v>
      </c>
      <c r="F97" s="1091"/>
    </row>
    <row r="98" spans="1:6" ht="15" thickBot="1">
      <c r="A98" s="848" t="s">
        <v>480</v>
      </c>
      <c r="B98" s="842" t="s">
        <v>366</v>
      </c>
      <c r="C98" s="1086">
        <v>0.1</v>
      </c>
      <c r="D98" s="1086">
        <v>0.1</v>
      </c>
      <c r="E98" s="1086">
        <v>9.7000000000000003E-2</v>
      </c>
      <c r="F98" s="1091"/>
    </row>
    <row r="99" spans="1:6" ht="15" thickBot="1">
      <c r="A99" s="848" t="s">
        <v>480</v>
      </c>
      <c r="B99" s="842" t="s">
        <v>373</v>
      </c>
      <c r="C99" s="1086">
        <v>0.1</v>
      </c>
      <c r="D99" s="1086">
        <v>0.1</v>
      </c>
      <c r="E99" s="1092"/>
      <c r="F99" s="1091"/>
    </row>
    <row r="100" spans="1:6" ht="15" thickBot="1">
      <c r="A100" s="848" t="s">
        <v>480</v>
      </c>
      <c r="B100" s="842" t="s">
        <v>380</v>
      </c>
      <c r="C100" s="1086">
        <v>0.09</v>
      </c>
      <c r="D100" s="1086">
        <v>8.8999999999999996E-2</v>
      </c>
      <c r="E100" s="1092"/>
      <c r="F100" s="1091"/>
    </row>
    <row r="101" spans="1:6" ht="15" thickBot="1">
      <c r="A101" s="848" t="s">
        <v>480</v>
      </c>
      <c r="B101" s="842" t="s">
        <v>387</v>
      </c>
      <c r="C101" s="1086">
        <v>9.8000000000000004E-2</v>
      </c>
      <c r="D101" s="1086">
        <v>9.7000000000000003E-2</v>
      </c>
      <c r="E101" s="1092"/>
      <c r="F101" s="1091"/>
    </row>
    <row r="102" spans="1:6" ht="24.6" thickBot="1">
      <c r="A102" s="848" t="s">
        <v>480</v>
      </c>
      <c r="B102" s="842" t="s">
        <v>802</v>
      </c>
      <c r="C102" s="1092"/>
      <c r="D102" s="1092"/>
      <c r="E102" s="1092"/>
      <c r="F102" s="1087">
        <v>0.05</v>
      </c>
    </row>
    <row r="103" spans="1:6" ht="24.6" thickBot="1">
      <c r="A103" s="848" t="s">
        <v>480</v>
      </c>
      <c r="B103" s="842" t="s">
        <v>803</v>
      </c>
      <c r="C103" s="1092"/>
      <c r="D103" s="1092"/>
      <c r="E103" s="1092"/>
      <c r="F103" s="1087">
        <v>0.05</v>
      </c>
    </row>
    <row r="104" spans="1:6" ht="15" thickBot="1">
      <c r="A104" s="848" t="s">
        <v>480</v>
      </c>
      <c r="B104" s="842" t="s">
        <v>804</v>
      </c>
      <c r="C104" s="1092"/>
      <c r="D104" s="1092"/>
      <c r="E104" s="1092"/>
      <c r="F104" s="1087">
        <v>0.05</v>
      </c>
    </row>
    <row r="105" spans="1:6" ht="24.6" thickBot="1">
      <c r="A105" s="848" t="s">
        <v>480</v>
      </c>
      <c r="B105" s="842" t="s">
        <v>805</v>
      </c>
      <c r="C105" s="1092"/>
      <c r="D105" s="1092"/>
      <c r="E105" s="1092"/>
      <c r="F105" s="1087">
        <v>0.05</v>
      </c>
    </row>
    <row r="106" spans="1:6" ht="24.6" thickBot="1">
      <c r="A106" s="848" t="s">
        <v>480</v>
      </c>
      <c r="B106" s="842" t="s">
        <v>806</v>
      </c>
      <c r="C106" s="1092"/>
      <c r="D106" s="1092"/>
      <c r="E106" s="1092"/>
      <c r="F106" s="1087">
        <v>0.05</v>
      </c>
    </row>
    <row r="107" spans="1:6" ht="24.6" thickBot="1">
      <c r="A107" s="848" t="s">
        <v>480</v>
      </c>
      <c r="B107" s="842" t="s">
        <v>807</v>
      </c>
      <c r="C107" s="1092"/>
      <c r="D107" s="1092"/>
      <c r="E107" s="1092"/>
      <c r="F107" s="1087">
        <v>0.05</v>
      </c>
    </row>
    <row r="108" spans="1:6" ht="24.6" thickBot="1">
      <c r="A108" s="848" t="s">
        <v>480</v>
      </c>
      <c r="B108" s="842" t="s">
        <v>808</v>
      </c>
      <c r="C108" s="1092"/>
      <c r="D108" s="1092"/>
      <c r="E108" s="1092"/>
      <c r="F108" s="1087">
        <v>0.05</v>
      </c>
    </row>
    <row r="109" spans="1:6" ht="24.6" thickBot="1">
      <c r="A109" s="865" t="s">
        <v>480</v>
      </c>
      <c r="B109" s="858" t="s">
        <v>809</v>
      </c>
      <c r="C109" s="1089"/>
      <c r="D109" s="1089"/>
      <c r="E109" s="1089"/>
      <c r="F109" s="1093">
        <v>0.05</v>
      </c>
    </row>
    <row r="110" spans="1:6" ht="15" thickBot="1">
      <c r="A110" s="848" t="s">
        <v>70</v>
      </c>
      <c r="B110" s="849" t="s">
        <v>810</v>
      </c>
      <c r="C110" s="1084">
        <v>0.129</v>
      </c>
      <c r="D110" s="1084">
        <v>0.129</v>
      </c>
      <c r="E110" s="1084">
        <v>0.126</v>
      </c>
      <c r="F110" s="1085">
        <v>0.13</v>
      </c>
    </row>
    <row r="111" spans="1:6" ht="15" thickBot="1">
      <c r="A111" s="848" t="s">
        <v>70</v>
      </c>
      <c r="B111" s="842" t="s">
        <v>141</v>
      </c>
      <c r="C111" s="1086">
        <v>0.11</v>
      </c>
      <c r="D111" s="1086">
        <v>0.11</v>
      </c>
      <c r="E111" s="1086">
        <v>9.9000000000000005E-2</v>
      </c>
      <c r="F111" s="1087">
        <v>0.128</v>
      </c>
    </row>
    <row r="112" spans="1:6" ht="15" thickBot="1">
      <c r="A112" s="848" t="s">
        <v>70</v>
      </c>
      <c r="B112" s="842" t="s">
        <v>154</v>
      </c>
      <c r="C112" s="1086">
        <v>0.125</v>
      </c>
      <c r="D112" s="1086">
        <v>0.125</v>
      </c>
      <c r="E112" s="1086">
        <v>0.12</v>
      </c>
      <c r="F112" s="1087">
        <v>0.125</v>
      </c>
    </row>
    <row r="113" spans="1:6" ht="15" thickBot="1">
      <c r="A113" s="848" t="s">
        <v>70</v>
      </c>
      <c r="B113" s="842" t="s">
        <v>167</v>
      </c>
      <c r="C113" s="1086">
        <v>0.13</v>
      </c>
      <c r="D113" s="1086">
        <v>0.13</v>
      </c>
      <c r="E113" s="1086">
        <v>0.13</v>
      </c>
      <c r="F113" s="1087">
        <v>0.13</v>
      </c>
    </row>
    <row r="114" spans="1:6" ht="15" thickBot="1">
      <c r="A114" s="848" t="s">
        <v>70</v>
      </c>
      <c r="B114" s="842" t="s">
        <v>179</v>
      </c>
      <c r="C114" s="1086">
        <v>0.123</v>
      </c>
      <c r="D114" s="1086">
        <v>0.123</v>
      </c>
      <c r="E114" s="1086">
        <v>0.12</v>
      </c>
      <c r="F114" s="1087">
        <v>0.13</v>
      </c>
    </row>
    <row r="115" spans="1:6" ht="15" thickBot="1">
      <c r="A115" s="848" t="s">
        <v>70</v>
      </c>
      <c r="B115" s="842" t="s">
        <v>191</v>
      </c>
      <c r="C115" s="1086">
        <v>0.125</v>
      </c>
      <c r="D115" s="1086">
        <v>0.125</v>
      </c>
      <c r="E115" s="1086">
        <v>0.11700000000000001</v>
      </c>
      <c r="F115" s="1087">
        <v>0.13</v>
      </c>
    </row>
    <row r="116" spans="1:6" ht="15" thickBot="1">
      <c r="A116" s="848" t="s">
        <v>70</v>
      </c>
      <c r="B116" s="842" t="s">
        <v>203</v>
      </c>
      <c r="C116" s="1086">
        <v>0.11700000000000001</v>
      </c>
      <c r="D116" s="1086">
        <v>0.11700000000000001</v>
      </c>
      <c r="E116" s="1086">
        <v>8.7999999999999995E-2</v>
      </c>
      <c r="F116" s="1087">
        <v>0.13</v>
      </c>
    </row>
    <row r="117" spans="1:6" ht="15" thickBot="1">
      <c r="A117" s="848" t="s">
        <v>70</v>
      </c>
      <c r="B117" s="842" t="s">
        <v>215</v>
      </c>
      <c r="C117" s="1086">
        <v>0.13</v>
      </c>
      <c r="D117" s="1086">
        <v>0.13</v>
      </c>
      <c r="E117" s="1086">
        <v>0.129</v>
      </c>
      <c r="F117" s="1087">
        <v>0.13</v>
      </c>
    </row>
    <row r="118" spans="1:6" ht="15" thickBot="1">
      <c r="A118" s="848" t="s">
        <v>70</v>
      </c>
      <c r="B118" s="842" t="s">
        <v>228</v>
      </c>
      <c r="C118" s="1086">
        <v>0.123</v>
      </c>
      <c r="D118" s="1086">
        <v>0.123</v>
      </c>
      <c r="E118" s="1086">
        <v>0.11600000000000001</v>
      </c>
      <c r="F118" s="1087">
        <v>0.13</v>
      </c>
    </row>
    <row r="119" spans="1:6" ht="15" thickBot="1">
      <c r="A119" s="848" t="s">
        <v>70</v>
      </c>
      <c r="B119" s="842" t="s">
        <v>239</v>
      </c>
      <c r="C119" s="1086">
        <v>0.127</v>
      </c>
      <c r="D119" s="1086">
        <v>0.127</v>
      </c>
      <c r="E119" s="1086">
        <v>0.124</v>
      </c>
      <c r="F119" s="1087">
        <v>0.13</v>
      </c>
    </row>
    <row r="120" spans="1:6" ht="15" thickBot="1">
      <c r="A120" s="848" t="s">
        <v>70</v>
      </c>
      <c r="B120" s="842" t="s">
        <v>250</v>
      </c>
      <c r="C120" s="1086">
        <v>0.125</v>
      </c>
      <c r="D120" s="1086">
        <v>0.125</v>
      </c>
      <c r="E120" s="1086">
        <v>0.122</v>
      </c>
      <c r="F120" s="1087">
        <v>0.13</v>
      </c>
    </row>
    <row r="121" spans="1:6" ht="15" thickBot="1">
      <c r="A121" s="848" t="s">
        <v>70</v>
      </c>
      <c r="B121" s="842" t="s">
        <v>261</v>
      </c>
      <c r="C121" s="1086">
        <v>0.13</v>
      </c>
      <c r="D121" s="1086">
        <v>0.13</v>
      </c>
      <c r="E121" s="1086">
        <v>0.13</v>
      </c>
      <c r="F121" s="1087">
        <v>0.13</v>
      </c>
    </row>
    <row r="122" spans="1:6" ht="15" thickBot="1">
      <c r="A122" s="848" t="s">
        <v>70</v>
      </c>
      <c r="B122" s="842" t="s">
        <v>272</v>
      </c>
      <c r="C122" s="1086">
        <v>0.13</v>
      </c>
      <c r="D122" s="1086">
        <v>0.13</v>
      </c>
      <c r="E122" s="1086">
        <v>0.125</v>
      </c>
      <c r="F122" s="1087">
        <v>0.13</v>
      </c>
    </row>
    <row r="123" spans="1:6" ht="15" thickBot="1">
      <c r="A123" s="848" t="s">
        <v>70</v>
      </c>
      <c r="B123" s="842" t="s">
        <v>283</v>
      </c>
      <c r="C123" s="1086">
        <v>0.129</v>
      </c>
      <c r="D123" s="1086">
        <v>0.129</v>
      </c>
      <c r="E123" s="1086">
        <v>0.123</v>
      </c>
      <c r="F123" s="1087">
        <v>0.13</v>
      </c>
    </row>
    <row r="124" spans="1:6" ht="15" thickBot="1">
      <c r="A124" s="848" t="s">
        <v>70</v>
      </c>
      <c r="B124" s="842" t="s">
        <v>294</v>
      </c>
      <c r="C124" s="1086">
        <v>0.10199999999999999</v>
      </c>
      <c r="D124" s="1086">
        <v>0.10100000000000001</v>
      </c>
      <c r="E124" s="1086">
        <v>0.08</v>
      </c>
      <c r="F124" s="1091"/>
    </row>
    <row r="125" spans="1:6" ht="15" thickBot="1">
      <c r="A125" s="848" t="s">
        <v>70</v>
      </c>
      <c r="B125" s="842" t="s">
        <v>304</v>
      </c>
      <c r="C125" s="1086">
        <v>0.13</v>
      </c>
      <c r="D125" s="1086">
        <v>0.13</v>
      </c>
      <c r="E125" s="1086">
        <v>0.129</v>
      </c>
      <c r="F125" s="1091"/>
    </row>
    <row r="126" spans="1:6" ht="15" thickBot="1">
      <c r="A126" s="848" t="s">
        <v>70</v>
      </c>
      <c r="B126" s="842" t="s">
        <v>314</v>
      </c>
      <c r="C126" s="1086">
        <v>0.13</v>
      </c>
      <c r="D126" s="1086">
        <v>0.13</v>
      </c>
      <c r="E126" s="1086">
        <v>0.126</v>
      </c>
      <c r="F126" s="1091"/>
    </row>
    <row r="127" spans="1:6" ht="15" thickBot="1">
      <c r="A127" s="848" t="s">
        <v>70</v>
      </c>
      <c r="B127" s="842" t="s">
        <v>324</v>
      </c>
      <c r="C127" s="1086">
        <v>0.125</v>
      </c>
      <c r="D127" s="1086">
        <v>0.125</v>
      </c>
      <c r="E127" s="1086">
        <v>0.121</v>
      </c>
      <c r="F127" s="1091"/>
    </row>
    <row r="128" spans="1:6" ht="15" thickBot="1">
      <c r="A128" s="848" t="s">
        <v>70</v>
      </c>
      <c r="B128" s="842" t="s">
        <v>334</v>
      </c>
      <c r="C128" s="1086">
        <v>0.12</v>
      </c>
      <c r="D128" s="1086">
        <v>0.12</v>
      </c>
      <c r="E128" s="1086">
        <v>0.105</v>
      </c>
      <c r="F128" s="1091"/>
    </row>
    <row r="129" spans="1:6" ht="15" thickBot="1">
      <c r="A129" s="848" t="s">
        <v>70</v>
      </c>
      <c r="B129" s="842" t="s">
        <v>343</v>
      </c>
      <c r="C129" s="1086">
        <v>0.13</v>
      </c>
      <c r="D129" s="1086">
        <v>0.13</v>
      </c>
      <c r="E129" s="1086">
        <v>0.126</v>
      </c>
      <c r="F129" s="1091"/>
    </row>
    <row r="130" spans="1:6" ht="15" thickBot="1">
      <c r="A130" s="848" t="s">
        <v>70</v>
      </c>
      <c r="B130" s="842" t="s">
        <v>352</v>
      </c>
      <c r="C130" s="1086">
        <v>0.125</v>
      </c>
      <c r="D130" s="1086">
        <v>0.125</v>
      </c>
      <c r="E130" s="1086">
        <v>0.122</v>
      </c>
      <c r="F130" s="1091"/>
    </row>
    <row r="131" spans="1:6" ht="15" thickBot="1">
      <c r="A131" s="848" t="s">
        <v>70</v>
      </c>
      <c r="B131" s="842" t="s">
        <v>360</v>
      </c>
      <c r="C131" s="1086">
        <v>0.127</v>
      </c>
      <c r="D131" s="1086">
        <v>0.126</v>
      </c>
      <c r="E131" s="1086">
        <v>0.123</v>
      </c>
      <c r="F131" s="1091"/>
    </row>
    <row r="132" spans="1:6" ht="15" thickBot="1">
      <c r="A132" s="848" t="s">
        <v>70</v>
      </c>
      <c r="B132" s="842" t="s">
        <v>367</v>
      </c>
      <c r="C132" s="1086">
        <v>9.0999999999999998E-2</v>
      </c>
      <c r="D132" s="1086">
        <v>0.121</v>
      </c>
      <c r="E132" s="1086">
        <v>9.9000000000000005E-2</v>
      </c>
      <c r="F132" s="1091"/>
    </row>
    <row r="133" spans="1:6" ht="15" thickBot="1">
      <c r="A133" s="848" t="s">
        <v>70</v>
      </c>
      <c r="B133" s="842" t="s">
        <v>374</v>
      </c>
      <c r="C133" s="1086">
        <v>0.13</v>
      </c>
      <c r="D133" s="1086">
        <v>0.13</v>
      </c>
      <c r="E133" s="1086">
        <v>0.129</v>
      </c>
      <c r="F133" s="1091"/>
    </row>
    <row r="134" spans="1:6" ht="15" thickBot="1">
      <c r="A134" s="848" t="s">
        <v>70</v>
      </c>
      <c r="B134" s="842" t="s">
        <v>811</v>
      </c>
      <c r="C134" s="1086">
        <v>6.8000000000000005E-2</v>
      </c>
      <c r="D134" s="1086">
        <v>6.5000000000000002E-2</v>
      </c>
      <c r="E134" s="1086">
        <v>6.5000000000000002E-2</v>
      </c>
      <c r="F134" s="1087">
        <v>0.13</v>
      </c>
    </row>
    <row r="135" spans="1:6" ht="15" thickBot="1">
      <c r="A135" s="848" t="s">
        <v>70</v>
      </c>
      <c r="B135" s="842" t="s">
        <v>388</v>
      </c>
      <c r="C135" s="1086">
        <v>0.123</v>
      </c>
      <c r="D135" s="1086">
        <v>0.123</v>
      </c>
      <c r="E135" s="1086">
        <v>0.11</v>
      </c>
      <c r="F135" s="1091"/>
    </row>
    <row r="136" spans="1:6" ht="15" thickBot="1">
      <c r="A136" s="848" t="s">
        <v>70</v>
      </c>
      <c r="B136" s="842" t="s">
        <v>395</v>
      </c>
      <c r="C136" s="1086">
        <v>0.13</v>
      </c>
      <c r="D136" s="1086">
        <v>0.13</v>
      </c>
      <c r="E136" s="1086">
        <v>0.125</v>
      </c>
      <c r="F136" s="1091"/>
    </row>
    <row r="137" spans="1:6" ht="15" thickBot="1">
      <c r="A137" s="848" t="s">
        <v>70</v>
      </c>
      <c r="B137" s="842" t="s">
        <v>402</v>
      </c>
      <c r="C137" s="1086">
        <v>0.121</v>
      </c>
      <c r="D137" s="1086">
        <v>0.122</v>
      </c>
      <c r="E137" s="1086">
        <v>0.115</v>
      </c>
      <c r="F137" s="1091"/>
    </row>
    <row r="138" spans="1:6" ht="15" thickBot="1">
      <c r="A138" s="848" t="s">
        <v>70</v>
      </c>
      <c r="B138" s="842" t="s">
        <v>812</v>
      </c>
      <c r="C138" s="1086">
        <v>0.105</v>
      </c>
      <c r="D138" s="1086">
        <v>0.125</v>
      </c>
      <c r="E138" s="1086">
        <v>0.112</v>
      </c>
      <c r="F138" s="1091"/>
    </row>
    <row r="139" spans="1:6" ht="15" thickBot="1">
      <c r="A139" s="848" t="s">
        <v>70</v>
      </c>
      <c r="B139" s="842" t="s">
        <v>813</v>
      </c>
      <c r="C139" s="1086">
        <v>0.127</v>
      </c>
      <c r="D139" s="1086">
        <v>0.127</v>
      </c>
      <c r="E139" s="1086">
        <v>0.122</v>
      </c>
      <c r="F139" s="1087">
        <v>0.13</v>
      </c>
    </row>
    <row r="140" spans="1:6" ht="15" thickBot="1">
      <c r="A140" s="848" t="s">
        <v>70</v>
      </c>
      <c r="B140" s="842" t="s">
        <v>814</v>
      </c>
      <c r="C140" s="1086">
        <v>0.125</v>
      </c>
      <c r="D140" s="1086">
        <v>0.125</v>
      </c>
      <c r="E140" s="1086">
        <v>0.11899999999999999</v>
      </c>
      <c r="F140" s="1087">
        <v>0.13</v>
      </c>
    </row>
    <row r="141" spans="1:6" ht="15" thickBot="1">
      <c r="A141" s="848" t="s">
        <v>70</v>
      </c>
      <c r="B141" s="842" t="s">
        <v>421</v>
      </c>
      <c r="C141" s="1086">
        <v>0.125</v>
      </c>
      <c r="D141" s="1086">
        <v>0.125</v>
      </c>
      <c r="E141" s="1086">
        <v>0.11700000000000001</v>
      </c>
      <c r="F141" s="1091"/>
    </row>
    <row r="142" spans="1:6" ht="15" thickBot="1">
      <c r="A142" s="848" t="s">
        <v>70</v>
      </c>
      <c r="B142" s="842" t="s">
        <v>426</v>
      </c>
      <c r="C142" s="1086">
        <v>0.125</v>
      </c>
      <c r="D142" s="1086">
        <v>0.125</v>
      </c>
      <c r="E142" s="1086">
        <v>0.115</v>
      </c>
      <c r="F142" s="1091"/>
    </row>
    <row r="143" spans="1:6" ht="15" thickBot="1">
      <c r="A143" s="848" t="s">
        <v>70</v>
      </c>
      <c r="B143" s="842" t="s">
        <v>431</v>
      </c>
      <c r="C143" s="1086">
        <v>0.121</v>
      </c>
      <c r="D143" s="1086">
        <v>0.121</v>
      </c>
      <c r="E143" s="1086">
        <v>0.108</v>
      </c>
      <c r="F143" s="1091"/>
    </row>
    <row r="144" spans="1:6" ht="15" thickBot="1">
      <c r="A144" s="848" t="s">
        <v>70</v>
      </c>
      <c r="B144" s="1094" t="s">
        <v>815</v>
      </c>
      <c r="C144" s="1095">
        <v>0.126</v>
      </c>
      <c r="D144" s="1095">
        <v>0.126</v>
      </c>
      <c r="E144" s="1095">
        <v>0.121</v>
      </c>
      <c r="F144" s="1091"/>
    </row>
    <row r="145" spans="1:6" ht="15" thickBot="1">
      <c r="A145" s="865" t="s">
        <v>70</v>
      </c>
      <c r="B145" s="1096" t="s">
        <v>816</v>
      </c>
      <c r="C145" s="1097"/>
      <c r="D145" s="1097"/>
      <c r="E145" s="1097"/>
      <c r="F145" s="1098">
        <v>0.05</v>
      </c>
    </row>
    <row r="146" spans="1:6" ht="24.6" thickBot="1">
      <c r="A146" s="1099" t="s">
        <v>70</v>
      </c>
      <c r="B146" s="856" t="s">
        <v>817</v>
      </c>
      <c r="C146" s="1092"/>
      <c r="D146" s="1092"/>
      <c r="E146" s="1092"/>
      <c r="F146" s="1100">
        <v>0.05</v>
      </c>
    </row>
    <row r="147" spans="1:6" ht="24.6" thickBot="1">
      <c r="A147" s="848" t="s">
        <v>70</v>
      </c>
      <c r="B147" s="842" t="s">
        <v>818</v>
      </c>
      <c r="C147" s="1092"/>
      <c r="D147" s="1092"/>
      <c r="E147" s="1092"/>
      <c r="F147" s="1087">
        <v>0.05</v>
      </c>
    </row>
    <row r="148" spans="1:6" ht="24.6" thickBot="1">
      <c r="A148" s="848" t="s">
        <v>70</v>
      </c>
      <c r="B148" s="842" t="s">
        <v>819</v>
      </c>
      <c r="C148" s="1092"/>
      <c r="D148" s="1092"/>
      <c r="E148" s="1092"/>
      <c r="F148" s="1087">
        <v>0.05</v>
      </c>
    </row>
    <row r="149" spans="1:6" ht="24.6" thickBot="1">
      <c r="A149" s="848" t="s">
        <v>70</v>
      </c>
      <c r="B149" s="842" t="s">
        <v>820</v>
      </c>
      <c r="C149" s="1092"/>
      <c r="D149" s="1092"/>
      <c r="E149" s="1092"/>
      <c r="F149" s="1087">
        <v>0.05</v>
      </c>
    </row>
    <row r="150" spans="1:6" ht="24.6" thickBot="1">
      <c r="A150" s="848" t="s">
        <v>70</v>
      </c>
      <c r="B150" s="842" t="s">
        <v>821</v>
      </c>
      <c r="C150" s="1092"/>
      <c r="D150" s="1092"/>
      <c r="E150" s="1092"/>
      <c r="F150" s="1087">
        <v>0.05</v>
      </c>
    </row>
    <row r="151" spans="1:6" ht="24.6" thickBot="1">
      <c r="A151" s="848" t="s">
        <v>70</v>
      </c>
      <c r="B151" s="842" t="s">
        <v>822</v>
      </c>
      <c r="C151" s="1092"/>
      <c r="D151" s="1092"/>
      <c r="E151" s="1092"/>
      <c r="F151" s="1087">
        <v>0.05</v>
      </c>
    </row>
    <row r="152" spans="1:6" ht="24.6" thickBot="1">
      <c r="A152" s="848" t="s">
        <v>70</v>
      </c>
      <c r="B152" s="842" t="s">
        <v>464</v>
      </c>
      <c r="C152" s="1092"/>
      <c r="D152" s="1092"/>
      <c r="E152" s="1092"/>
      <c r="F152" s="1087">
        <v>0.05</v>
      </c>
    </row>
    <row r="153" spans="1:6" ht="15" thickBot="1">
      <c r="A153" s="848" t="s">
        <v>70</v>
      </c>
      <c r="B153" s="842" t="s">
        <v>823</v>
      </c>
      <c r="C153" s="1092"/>
      <c r="D153" s="1092"/>
      <c r="E153" s="1092"/>
      <c r="F153" s="1087">
        <v>0.05</v>
      </c>
    </row>
    <row r="154" spans="1:6" ht="15" thickBot="1">
      <c r="A154" s="848" t="s">
        <v>70</v>
      </c>
      <c r="B154" s="842" t="s">
        <v>824</v>
      </c>
      <c r="C154" s="1092"/>
      <c r="D154" s="1092"/>
      <c r="E154" s="1092"/>
      <c r="F154" s="1087">
        <v>0.05</v>
      </c>
    </row>
    <row r="155" spans="1:6" ht="24.6" thickBot="1">
      <c r="A155" s="848" t="s">
        <v>70</v>
      </c>
      <c r="B155" s="842" t="s">
        <v>825</v>
      </c>
      <c r="C155" s="1092"/>
      <c r="D155" s="1092"/>
      <c r="E155" s="1092"/>
      <c r="F155" s="1087">
        <v>0.05</v>
      </c>
    </row>
    <row r="156" spans="1:6" ht="24.6" thickBot="1">
      <c r="A156" s="848" t="s">
        <v>70</v>
      </c>
      <c r="B156" s="842" t="s">
        <v>826</v>
      </c>
      <c r="C156" s="1092"/>
      <c r="D156" s="1092"/>
      <c r="E156" s="1092"/>
      <c r="F156" s="1087">
        <v>0.05</v>
      </c>
    </row>
    <row r="157" spans="1:6" ht="24.6" thickBot="1">
      <c r="A157" s="865" t="s">
        <v>70</v>
      </c>
      <c r="B157" s="858" t="s">
        <v>827</v>
      </c>
      <c r="C157" s="1089"/>
      <c r="D157" s="1089"/>
      <c r="E157" s="1089"/>
      <c r="F157" s="1093">
        <v>0.05</v>
      </c>
    </row>
    <row r="158" spans="1:6" ht="15" thickBot="1">
      <c r="A158" s="848" t="s">
        <v>483</v>
      </c>
      <c r="B158" s="849" t="s">
        <v>828</v>
      </c>
      <c r="C158" s="1084">
        <v>0.13</v>
      </c>
      <c r="D158" s="1084">
        <v>0.13</v>
      </c>
      <c r="E158" s="1084">
        <v>0.13</v>
      </c>
      <c r="F158" s="1085">
        <v>0.13</v>
      </c>
    </row>
    <row r="159" spans="1:6" ht="15" thickBot="1">
      <c r="A159" s="848" t="s">
        <v>483</v>
      </c>
      <c r="B159" s="842" t="s">
        <v>142</v>
      </c>
      <c r="C159" s="1086">
        <v>0.13</v>
      </c>
      <c r="D159" s="1086">
        <v>0.13</v>
      </c>
      <c r="E159" s="1086">
        <v>0.13</v>
      </c>
      <c r="F159" s="1087">
        <v>0.13</v>
      </c>
    </row>
    <row r="160" spans="1:6" ht="15" thickBot="1">
      <c r="A160" s="848" t="s">
        <v>483</v>
      </c>
      <c r="B160" s="842" t="s">
        <v>155</v>
      </c>
      <c r="C160" s="1086">
        <v>0.13</v>
      </c>
      <c r="D160" s="1086">
        <v>0.13</v>
      </c>
      <c r="E160" s="1086">
        <v>0.129</v>
      </c>
      <c r="F160" s="1087">
        <v>0.13</v>
      </c>
    </row>
    <row r="161" spans="1:6" ht="15" thickBot="1">
      <c r="A161" s="848" t="s">
        <v>483</v>
      </c>
      <c r="B161" s="842" t="s">
        <v>168</v>
      </c>
      <c r="C161" s="1086">
        <v>0.128</v>
      </c>
      <c r="D161" s="1086">
        <v>0.128</v>
      </c>
      <c r="E161" s="1086">
        <v>0.125</v>
      </c>
      <c r="F161" s="1087">
        <v>0.13</v>
      </c>
    </row>
    <row r="162" spans="1:6" ht="15" thickBot="1">
      <c r="A162" s="848" t="s">
        <v>483</v>
      </c>
      <c r="B162" s="842" t="s">
        <v>180</v>
      </c>
      <c r="C162" s="1086">
        <v>0.122</v>
      </c>
      <c r="D162" s="1086">
        <v>0.122</v>
      </c>
      <c r="E162" s="1086">
        <v>0.126</v>
      </c>
      <c r="F162" s="1087">
        <v>0.122</v>
      </c>
    </row>
    <row r="163" spans="1:6" ht="15" thickBot="1">
      <c r="A163" s="848" t="s">
        <v>483</v>
      </c>
      <c r="B163" s="842" t="s">
        <v>192</v>
      </c>
      <c r="C163" s="1086">
        <v>0.13</v>
      </c>
      <c r="D163" s="1086">
        <v>0.13</v>
      </c>
      <c r="E163" s="1086">
        <v>0.125</v>
      </c>
      <c r="F163" s="1087">
        <v>0.13</v>
      </c>
    </row>
    <row r="164" spans="1:6" ht="15" thickBot="1">
      <c r="A164" s="848" t="s">
        <v>483</v>
      </c>
      <c r="B164" s="842" t="s">
        <v>204</v>
      </c>
      <c r="C164" s="1086">
        <v>0.13</v>
      </c>
      <c r="D164" s="1086">
        <v>0.13</v>
      </c>
      <c r="E164" s="1086">
        <v>0.13</v>
      </c>
      <c r="F164" s="1087">
        <v>0.13</v>
      </c>
    </row>
    <row r="165" spans="1:6" ht="15" thickBot="1">
      <c r="A165" s="848" t="s">
        <v>483</v>
      </c>
      <c r="B165" s="842" t="s">
        <v>216</v>
      </c>
      <c r="C165" s="1086">
        <v>0.13</v>
      </c>
      <c r="D165" s="1086">
        <v>0.13</v>
      </c>
      <c r="E165" s="1086">
        <v>0.124</v>
      </c>
      <c r="F165" s="1087">
        <v>0.13</v>
      </c>
    </row>
    <row r="166" spans="1:6" ht="15" thickBot="1">
      <c r="A166" s="848" t="s">
        <v>483</v>
      </c>
      <c r="B166" s="842" t="s">
        <v>229</v>
      </c>
      <c r="C166" s="1086">
        <v>0.13</v>
      </c>
      <c r="D166" s="1086">
        <v>0.13</v>
      </c>
      <c r="E166" s="1086">
        <v>0.13</v>
      </c>
      <c r="F166" s="1087">
        <v>0.13</v>
      </c>
    </row>
    <row r="167" spans="1:6" ht="15" thickBot="1">
      <c r="A167" s="848" t="s">
        <v>483</v>
      </c>
      <c r="B167" s="842" t="s">
        <v>240</v>
      </c>
      <c r="C167" s="1086">
        <v>0.125</v>
      </c>
      <c r="D167" s="1086">
        <v>0.125</v>
      </c>
      <c r="E167" s="1086">
        <v>0.121</v>
      </c>
      <c r="F167" s="1091"/>
    </row>
    <row r="168" spans="1:6" ht="15" thickBot="1">
      <c r="A168" s="848" t="s">
        <v>483</v>
      </c>
      <c r="B168" s="842" t="s">
        <v>251</v>
      </c>
      <c r="C168" s="1086">
        <v>0.13</v>
      </c>
      <c r="D168" s="1086">
        <v>0.13</v>
      </c>
      <c r="E168" s="1086">
        <v>0.126</v>
      </c>
      <c r="F168" s="1091"/>
    </row>
    <row r="169" spans="1:6" ht="15" thickBot="1">
      <c r="A169" s="848" t="s">
        <v>483</v>
      </c>
      <c r="B169" s="842" t="s">
        <v>262</v>
      </c>
      <c r="C169" s="1086">
        <v>0.128</v>
      </c>
      <c r="D169" s="1086">
        <v>0.129</v>
      </c>
      <c r="E169" s="1086">
        <v>0.13</v>
      </c>
      <c r="F169" s="1091"/>
    </row>
    <row r="170" spans="1:6" ht="15" thickBot="1">
      <c r="A170" s="848" t="s">
        <v>483</v>
      </c>
      <c r="B170" s="842" t="s">
        <v>273</v>
      </c>
      <c r="C170" s="1086">
        <v>0.14099999999999999</v>
      </c>
      <c r="D170" s="1086">
        <v>0.13</v>
      </c>
      <c r="E170" s="1086">
        <v>0.125</v>
      </c>
      <c r="F170" s="1091"/>
    </row>
    <row r="171" spans="1:6" ht="15" thickBot="1">
      <c r="A171" s="848" t="s">
        <v>483</v>
      </c>
      <c r="B171" s="842" t="s">
        <v>829</v>
      </c>
      <c r="C171" s="1086">
        <v>0.127</v>
      </c>
      <c r="D171" s="1086">
        <v>0.126</v>
      </c>
      <c r="E171" s="1086">
        <v>0.126</v>
      </c>
      <c r="F171" s="1087">
        <v>0.11799999999999999</v>
      </c>
    </row>
    <row r="172" spans="1:6" ht="15" thickBot="1">
      <c r="A172" s="848" t="s">
        <v>483</v>
      </c>
      <c r="B172" s="842" t="s">
        <v>830</v>
      </c>
      <c r="C172" s="1086">
        <v>0.13</v>
      </c>
      <c r="D172" s="1086">
        <v>0.13</v>
      </c>
      <c r="E172" s="1086">
        <v>0.13</v>
      </c>
      <c r="F172" s="1091"/>
    </row>
    <row r="173" spans="1:6" ht="15" thickBot="1">
      <c r="A173" s="848" t="s">
        <v>483</v>
      </c>
      <c r="B173" s="842" t="s">
        <v>305</v>
      </c>
      <c r="C173" s="1086">
        <v>0.13</v>
      </c>
      <c r="D173" s="1086">
        <v>0.13</v>
      </c>
      <c r="E173" s="1086">
        <v>0.13</v>
      </c>
      <c r="F173" s="1091"/>
    </row>
    <row r="174" spans="1:6" ht="15" thickBot="1">
      <c r="A174" s="848" t="s">
        <v>483</v>
      </c>
      <c r="B174" s="842" t="s">
        <v>831</v>
      </c>
      <c r="C174" s="1086">
        <v>0.13</v>
      </c>
      <c r="D174" s="1086">
        <v>0.13</v>
      </c>
      <c r="E174" s="1086">
        <v>0.13</v>
      </c>
      <c r="F174" s="1087">
        <v>0.13</v>
      </c>
    </row>
    <row r="175" spans="1:6" ht="15" thickBot="1">
      <c r="A175" s="848" t="s">
        <v>483</v>
      </c>
      <c r="B175" s="842" t="s">
        <v>832</v>
      </c>
      <c r="C175" s="1086">
        <v>0.13</v>
      </c>
      <c r="D175" s="1086">
        <v>0.13</v>
      </c>
      <c r="E175" s="1086">
        <v>0.13</v>
      </c>
      <c r="F175" s="1087">
        <v>0.13</v>
      </c>
    </row>
    <row r="176" spans="1:6" ht="15" thickBot="1">
      <c r="A176" s="848" t="s">
        <v>483</v>
      </c>
      <c r="B176" s="842" t="s">
        <v>335</v>
      </c>
      <c r="C176" s="1086">
        <v>0.13</v>
      </c>
      <c r="D176" s="1086">
        <v>0.13</v>
      </c>
      <c r="E176" s="1086">
        <v>0.13</v>
      </c>
      <c r="F176" s="1087">
        <v>0.13</v>
      </c>
    </row>
    <row r="177" spans="1:6" ht="15" thickBot="1">
      <c r="A177" s="848" t="s">
        <v>483</v>
      </c>
      <c r="B177" s="842" t="s">
        <v>833</v>
      </c>
      <c r="C177" s="1086">
        <v>0.13</v>
      </c>
      <c r="D177" s="1086">
        <v>0.13</v>
      </c>
      <c r="E177" s="1086">
        <v>0.13</v>
      </c>
      <c r="F177" s="1087">
        <v>0.13</v>
      </c>
    </row>
    <row r="178" spans="1:6" ht="15" thickBot="1">
      <c r="A178" s="848" t="s">
        <v>483</v>
      </c>
      <c r="B178" s="842" t="s">
        <v>353</v>
      </c>
      <c r="C178" s="1086">
        <v>0.13</v>
      </c>
      <c r="D178" s="1086">
        <v>0.13</v>
      </c>
      <c r="E178" s="1086">
        <v>0.13</v>
      </c>
      <c r="F178" s="1087">
        <v>0.127</v>
      </c>
    </row>
    <row r="179" spans="1:6" ht="15" thickBot="1">
      <c r="A179" s="848" t="s">
        <v>483</v>
      </c>
      <c r="B179" s="842" t="s">
        <v>361</v>
      </c>
      <c r="C179" s="1086">
        <v>0.13</v>
      </c>
      <c r="D179" s="1086">
        <v>0.13</v>
      </c>
      <c r="E179" s="1086">
        <v>0.13</v>
      </c>
      <c r="F179" s="1091"/>
    </row>
    <row r="180" spans="1:6" ht="15" thickBot="1">
      <c r="A180" s="848" t="s">
        <v>483</v>
      </c>
      <c r="B180" s="842" t="s">
        <v>834</v>
      </c>
      <c r="C180" s="1086">
        <v>0.13</v>
      </c>
      <c r="D180" s="1086">
        <v>0.13</v>
      </c>
      <c r="E180" s="1086">
        <v>0.125</v>
      </c>
      <c r="F180" s="1087">
        <v>0.13</v>
      </c>
    </row>
    <row r="181" spans="1:6" ht="15" thickBot="1">
      <c r="A181" s="848" t="s">
        <v>483</v>
      </c>
      <c r="B181" s="842" t="s">
        <v>375</v>
      </c>
      <c r="C181" s="1086">
        <v>0.122</v>
      </c>
      <c r="D181" s="1086">
        <v>0.123</v>
      </c>
      <c r="E181" s="1086">
        <v>0.126</v>
      </c>
      <c r="F181" s="1087">
        <v>0.121</v>
      </c>
    </row>
    <row r="182" spans="1:6" ht="15" thickBot="1">
      <c r="A182" s="848" t="s">
        <v>483</v>
      </c>
      <c r="B182" s="842" t="s">
        <v>382</v>
      </c>
      <c r="C182" s="1086">
        <v>0.125</v>
      </c>
      <c r="D182" s="1086">
        <v>0.125</v>
      </c>
      <c r="E182" s="1086">
        <v>0.11700000000000001</v>
      </c>
      <c r="F182" s="1087">
        <v>0.13</v>
      </c>
    </row>
    <row r="183" spans="1:6" ht="15" thickBot="1">
      <c r="A183" s="848" t="s">
        <v>483</v>
      </c>
      <c r="B183" s="842" t="s">
        <v>389</v>
      </c>
      <c r="C183" s="1086">
        <v>0.127</v>
      </c>
      <c r="D183" s="1086">
        <v>0.127</v>
      </c>
      <c r="E183" s="1086">
        <v>0.128</v>
      </c>
      <c r="F183" s="1091"/>
    </row>
    <row r="184" spans="1:6" ht="15" thickBot="1">
      <c r="A184" s="848" t="s">
        <v>483</v>
      </c>
      <c r="B184" s="842" t="s">
        <v>396</v>
      </c>
      <c r="C184" s="1086">
        <v>0.125</v>
      </c>
      <c r="D184" s="1086">
        <v>0.125</v>
      </c>
      <c r="E184" s="1086">
        <v>0.127</v>
      </c>
      <c r="F184" s="1091"/>
    </row>
    <row r="185" spans="1:6" ht="15" thickBot="1">
      <c r="A185" s="848" t="s">
        <v>483</v>
      </c>
      <c r="B185" s="842" t="s">
        <v>835</v>
      </c>
      <c r="C185" s="1086">
        <v>0.127</v>
      </c>
      <c r="D185" s="1086">
        <v>0.127</v>
      </c>
      <c r="E185" s="1086">
        <v>0.128</v>
      </c>
      <c r="F185" s="1087">
        <v>0.13</v>
      </c>
    </row>
    <row r="186" spans="1:6" ht="24.6" thickBot="1">
      <c r="A186" s="848" t="s">
        <v>483</v>
      </c>
      <c r="B186" s="842" t="s">
        <v>836</v>
      </c>
      <c r="C186" s="1092"/>
      <c r="D186" s="1092"/>
      <c r="E186" s="1092"/>
      <c r="F186" s="1087">
        <v>0.05</v>
      </c>
    </row>
    <row r="187" spans="1:6" ht="15" thickBot="1">
      <c r="A187" s="848" t="s">
        <v>483</v>
      </c>
      <c r="B187" s="842" t="s">
        <v>837</v>
      </c>
      <c r="C187" s="1092"/>
      <c r="D187" s="1092"/>
      <c r="E187" s="1092"/>
      <c r="F187" s="1087">
        <v>0.05</v>
      </c>
    </row>
    <row r="188" spans="1:6" ht="24.6" thickBot="1">
      <c r="A188" s="848" t="s">
        <v>483</v>
      </c>
      <c r="B188" s="842" t="s">
        <v>838</v>
      </c>
      <c r="C188" s="1092"/>
      <c r="D188" s="1092"/>
      <c r="E188" s="1092"/>
      <c r="F188" s="1087">
        <v>0.05</v>
      </c>
    </row>
    <row r="189" spans="1:6" ht="24.6" thickBot="1">
      <c r="A189" s="848" t="s">
        <v>483</v>
      </c>
      <c r="B189" s="842" t="s">
        <v>839</v>
      </c>
      <c r="C189" s="1092"/>
      <c r="D189" s="1092"/>
      <c r="E189" s="1092"/>
      <c r="F189" s="1087">
        <v>0.05</v>
      </c>
    </row>
    <row r="190" spans="1:6" ht="24.6" thickBot="1">
      <c r="A190" s="848" t="s">
        <v>483</v>
      </c>
      <c r="B190" s="842" t="s">
        <v>840</v>
      </c>
      <c r="C190" s="1092"/>
      <c r="D190" s="1092"/>
      <c r="E190" s="1092"/>
      <c r="F190" s="1087">
        <v>0.05</v>
      </c>
    </row>
    <row r="191" spans="1:6" ht="24.6" thickBot="1">
      <c r="A191" s="848" t="s">
        <v>483</v>
      </c>
      <c r="B191" s="842" t="s">
        <v>841</v>
      </c>
      <c r="C191" s="1092"/>
      <c r="D191" s="1092"/>
      <c r="E191" s="1092"/>
      <c r="F191" s="1087">
        <v>0.05</v>
      </c>
    </row>
    <row r="192" spans="1:6" ht="24.6" thickBot="1">
      <c r="A192" s="848" t="s">
        <v>483</v>
      </c>
      <c r="B192" s="842" t="s">
        <v>842</v>
      </c>
      <c r="C192" s="1092"/>
      <c r="D192" s="1092"/>
      <c r="E192" s="1092"/>
      <c r="F192" s="1087">
        <v>0.05</v>
      </c>
    </row>
    <row r="193" spans="1:6" ht="24.6" thickBot="1">
      <c r="A193" s="848" t="s">
        <v>483</v>
      </c>
      <c r="B193" s="842" t="s">
        <v>843</v>
      </c>
      <c r="C193" s="1092"/>
      <c r="D193" s="1092"/>
      <c r="E193" s="1092"/>
      <c r="F193" s="1087">
        <v>0.05</v>
      </c>
    </row>
    <row r="194" spans="1:6" ht="24.6" thickBot="1">
      <c r="A194" s="848" t="s">
        <v>483</v>
      </c>
      <c r="B194" s="842" t="s">
        <v>844</v>
      </c>
      <c r="C194" s="1092"/>
      <c r="D194" s="1092"/>
      <c r="E194" s="1092"/>
      <c r="F194" s="1087">
        <v>0.05</v>
      </c>
    </row>
    <row r="195" spans="1:6" ht="15" thickBot="1">
      <c r="A195" s="848" t="s">
        <v>483</v>
      </c>
      <c r="B195" s="842" t="s">
        <v>845</v>
      </c>
      <c r="C195" s="1092"/>
      <c r="D195" s="1092"/>
      <c r="E195" s="1092"/>
      <c r="F195" s="1087">
        <v>0.05</v>
      </c>
    </row>
    <row r="196" spans="1:6" ht="24.6" thickBot="1">
      <c r="A196" s="848" t="s">
        <v>483</v>
      </c>
      <c r="B196" s="842" t="s">
        <v>846</v>
      </c>
      <c r="C196" s="1092"/>
      <c r="D196" s="1092"/>
      <c r="E196" s="1092"/>
      <c r="F196" s="1087">
        <v>0.05</v>
      </c>
    </row>
    <row r="197" spans="1:6" ht="24.6" thickBot="1">
      <c r="A197" s="848" t="s">
        <v>483</v>
      </c>
      <c r="B197" s="842" t="s">
        <v>847</v>
      </c>
      <c r="C197" s="1092"/>
      <c r="D197" s="1092"/>
      <c r="E197" s="1092"/>
      <c r="F197" s="1087">
        <v>0.05</v>
      </c>
    </row>
    <row r="198" spans="1:6" ht="24.6" thickBot="1">
      <c r="A198" s="848" t="s">
        <v>483</v>
      </c>
      <c r="B198" s="842" t="s">
        <v>848</v>
      </c>
      <c r="C198" s="1092"/>
      <c r="D198" s="1092"/>
      <c r="E198" s="1092"/>
      <c r="F198" s="1087">
        <v>0.05</v>
      </c>
    </row>
    <row r="199" spans="1:6" ht="24.6" thickBot="1">
      <c r="A199" s="848" t="s">
        <v>483</v>
      </c>
      <c r="B199" s="842" t="s">
        <v>849</v>
      </c>
      <c r="C199" s="1092"/>
      <c r="D199" s="1092"/>
      <c r="E199" s="1092"/>
      <c r="F199" s="1087">
        <v>0.05</v>
      </c>
    </row>
    <row r="200" spans="1:6" ht="24.6" thickBot="1">
      <c r="A200" s="848" t="s">
        <v>483</v>
      </c>
      <c r="B200" s="842" t="s">
        <v>850</v>
      </c>
      <c r="C200" s="1092"/>
      <c r="D200" s="1092"/>
      <c r="E200" s="1092"/>
      <c r="F200" s="1087">
        <v>0.05</v>
      </c>
    </row>
    <row r="201" spans="1:6" ht="24.6" thickBot="1">
      <c r="A201" s="848" t="s">
        <v>483</v>
      </c>
      <c r="B201" s="842" t="s">
        <v>851</v>
      </c>
      <c r="C201" s="1092"/>
      <c r="D201" s="1092"/>
      <c r="E201" s="1092"/>
      <c r="F201" s="1087">
        <v>0.05</v>
      </c>
    </row>
    <row r="202" spans="1:6" ht="24.6" thickBot="1">
      <c r="A202" s="848" t="s">
        <v>483</v>
      </c>
      <c r="B202" s="842" t="s">
        <v>852</v>
      </c>
      <c r="C202" s="1092"/>
      <c r="D202" s="1092"/>
      <c r="E202" s="1092"/>
      <c r="F202" s="1087">
        <v>0.05</v>
      </c>
    </row>
    <row r="203" spans="1:6" ht="24.6" thickBot="1">
      <c r="A203" s="848" t="s">
        <v>483</v>
      </c>
      <c r="B203" s="842" t="s">
        <v>853</v>
      </c>
      <c r="C203" s="1092"/>
      <c r="D203" s="1092"/>
      <c r="E203" s="1092"/>
      <c r="F203" s="1087">
        <v>0.05</v>
      </c>
    </row>
    <row r="204" spans="1:6" ht="15" thickBot="1">
      <c r="A204" s="848" t="s">
        <v>483</v>
      </c>
      <c r="B204" s="842" t="s">
        <v>854</v>
      </c>
      <c r="C204" s="1092"/>
      <c r="D204" s="1092"/>
      <c r="E204" s="1092"/>
      <c r="F204" s="1087">
        <v>0.05</v>
      </c>
    </row>
    <row r="205" spans="1:6" ht="15" thickBot="1">
      <c r="A205" s="865" t="s">
        <v>483</v>
      </c>
      <c r="B205" s="858" t="s">
        <v>855</v>
      </c>
      <c r="C205" s="1089"/>
      <c r="D205" s="1089"/>
      <c r="E205" s="1089"/>
      <c r="F205" s="1093">
        <v>0.05</v>
      </c>
    </row>
    <row r="206" spans="1:6" ht="15" thickBot="1">
      <c r="A206" s="848" t="s">
        <v>485</v>
      </c>
      <c r="B206" s="849" t="s">
        <v>856</v>
      </c>
      <c r="C206" s="1084">
        <v>0.15</v>
      </c>
      <c r="D206" s="1084">
        <v>0.15</v>
      </c>
      <c r="E206" s="1084">
        <v>0.15</v>
      </c>
      <c r="F206" s="1085">
        <v>0.15</v>
      </c>
    </row>
    <row r="207" spans="1:6" ht="15" thickBot="1">
      <c r="A207" s="848" t="s">
        <v>485</v>
      </c>
      <c r="B207" s="842" t="s">
        <v>143</v>
      </c>
      <c r="C207" s="1086">
        <v>0.15</v>
      </c>
      <c r="D207" s="1086">
        <v>0.15</v>
      </c>
      <c r="E207" s="1086">
        <v>0.15</v>
      </c>
      <c r="F207" s="1087">
        <v>0.14399999999999999</v>
      </c>
    </row>
    <row r="208" spans="1:6" ht="15" thickBot="1">
      <c r="A208" s="848" t="s">
        <v>485</v>
      </c>
      <c r="B208" s="842" t="s">
        <v>156</v>
      </c>
      <c r="C208" s="1086">
        <v>0.15</v>
      </c>
      <c r="D208" s="1086">
        <v>0.15</v>
      </c>
      <c r="E208" s="1086">
        <v>0.15</v>
      </c>
      <c r="F208" s="1087">
        <v>0.15</v>
      </c>
    </row>
    <row r="209" spans="1:6" ht="15" thickBot="1">
      <c r="A209" s="848" t="s">
        <v>485</v>
      </c>
      <c r="B209" s="842" t="s">
        <v>169</v>
      </c>
      <c r="C209" s="1086">
        <v>0.13700000000000001</v>
      </c>
      <c r="D209" s="1086">
        <v>0.13700000000000001</v>
      </c>
      <c r="E209" s="1086">
        <v>0.14000000000000001</v>
      </c>
      <c r="F209" s="1087">
        <v>0.11700000000000001</v>
      </c>
    </row>
    <row r="210" spans="1:6" ht="15" thickBot="1">
      <c r="A210" s="848" t="s">
        <v>485</v>
      </c>
      <c r="B210" s="842" t="s">
        <v>857</v>
      </c>
      <c r="C210" s="1086">
        <v>0.15</v>
      </c>
      <c r="D210" s="1086">
        <v>0.15</v>
      </c>
      <c r="E210" s="1086">
        <v>0.15</v>
      </c>
      <c r="F210" s="1087">
        <v>0.13800000000000001</v>
      </c>
    </row>
    <row r="211" spans="1:6" ht="15" thickBot="1">
      <c r="A211" s="848" t="s">
        <v>485</v>
      </c>
      <c r="B211" s="842" t="s">
        <v>858</v>
      </c>
      <c r="C211" s="1086">
        <v>0.13700000000000001</v>
      </c>
      <c r="D211" s="1086">
        <v>0.13500000000000001</v>
      </c>
      <c r="E211" s="1086">
        <v>0.13600000000000001</v>
      </c>
      <c r="F211" s="1087">
        <v>0.1</v>
      </c>
    </row>
    <row r="212" spans="1:6" ht="15" thickBot="1">
      <c r="A212" s="848" t="s">
        <v>485</v>
      </c>
      <c r="B212" s="842" t="s">
        <v>859</v>
      </c>
      <c r="C212" s="1086">
        <v>0.15</v>
      </c>
      <c r="D212" s="1086">
        <v>0.15</v>
      </c>
      <c r="E212" s="1086">
        <v>0.14799999999999999</v>
      </c>
      <c r="F212" s="1087">
        <v>0.13600000000000001</v>
      </c>
    </row>
    <row r="213" spans="1:6" ht="15" thickBot="1">
      <c r="A213" s="848" t="s">
        <v>485</v>
      </c>
      <c r="B213" s="842" t="s">
        <v>217</v>
      </c>
      <c r="C213" s="1086">
        <v>0.15</v>
      </c>
      <c r="D213" s="1086">
        <v>0.15</v>
      </c>
      <c r="E213" s="1086">
        <v>0.15</v>
      </c>
      <c r="F213" s="1087">
        <v>0.13800000000000001</v>
      </c>
    </row>
    <row r="214" spans="1:6" ht="15" thickBot="1">
      <c r="A214" s="848" t="s">
        <v>485</v>
      </c>
      <c r="B214" s="842" t="s">
        <v>230</v>
      </c>
      <c r="C214" s="1086">
        <v>9.0999999999999998E-2</v>
      </c>
      <c r="D214" s="1086">
        <v>0.09</v>
      </c>
      <c r="E214" s="1086">
        <v>9.1999999999999998E-2</v>
      </c>
      <c r="F214" s="1091"/>
    </row>
    <row r="215" spans="1:6" ht="15" thickBot="1">
      <c r="A215" s="848" t="s">
        <v>485</v>
      </c>
      <c r="B215" s="842" t="s">
        <v>860</v>
      </c>
      <c r="C215" s="1086">
        <v>0.15</v>
      </c>
      <c r="D215" s="1086">
        <v>0.15</v>
      </c>
      <c r="E215" s="1086">
        <v>0.15</v>
      </c>
      <c r="F215" s="1087">
        <v>0.15</v>
      </c>
    </row>
    <row r="216" spans="1:6" ht="15" thickBot="1">
      <c r="A216" s="848" t="s">
        <v>485</v>
      </c>
      <c r="B216" s="842" t="s">
        <v>252</v>
      </c>
      <c r="C216" s="1086">
        <v>0.14699999999999999</v>
      </c>
      <c r="D216" s="1086">
        <v>0.14699999999999999</v>
      </c>
      <c r="E216" s="1086">
        <v>0.15</v>
      </c>
      <c r="F216" s="1087">
        <v>0.14000000000000001</v>
      </c>
    </row>
    <row r="217" spans="1:6" ht="15" thickBot="1">
      <c r="A217" s="848" t="s">
        <v>485</v>
      </c>
      <c r="B217" s="842" t="s">
        <v>263</v>
      </c>
      <c r="C217" s="1086">
        <v>0.15</v>
      </c>
      <c r="D217" s="1086">
        <v>0.15</v>
      </c>
      <c r="E217" s="1086">
        <v>0.15</v>
      </c>
      <c r="F217" s="1087">
        <v>0.15</v>
      </c>
    </row>
    <row r="218" spans="1:6" ht="15" thickBot="1">
      <c r="A218" s="848" t="s">
        <v>485</v>
      </c>
      <c r="B218" s="842" t="s">
        <v>861</v>
      </c>
      <c r="C218" s="1086">
        <v>0.15</v>
      </c>
      <c r="D218" s="1086">
        <v>0.15</v>
      </c>
      <c r="E218" s="1086">
        <v>0.15</v>
      </c>
      <c r="F218" s="1087">
        <v>0.15</v>
      </c>
    </row>
    <row r="219" spans="1:6" ht="15" thickBot="1">
      <c r="A219" s="848" t="s">
        <v>485</v>
      </c>
      <c r="B219" s="842" t="s">
        <v>285</v>
      </c>
      <c r="C219" s="1086">
        <v>0.15</v>
      </c>
      <c r="D219" s="1086">
        <v>0.15</v>
      </c>
      <c r="E219" s="1086">
        <v>0.15</v>
      </c>
      <c r="F219" s="1087">
        <v>0.14799999999999999</v>
      </c>
    </row>
    <row r="220" spans="1:6" ht="15" thickBot="1">
      <c r="A220" s="848" t="s">
        <v>485</v>
      </c>
      <c r="B220" s="842" t="s">
        <v>862</v>
      </c>
      <c r="C220" s="1086">
        <v>0.15</v>
      </c>
      <c r="D220" s="1086">
        <v>0.15</v>
      </c>
      <c r="E220" s="1086">
        <v>0.15</v>
      </c>
      <c r="F220" s="1087">
        <v>0.15</v>
      </c>
    </row>
    <row r="221" spans="1:6" ht="15" thickBot="1">
      <c r="A221" s="848" t="s">
        <v>485</v>
      </c>
      <c r="B221" s="842" t="s">
        <v>306</v>
      </c>
      <c r="C221" s="1086"/>
      <c r="D221" s="1092"/>
      <c r="E221" s="1092"/>
      <c r="F221" s="1087">
        <v>0.14799999999999999</v>
      </c>
    </row>
    <row r="222" spans="1:6" ht="15" thickBot="1">
      <c r="A222" s="848" t="s">
        <v>485</v>
      </c>
      <c r="B222" s="842" t="s">
        <v>316</v>
      </c>
      <c r="C222" s="1086"/>
      <c r="D222" s="1092"/>
      <c r="E222" s="1092"/>
      <c r="F222" s="1087">
        <v>0.1</v>
      </c>
    </row>
    <row r="223" spans="1:6" ht="15" thickBot="1">
      <c r="A223" s="848" t="s">
        <v>485</v>
      </c>
      <c r="B223" s="842" t="s">
        <v>326</v>
      </c>
      <c r="C223" s="1086"/>
      <c r="D223" s="1092"/>
      <c r="E223" s="1092"/>
      <c r="F223" s="1087">
        <v>0.15</v>
      </c>
    </row>
    <row r="224" spans="1:6" ht="15" thickBot="1">
      <c r="A224" s="848" t="s">
        <v>485</v>
      </c>
      <c r="B224" s="842" t="s">
        <v>336</v>
      </c>
      <c r="C224" s="1086"/>
      <c r="D224" s="1092"/>
      <c r="E224" s="1092"/>
      <c r="F224" s="1087">
        <v>0.15</v>
      </c>
    </row>
    <row r="225" spans="1:6" ht="15" thickBot="1">
      <c r="A225" s="848" t="s">
        <v>485</v>
      </c>
      <c r="B225" s="842" t="s">
        <v>863</v>
      </c>
      <c r="C225" s="1086">
        <v>0.15</v>
      </c>
      <c r="D225" s="1086">
        <v>0.15</v>
      </c>
      <c r="E225" s="1086">
        <v>0.15</v>
      </c>
      <c r="F225" s="1087">
        <v>0.15</v>
      </c>
    </row>
    <row r="226" spans="1:6" ht="15" thickBot="1">
      <c r="A226" s="848" t="s">
        <v>485</v>
      </c>
      <c r="B226" s="842" t="s">
        <v>354</v>
      </c>
      <c r="C226" s="1086">
        <v>0.15</v>
      </c>
      <c r="D226" s="1086">
        <v>0.15</v>
      </c>
      <c r="E226" s="1086">
        <v>0.15</v>
      </c>
      <c r="F226" s="1087">
        <v>0.14799999999999999</v>
      </c>
    </row>
    <row r="227" spans="1:6" ht="15" thickBot="1">
      <c r="A227" s="848" t="s">
        <v>485</v>
      </c>
      <c r="B227" s="842" t="s">
        <v>864</v>
      </c>
      <c r="C227" s="1086">
        <v>0.15</v>
      </c>
      <c r="D227" s="1086">
        <v>0.15</v>
      </c>
      <c r="E227" s="1086">
        <v>0.15</v>
      </c>
      <c r="F227" s="1087">
        <v>0.15</v>
      </c>
    </row>
    <row r="228" spans="1:6" ht="15" thickBot="1">
      <c r="A228" s="848" t="s">
        <v>485</v>
      </c>
      <c r="B228" s="842" t="s">
        <v>369</v>
      </c>
      <c r="C228" s="1086">
        <v>0.15</v>
      </c>
      <c r="D228" s="1086">
        <v>0.15</v>
      </c>
      <c r="E228" s="1086">
        <v>0.15</v>
      </c>
      <c r="F228" s="1087">
        <v>0.15</v>
      </c>
    </row>
    <row r="229" spans="1:6" ht="15" thickBot="1">
      <c r="A229" s="848" t="s">
        <v>485</v>
      </c>
      <c r="B229" s="842" t="s">
        <v>376</v>
      </c>
      <c r="C229" s="1086">
        <v>0.15</v>
      </c>
      <c r="D229" s="1086">
        <v>0.15</v>
      </c>
      <c r="E229" s="1086">
        <v>0.15</v>
      </c>
      <c r="F229" s="1091"/>
    </row>
    <row r="230" spans="1:6" ht="15" thickBot="1">
      <c r="A230" s="848" t="s">
        <v>485</v>
      </c>
      <c r="B230" s="842" t="s">
        <v>383</v>
      </c>
      <c r="C230" s="1086">
        <v>0.14499999999999999</v>
      </c>
      <c r="D230" s="1086">
        <v>0.14499999999999999</v>
      </c>
      <c r="E230" s="1086">
        <v>0.14399999999999999</v>
      </c>
      <c r="F230" s="1091"/>
    </row>
    <row r="231" spans="1:6" ht="15" thickBot="1">
      <c r="A231" s="848" t="s">
        <v>485</v>
      </c>
      <c r="B231" s="842" t="s">
        <v>865</v>
      </c>
      <c r="C231" s="1086">
        <v>0.128</v>
      </c>
      <c r="D231" s="1086">
        <v>0.125</v>
      </c>
      <c r="E231" s="1086">
        <v>0.13200000000000001</v>
      </c>
      <c r="F231" s="1091"/>
    </row>
    <row r="232" spans="1:6" ht="15" thickBot="1">
      <c r="A232" s="848" t="s">
        <v>485</v>
      </c>
      <c r="B232" s="842" t="s">
        <v>866</v>
      </c>
      <c r="C232" s="1086">
        <v>0.14499999999999999</v>
      </c>
      <c r="D232" s="1086">
        <v>0.14399999999999999</v>
      </c>
      <c r="E232" s="1086">
        <v>0.14599999999999999</v>
      </c>
      <c r="F232" s="1087">
        <v>0.13800000000000001</v>
      </c>
    </row>
    <row r="233" spans="1:6" ht="15" thickBot="1">
      <c r="A233" s="848" t="s">
        <v>485</v>
      </c>
      <c r="B233" s="842" t="s">
        <v>867</v>
      </c>
      <c r="C233" s="1086">
        <v>0.14499999999999999</v>
      </c>
      <c r="D233" s="1086">
        <v>0.14299999999999999</v>
      </c>
      <c r="E233" s="1086">
        <v>0.14199999999999999</v>
      </c>
      <c r="F233" s="1091"/>
    </row>
    <row r="234" spans="1:6" ht="15" thickBot="1">
      <c r="A234" s="848" t="s">
        <v>485</v>
      </c>
      <c r="B234" s="842" t="s">
        <v>868</v>
      </c>
      <c r="C234" s="1086">
        <v>0.14000000000000001</v>
      </c>
      <c r="D234" s="1086">
        <v>0.14000000000000001</v>
      </c>
      <c r="E234" s="1086">
        <v>0.14399999999999999</v>
      </c>
      <c r="F234" s="1091"/>
    </row>
    <row r="235" spans="1:6" ht="15" thickBot="1">
      <c r="A235" s="848" t="s">
        <v>485</v>
      </c>
      <c r="B235" s="842" t="s">
        <v>869</v>
      </c>
      <c r="C235" s="1086">
        <v>0.14099999999999999</v>
      </c>
      <c r="D235" s="1086">
        <v>0.14199999999999999</v>
      </c>
      <c r="E235" s="1086">
        <v>0.14499999999999999</v>
      </c>
      <c r="F235" s="1087">
        <v>0.15</v>
      </c>
    </row>
    <row r="236" spans="1:6" ht="15" thickBot="1">
      <c r="A236" s="848" t="s">
        <v>485</v>
      </c>
      <c r="B236" s="842" t="s">
        <v>418</v>
      </c>
      <c r="C236" s="1092"/>
      <c r="D236" s="1092"/>
      <c r="E236" s="1092"/>
      <c r="F236" s="1087">
        <v>0.14299999999999999</v>
      </c>
    </row>
    <row r="237" spans="1:6" ht="24.6" thickBot="1">
      <c r="A237" s="848" t="s">
        <v>485</v>
      </c>
      <c r="B237" s="842" t="s">
        <v>870</v>
      </c>
      <c r="C237" s="1092"/>
      <c r="D237" s="1092"/>
      <c r="E237" s="1092"/>
      <c r="F237" s="1087">
        <v>0.05</v>
      </c>
    </row>
    <row r="238" spans="1:6" ht="24.6" thickBot="1">
      <c r="A238" s="848" t="s">
        <v>485</v>
      </c>
      <c r="B238" s="842" t="s">
        <v>871</v>
      </c>
      <c r="C238" s="1092"/>
      <c r="D238" s="1092"/>
      <c r="E238" s="1092"/>
      <c r="F238" s="1087">
        <v>0.05</v>
      </c>
    </row>
    <row r="239" spans="1:6" ht="24.6" thickBot="1">
      <c r="A239" s="848" t="s">
        <v>485</v>
      </c>
      <c r="B239" s="842" t="s">
        <v>872</v>
      </c>
      <c r="C239" s="1092"/>
      <c r="D239" s="1092"/>
      <c r="E239" s="1092"/>
      <c r="F239" s="1087">
        <v>0.05</v>
      </c>
    </row>
    <row r="240" spans="1:6" ht="24.6" thickBot="1">
      <c r="A240" s="848" t="s">
        <v>485</v>
      </c>
      <c r="B240" s="842" t="s">
        <v>873</v>
      </c>
      <c r="C240" s="1092"/>
      <c r="D240" s="1092"/>
      <c r="E240" s="1092"/>
      <c r="F240" s="1087">
        <v>0.05</v>
      </c>
    </row>
    <row r="241" spans="1:6" ht="24.6" thickBot="1">
      <c r="A241" s="848" t="s">
        <v>485</v>
      </c>
      <c r="B241" s="842" t="s">
        <v>874</v>
      </c>
      <c r="C241" s="1092"/>
      <c r="D241" s="1092"/>
      <c r="E241" s="1092"/>
      <c r="F241" s="1087">
        <v>0.05</v>
      </c>
    </row>
    <row r="242" spans="1:6" ht="24.6" thickBot="1">
      <c r="A242" s="848" t="s">
        <v>485</v>
      </c>
      <c r="B242" s="842" t="s">
        <v>875</v>
      </c>
      <c r="C242" s="1092"/>
      <c r="D242" s="1092"/>
      <c r="E242" s="1092"/>
      <c r="F242" s="1087">
        <v>0.05</v>
      </c>
    </row>
    <row r="243" spans="1:6" ht="24.6" thickBot="1">
      <c r="A243" s="848" t="s">
        <v>485</v>
      </c>
      <c r="B243" s="842" t="s">
        <v>876</v>
      </c>
      <c r="C243" s="1092"/>
      <c r="D243" s="1092"/>
      <c r="E243" s="1092"/>
      <c r="F243" s="1087">
        <v>0.05</v>
      </c>
    </row>
    <row r="244" spans="1:6" ht="24.6" thickBot="1">
      <c r="A244" s="865" t="s">
        <v>485</v>
      </c>
      <c r="B244" s="858" t="s">
        <v>877</v>
      </c>
      <c r="C244" s="1089"/>
      <c r="D244" s="1089"/>
      <c r="E244" s="1089"/>
      <c r="F244" s="1093">
        <v>0.05</v>
      </c>
    </row>
    <row r="245" spans="1:6" ht="15" thickBot="1">
      <c r="A245" s="848" t="s">
        <v>487</v>
      </c>
      <c r="B245" s="849" t="s">
        <v>878</v>
      </c>
      <c r="C245" s="1084">
        <v>0.15</v>
      </c>
      <c r="D245" s="1084">
        <v>0.15</v>
      </c>
      <c r="E245" s="1084">
        <v>0.15</v>
      </c>
      <c r="F245" s="1085">
        <v>0.14299999999999999</v>
      </c>
    </row>
    <row r="246" spans="1:6" ht="15" thickBot="1">
      <c r="A246" s="848" t="s">
        <v>487</v>
      </c>
      <c r="B246" s="842" t="s">
        <v>144</v>
      </c>
      <c r="C246" s="1086">
        <v>0.15</v>
      </c>
      <c r="D246" s="1086">
        <v>0.15</v>
      </c>
      <c r="E246" s="1086">
        <v>0.15</v>
      </c>
      <c r="F246" s="1087">
        <v>0.114</v>
      </c>
    </row>
    <row r="247" spans="1:6" ht="15" thickBot="1">
      <c r="A247" s="848" t="s">
        <v>487</v>
      </c>
      <c r="B247" s="842" t="s">
        <v>879</v>
      </c>
      <c r="C247" s="1086">
        <v>0.15</v>
      </c>
      <c r="D247" s="1086">
        <v>0.15</v>
      </c>
      <c r="E247" s="1086">
        <v>0.15</v>
      </c>
      <c r="F247" s="1087">
        <v>0.15</v>
      </c>
    </row>
    <row r="248" spans="1:6" ht="15" thickBot="1">
      <c r="A248" s="848" t="s">
        <v>487</v>
      </c>
      <c r="B248" s="842" t="s">
        <v>880</v>
      </c>
      <c r="C248" s="1086">
        <v>0.15</v>
      </c>
      <c r="D248" s="1086">
        <v>0.15</v>
      </c>
      <c r="E248" s="1086">
        <v>0.15</v>
      </c>
      <c r="F248" s="1087">
        <v>0.14000000000000001</v>
      </c>
    </row>
    <row r="249" spans="1:6" ht="15" thickBot="1">
      <c r="A249" s="848" t="s">
        <v>487</v>
      </c>
      <c r="B249" s="842" t="s">
        <v>881</v>
      </c>
      <c r="C249" s="1086">
        <v>0.15</v>
      </c>
      <c r="D249" s="1086">
        <v>0.14899999999999999</v>
      </c>
      <c r="E249" s="1086">
        <v>0.15</v>
      </c>
      <c r="F249" s="1087">
        <v>0.1</v>
      </c>
    </row>
    <row r="250" spans="1:6" ht="15" thickBot="1">
      <c r="A250" s="848" t="s">
        <v>487</v>
      </c>
      <c r="B250" s="842" t="s">
        <v>882</v>
      </c>
      <c r="C250" s="1086">
        <v>0.15</v>
      </c>
      <c r="D250" s="1086">
        <v>0.15</v>
      </c>
      <c r="E250" s="1086">
        <v>0.15</v>
      </c>
      <c r="F250" s="1087">
        <v>0.14399999999999999</v>
      </c>
    </row>
    <row r="251" spans="1:6" ht="15" thickBot="1">
      <c r="A251" s="848" t="s">
        <v>487</v>
      </c>
      <c r="B251" s="842" t="s">
        <v>206</v>
      </c>
      <c r="C251" s="1086">
        <v>0.15</v>
      </c>
      <c r="D251" s="1086">
        <v>0.15</v>
      </c>
      <c r="E251" s="1086">
        <v>0.15</v>
      </c>
      <c r="F251" s="1087">
        <v>0.14299999999999999</v>
      </c>
    </row>
    <row r="252" spans="1:6" ht="15" thickBot="1">
      <c r="A252" s="848" t="s">
        <v>487</v>
      </c>
      <c r="B252" s="842" t="s">
        <v>218</v>
      </c>
      <c r="C252" s="1086">
        <v>0.15</v>
      </c>
      <c r="D252" s="1086">
        <v>0.15</v>
      </c>
      <c r="E252" s="1086">
        <v>0.15</v>
      </c>
      <c r="F252" s="1087">
        <v>0.1</v>
      </c>
    </row>
    <row r="253" spans="1:6" ht="15" thickBot="1">
      <c r="A253" s="848" t="s">
        <v>487</v>
      </c>
      <c r="B253" s="842" t="s">
        <v>231</v>
      </c>
      <c r="C253" s="1086">
        <v>0.15</v>
      </c>
      <c r="D253" s="1086">
        <v>0.15</v>
      </c>
      <c r="E253" s="1086">
        <v>0.15</v>
      </c>
      <c r="F253" s="1087">
        <v>0.1</v>
      </c>
    </row>
    <row r="254" spans="1:6" ht="15" thickBot="1">
      <c r="A254" s="848" t="s">
        <v>487</v>
      </c>
      <c r="B254" s="842" t="s">
        <v>242</v>
      </c>
      <c r="C254" s="1092"/>
      <c r="D254" s="1092"/>
      <c r="E254" s="1092"/>
      <c r="F254" s="1087">
        <v>0.15</v>
      </c>
    </row>
    <row r="255" spans="1:6" ht="15" thickBot="1">
      <c r="A255" s="848" t="s">
        <v>487</v>
      </c>
      <c r="B255" s="842" t="s">
        <v>253</v>
      </c>
      <c r="C255" s="1092"/>
      <c r="D255" s="1092"/>
      <c r="E255" s="1092"/>
      <c r="F255" s="1087">
        <v>0.14299999999999999</v>
      </c>
    </row>
    <row r="256" spans="1:6" ht="15" thickBot="1">
      <c r="A256" s="848" t="s">
        <v>487</v>
      </c>
      <c r="B256" s="842" t="s">
        <v>883</v>
      </c>
      <c r="C256" s="1086">
        <v>0.14599999999999999</v>
      </c>
      <c r="D256" s="1086">
        <v>0.14699999999999999</v>
      </c>
      <c r="E256" s="1086">
        <v>0.15</v>
      </c>
      <c r="F256" s="1087">
        <v>0.13200000000000001</v>
      </c>
    </row>
    <row r="257" spans="1:6" ht="15" thickBot="1">
      <c r="A257" s="848" t="s">
        <v>487</v>
      </c>
      <c r="B257" s="842" t="s">
        <v>275</v>
      </c>
      <c r="C257" s="1086">
        <v>0.15</v>
      </c>
      <c r="D257" s="1086">
        <v>0.15</v>
      </c>
      <c r="E257" s="1086">
        <v>0.15</v>
      </c>
      <c r="F257" s="1087">
        <v>0.13900000000000001</v>
      </c>
    </row>
    <row r="258" spans="1:6" ht="15" thickBot="1">
      <c r="A258" s="848" t="s">
        <v>487</v>
      </c>
      <c r="B258" s="842" t="s">
        <v>286</v>
      </c>
      <c r="C258" s="1086">
        <v>0.15</v>
      </c>
      <c r="D258" s="1086">
        <v>0.15</v>
      </c>
      <c r="E258" s="1086">
        <v>0.15</v>
      </c>
      <c r="F258" s="1087">
        <v>0.13</v>
      </c>
    </row>
    <row r="259" spans="1:6" ht="15" thickBot="1">
      <c r="A259" s="848" t="s">
        <v>487</v>
      </c>
      <c r="B259" s="842" t="s">
        <v>884</v>
      </c>
      <c r="C259" s="1086">
        <v>0.14799999999999999</v>
      </c>
      <c r="D259" s="1086">
        <v>0.14899999999999999</v>
      </c>
      <c r="E259" s="1086">
        <v>0.15</v>
      </c>
      <c r="F259" s="1087">
        <v>0.13700000000000001</v>
      </c>
    </row>
    <row r="260" spans="1:6" ht="15" thickBot="1">
      <c r="A260" s="848" t="s">
        <v>487</v>
      </c>
      <c r="B260" s="842" t="s">
        <v>307</v>
      </c>
      <c r="C260" s="1086">
        <v>0.15</v>
      </c>
      <c r="D260" s="1086">
        <v>0.15</v>
      </c>
      <c r="E260" s="1086">
        <v>0.15</v>
      </c>
      <c r="F260" s="1087">
        <v>0.14199999999999999</v>
      </c>
    </row>
    <row r="261" spans="1:6" ht="15" thickBot="1">
      <c r="A261" s="848" t="s">
        <v>487</v>
      </c>
      <c r="B261" s="842" t="s">
        <v>317</v>
      </c>
      <c r="C261" s="1086">
        <v>0.15</v>
      </c>
      <c r="D261" s="1086">
        <v>0.15</v>
      </c>
      <c r="E261" s="1086">
        <v>0.14899999999999999</v>
      </c>
      <c r="F261" s="1087">
        <v>0.14799999999999999</v>
      </c>
    </row>
    <row r="262" spans="1:6" ht="15" thickBot="1">
      <c r="A262" s="848" t="s">
        <v>487</v>
      </c>
      <c r="B262" s="842" t="s">
        <v>327</v>
      </c>
      <c r="C262" s="1086">
        <v>0.15</v>
      </c>
      <c r="D262" s="1086">
        <v>0.15</v>
      </c>
      <c r="E262" s="1086">
        <v>0.15</v>
      </c>
      <c r="F262" s="1091"/>
    </row>
    <row r="263" spans="1:6" ht="15" thickBot="1">
      <c r="A263" s="848" t="s">
        <v>487</v>
      </c>
      <c r="B263" s="842" t="s">
        <v>885</v>
      </c>
      <c r="C263" s="1086">
        <v>0.14899999999999999</v>
      </c>
      <c r="D263" s="1086">
        <v>0.14899999999999999</v>
      </c>
      <c r="E263" s="1086">
        <v>0.15</v>
      </c>
      <c r="F263" s="1087">
        <v>0.13</v>
      </c>
    </row>
    <row r="264" spans="1:6" ht="15" thickBot="1">
      <c r="A264" s="848" t="s">
        <v>487</v>
      </c>
      <c r="B264" s="842" t="s">
        <v>346</v>
      </c>
      <c r="C264" s="1086">
        <v>0.14799999999999999</v>
      </c>
      <c r="D264" s="1086">
        <v>0.14699999999999999</v>
      </c>
      <c r="E264" s="1086">
        <v>0.15</v>
      </c>
      <c r="F264" s="1087">
        <v>7.8E-2</v>
      </c>
    </row>
    <row r="265" spans="1:6" ht="15" thickBot="1">
      <c r="A265" s="848" t="s">
        <v>487</v>
      </c>
      <c r="B265" s="842" t="s">
        <v>355</v>
      </c>
      <c r="C265" s="1086">
        <v>0.15</v>
      </c>
      <c r="D265" s="1086">
        <v>0.15</v>
      </c>
      <c r="E265" s="1086">
        <v>0.15</v>
      </c>
      <c r="F265" s="1087">
        <v>7.3999999999999996E-2</v>
      </c>
    </row>
    <row r="266" spans="1:6" ht="15" thickBot="1">
      <c r="A266" s="848" t="s">
        <v>487</v>
      </c>
      <c r="B266" s="842" t="s">
        <v>363</v>
      </c>
      <c r="C266" s="1086">
        <v>0.14699999999999999</v>
      </c>
      <c r="D266" s="1086">
        <v>0.14699999999999999</v>
      </c>
      <c r="E266" s="1086">
        <v>0.15</v>
      </c>
      <c r="F266" s="1087">
        <v>0.14299999999999999</v>
      </c>
    </row>
    <row r="267" spans="1:6" ht="15" thickBot="1">
      <c r="A267" s="848" t="s">
        <v>487</v>
      </c>
      <c r="B267" s="842" t="s">
        <v>370</v>
      </c>
      <c r="C267" s="1086">
        <v>0.14199999999999999</v>
      </c>
      <c r="D267" s="1086">
        <v>0.14299999999999999</v>
      </c>
      <c r="E267" s="1086">
        <v>0.15</v>
      </c>
      <c r="F267" s="1091"/>
    </row>
    <row r="268" spans="1:6" ht="15" thickBot="1">
      <c r="A268" s="848" t="s">
        <v>487</v>
      </c>
      <c r="B268" s="842" t="s">
        <v>886</v>
      </c>
      <c r="C268" s="1086">
        <v>0.15</v>
      </c>
      <c r="D268" s="1086">
        <v>0.15</v>
      </c>
      <c r="E268" s="1086">
        <v>0.15</v>
      </c>
      <c r="F268" s="1087">
        <v>0.13</v>
      </c>
    </row>
    <row r="269" spans="1:6" ht="15" thickBot="1">
      <c r="A269" s="848" t="s">
        <v>487</v>
      </c>
      <c r="B269" s="842" t="s">
        <v>384</v>
      </c>
      <c r="C269" s="1086">
        <v>0.15</v>
      </c>
      <c r="D269" s="1086">
        <v>0.15</v>
      </c>
      <c r="E269" s="1086">
        <v>0.15</v>
      </c>
      <c r="F269" s="1087">
        <v>0.14299999999999999</v>
      </c>
    </row>
    <row r="270" spans="1:6" ht="15" thickBot="1">
      <c r="A270" s="848" t="s">
        <v>487</v>
      </c>
      <c r="B270" s="842" t="s">
        <v>391</v>
      </c>
      <c r="C270" s="1086">
        <v>0.14499999999999999</v>
      </c>
      <c r="D270" s="1086">
        <v>0.14499999999999999</v>
      </c>
      <c r="E270" s="1086">
        <v>0.15</v>
      </c>
      <c r="F270" s="1087">
        <v>0.14699999999999999</v>
      </c>
    </row>
    <row r="271" spans="1:6" ht="15" thickBot="1">
      <c r="A271" s="848" t="s">
        <v>487</v>
      </c>
      <c r="B271" s="842" t="s">
        <v>398</v>
      </c>
      <c r="C271" s="1086">
        <v>0.15</v>
      </c>
      <c r="D271" s="1086">
        <v>0.15</v>
      </c>
      <c r="E271" s="1086">
        <v>0.15</v>
      </c>
      <c r="F271" s="1087">
        <v>0.13800000000000001</v>
      </c>
    </row>
    <row r="272" spans="1:6" ht="15" thickBot="1">
      <c r="A272" s="848" t="s">
        <v>487</v>
      </c>
      <c r="B272" s="842" t="s">
        <v>405</v>
      </c>
      <c r="C272" s="1092"/>
      <c r="D272" s="1092"/>
      <c r="E272" s="1092"/>
      <c r="F272" s="1087">
        <v>0.14000000000000001</v>
      </c>
    </row>
    <row r="273" spans="1:6" ht="15" thickBot="1">
      <c r="A273" s="848" t="s">
        <v>487</v>
      </c>
      <c r="B273" s="842" t="s">
        <v>887</v>
      </c>
      <c r="C273" s="1086">
        <v>0.14199999999999999</v>
      </c>
      <c r="D273" s="1086">
        <v>0.14299999999999999</v>
      </c>
      <c r="E273" s="1086">
        <v>0.15</v>
      </c>
      <c r="F273" s="1087">
        <v>0.1</v>
      </c>
    </row>
    <row r="274" spans="1:6" ht="15" thickBot="1">
      <c r="A274" s="848" t="s">
        <v>487</v>
      </c>
      <c r="B274" s="842" t="s">
        <v>888</v>
      </c>
      <c r="C274" s="1086">
        <v>0.14799999999999999</v>
      </c>
      <c r="D274" s="1086">
        <v>0.14799999999999999</v>
      </c>
      <c r="E274" s="1086">
        <v>0.15</v>
      </c>
      <c r="F274" s="1087">
        <v>6.7000000000000004E-2</v>
      </c>
    </row>
    <row r="275" spans="1:6" ht="15" thickBot="1">
      <c r="A275" s="848" t="s">
        <v>487</v>
      </c>
      <c r="B275" s="842" t="s">
        <v>889</v>
      </c>
      <c r="C275" s="1086">
        <v>0.15</v>
      </c>
      <c r="D275" s="1086">
        <v>0.15</v>
      </c>
      <c r="E275" s="1086">
        <v>0.15</v>
      </c>
      <c r="F275" s="1087">
        <v>0.15</v>
      </c>
    </row>
    <row r="276" spans="1:6" ht="15" thickBot="1">
      <c r="A276" s="848" t="s">
        <v>487</v>
      </c>
      <c r="B276" s="842" t="s">
        <v>890</v>
      </c>
      <c r="C276" s="1086">
        <v>0.14499999999999999</v>
      </c>
      <c r="D276" s="1086">
        <v>0.14299999999999999</v>
      </c>
      <c r="E276" s="1086">
        <v>0.15</v>
      </c>
      <c r="F276" s="1087">
        <v>5.8999999999999997E-2</v>
      </c>
    </row>
    <row r="277" spans="1:6" ht="15" thickBot="1">
      <c r="A277" s="848" t="s">
        <v>487</v>
      </c>
      <c r="B277" s="842" t="s">
        <v>891</v>
      </c>
      <c r="C277" s="1086">
        <v>0.15</v>
      </c>
      <c r="D277" s="1086">
        <v>0.15</v>
      </c>
      <c r="E277" s="1086">
        <v>0.15</v>
      </c>
      <c r="F277" s="1087">
        <v>0.121</v>
      </c>
    </row>
    <row r="278" spans="1:6" ht="15" thickBot="1">
      <c r="A278" s="848" t="s">
        <v>487</v>
      </c>
      <c r="B278" s="842" t="s">
        <v>892</v>
      </c>
      <c r="C278" s="1086">
        <v>0.15</v>
      </c>
      <c r="D278" s="1086">
        <v>0.15</v>
      </c>
      <c r="E278" s="1086">
        <v>0.15</v>
      </c>
      <c r="F278" s="1087">
        <v>0.13800000000000001</v>
      </c>
    </row>
    <row r="279" spans="1:6" ht="24.6" thickBot="1">
      <c r="A279" s="848" t="s">
        <v>487</v>
      </c>
      <c r="B279" s="842" t="s">
        <v>893</v>
      </c>
      <c r="C279" s="1092"/>
      <c r="D279" s="1092"/>
      <c r="E279" s="1092"/>
      <c r="F279" s="1087">
        <v>0.05</v>
      </c>
    </row>
    <row r="280" spans="1:6" ht="24.6" thickBot="1">
      <c r="A280" s="848" t="s">
        <v>487</v>
      </c>
      <c r="B280" s="842" t="s">
        <v>894</v>
      </c>
      <c r="C280" s="1092"/>
      <c r="D280" s="1092"/>
      <c r="E280" s="1092"/>
      <c r="F280" s="1087">
        <v>0.05</v>
      </c>
    </row>
    <row r="281" spans="1:6" ht="24.6" thickBot="1">
      <c r="A281" s="848" t="s">
        <v>487</v>
      </c>
      <c r="B281" s="842" t="s">
        <v>895</v>
      </c>
      <c r="C281" s="1092"/>
      <c r="D281" s="1092"/>
      <c r="E281" s="1092"/>
      <c r="F281" s="1087">
        <v>0.05</v>
      </c>
    </row>
    <row r="282" spans="1:6" ht="24.6" thickBot="1">
      <c r="A282" s="848" t="s">
        <v>487</v>
      </c>
      <c r="B282" s="842" t="s">
        <v>896</v>
      </c>
      <c r="C282" s="1092"/>
      <c r="D282" s="1092"/>
      <c r="E282" s="1092"/>
      <c r="F282" s="1087">
        <v>0.05</v>
      </c>
    </row>
    <row r="283" spans="1:6" ht="24.6" thickBot="1">
      <c r="A283" s="848" t="s">
        <v>487</v>
      </c>
      <c r="B283" s="842" t="s">
        <v>897</v>
      </c>
      <c r="C283" s="1092"/>
      <c r="D283" s="1092"/>
      <c r="E283" s="1092"/>
      <c r="F283" s="1087">
        <v>0.05</v>
      </c>
    </row>
    <row r="284" spans="1:6" ht="24.6" thickBot="1">
      <c r="A284" s="848" t="s">
        <v>487</v>
      </c>
      <c r="B284" s="842" t="s">
        <v>898</v>
      </c>
      <c r="C284" s="1092"/>
      <c r="D284" s="1092"/>
      <c r="E284" s="1092"/>
      <c r="F284" s="1087">
        <v>0.05</v>
      </c>
    </row>
    <row r="285" spans="1:6" ht="24.6" thickBot="1">
      <c r="A285" s="848" t="s">
        <v>487</v>
      </c>
      <c r="B285" s="842" t="s">
        <v>899</v>
      </c>
      <c r="C285" s="1092"/>
      <c r="D285" s="1092"/>
      <c r="E285" s="1092"/>
      <c r="F285" s="1087">
        <v>0.05</v>
      </c>
    </row>
    <row r="286" spans="1:6" ht="24.6" thickBot="1">
      <c r="A286" s="848" t="s">
        <v>487</v>
      </c>
      <c r="B286" s="842" t="s">
        <v>900</v>
      </c>
      <c r="C286" s="1092"/>
      <c r="D286" s="1092"/>
      <c r="E286" s="1092"/>
      <c r="F286" s="1087">
        <v>0.05</v>
      </c>
    </row>
    <row r="287" spans="1:6" ht="24.6" thickBot="1">
      <c r="A287" s="848" t="s">
        <v>487</v>
      </c>
      <c r="B287" s="842" t="s">
        <v>901</v>
      </c>
      <c r="C287" s="1092"/>
      <c r="D287" s="1092"/>
      <c r="E287" s="1092"/>
      <c r="F287" s="1087">
        <v>0.05</v>
      </c>
    </row>
    <row r="288" spans="1:6" ht="24.6" thickBot="1">
      <c r="A288" s="848" t="s">
        <v>487</v>
      </c>
      <c r="B288" s="842" t="s">
        <v>902</v>
      </c>
      <c r="C288" s="1092"/>
      <c r="D288" s="1092"/>
      <c r="E288" s="1092"/>
      <c r="F288" s="1087">
        <v>0.05</v>
      </c>
    </row>
    <row r="289" spans="1:6" ht="24.6" thickBot="1">
      <c r="A289" s="865" t="s">
        <v>487</v>
      </c>
      <c r="B289" s="858" t="s">
        <v>903</v>
      </c>
      <c r="C289" s="1089"/>
      <c r="D289" s="1089"/>
      <c r="E289" s="1089"/>
      <c r="F289" s="1093">
        <v>0.05</v>
      </c>
    </row>
    <row r="290" spans="1:6" ht="15" thickBot="1">
      <c r="A290" s="848" t="s">
        <v>491</v>
      </c>
      <c r="B290" s="849" t="s">
        <v>904</v>
      </c>
      <c r="C290" s="1084">
        <v>0.15</v>
      </c>
      <c r="D290" s="1084">
        <v>0.15</v>
      </c>
      <c r="E290" s="1084">
        <v>0.15</v>
      </c>
      <c r="F290" s="1101"/>
    </row>
    <row r="291" spans="1:6" ht="15" thickBot="1">
      <c r="A291" s="848" t="s">
        <v>491</v>
      </c>
      <c r="B291" s="842" t="s">
        <v>145</v>
      </c>
      <c r="C291" s="1086">
        <v>0.15</v>
      </c>
      <c r="D291" s="1086">
        <v>0.15</v>
      </c>
      <c r="E291" s="1086">
        <v>0.15</v>
      </c>
      <c r="F291" s="1091"/>
    </row>
    <row r="292" spans="1:6" ht="15" thickBot="1">
      <c r="A292" s="848" t="s">
        <v>491</v>
      </c>
      <c r="B292" s="842" t="s">
        <v>905</v>
      </c>
      <c r="C292" s="1086">
        <v>0.15</v>
      </c>
      <c r="D292" s="1086">
        <v>0.15</v>
      </c>
      <c r="E292" s="1086">
        <v>0.15</v>
      </c>
      <c r="F292" s="1087">
        <v>0.14699999999999999</v>
      </c>
    </row>
    <row r="293" spans="1:6" ht="15" thickBot="1">
      <c r="A293" s="848" t="s">
        <v>491</v>
      </c>
      <c r="B293" s="842" t="s">
        <v>906</v>
      </c>
      <c r="C293" s="1092"/>
      <c r="D293" s="1092"/>
      <c r="E293" s="1092"/>
      <c r="F293" s="1087">
        <v>0.1</v>
      </c>
    </row>
    <row r="294" spans="1:6" ht="15" thickBot="1">
      <c r="A294" s="848" t="s">
        <v>491</v>
      </c>
      <c r="B294" s="842" t="s">
        <v>907</v>
      </c>
      <c r="C294" s="1086">
        <v>0.15</v>
      </c>
      <c r="D294" s="1086">
        <v>0.15</v>
      </c>
      <c r="E294" s="1086">
        <v>0.15</v>
      </c>
      <c r="F294" s="1087">
        <v>0.15</v>
      </c>
    </row>
    <row r="295" spans="1:6" ht="15" thickBot="1">
      <c r="A295" s="848" t="s">
        <v>491</v>
      </c>
      <c r="B295" s="842" t="s">
        <v>183</v>
      </c>
      <c r="C295" s="1086">
        <v>0.15</v>
      </c>
      <c r="D295" s="1086">
        <v>0.15</v>
      </c>
      <c r="E295" s="1086">
        <v>0.15</v>
      </c>
      <c r="F295" s="1087">
        <v>0.15</v>
      </c>
    </row>
    <row r="296" spans="1:6" ht="15" thickBot="1">
      <c r="A296" s="848" t="s">
        <v>491</v>
      </c>
      <c r="B296" s="842" t="s">
        <v>908</v>
      </c>
      <c r="C296" s="1086">
        <v>0.15</v>
      </c>
      <c r="D296" s="1086">
        <v>0.15</v>
      </c>
      <c r="E296" s="1086">
        <v>0.15</v>
      </c>
      <c r="F296" s="1087">
        <v>0.15</v>
      </c>
    </row>
    <row r="297" spans="1:6" ht="15" thickBot="1">
      <c r="A297" s="848" t="s">
        <v>491</v>
      </c>
      <c r="B297" s="842" t="s">
        <v>909</v>
      </c>
      <c r="C297" s="1086">
        <v>0.14799999999999999</v>
      </c>
      <c r="D297" s="1086">
        <v>0.14899999999999999</v>
      </c>
      <c r="E297" s="1086">
        <v>0.15</v>
      </c>
      <c r="F297" s="1087">
        <v>0.13700000000000001</v>
      </c>
    </row>
    <row r="298" spans="1:6" ht="15" thickBot="1">
      <c r="A298" s="848" t="s">
        <v>491</v>
      </c>
      <c r="B298" s="842" t="s">
        <v>219</v>
      </c>
      <c r="C298" s="1086">
        <v>0.13400000000000001</v>
      </c>
      <c r="D298" s="1086">
        <v>0.13400000000000001</v>
      </c>
      <c r="E298" s="1086">
        <v>0.14499999999999999</v>
      </c>
      <c r="F298" s="1087">
        <v>0.14799999999999999</v>
      </c>
    </row>
    <row r="299" spans="1:6" ht="15" thickBot="1">
      <c r="A299" s="848" t="s">
        <v>491</v>
      </c>
      <c r="B299" s="842" t="s">
        <v>232</v>
      </c>
      <c r="C299" s="1086">
        <v>0.15</v>
      </c>
      <c r="D299" s="1086">
        <v>0.15</v>
      </c>
      <c r="E299" s="1086">
        <v>0.15</v>
      </c>
      <c r="F299" s="1091"/>
    </row>
    <row r="300" spans="1:6" ht="15" thickBot="1">
      <c r="A300" s="848" t="s">
        <v>491</v>
      </c>
      <c r="B300" s="842" t="s">
        <v>910</v>
      </c>
      <c r="C300" s="1086">
        <v>0.15</v>
      </c>
      <c r="D300" s="1086">
        <v>0.15</v>
      </c>
      <c r="E300" s="1086">
        <v>0.15</v>
      </c>
      <c r="F300" s="1087">
        <v>0.15</v>
      </c>
    </row>
    <row r="301" spans="1:6" ht="15" thickBot="1">
      <c r="A301" s="848" t="s">
        <v>491</v>
      </c>
      <c r="B301" s="842" t="s">
        <v>254</v>
      </c>
      <c r="C301" s="1086">
        <v>0.15</v>
      </c>
      <c r="D301" s="1086">
        <v>0.15</v>
      </c>
      <c r="E301" s="1086">
        <v>0.15</v>
      </c>
      <c r="F301" s="1091"/>
    </row>
    <row r="302" spans="1:6" ht="15" thickBot="1">
      <c r="A302" s="848" t="s">
        <v>491</v>
      </c>
      <c r="B302" s="842" t="s">
        <v>911</v>
      </c>
      <c r="C302" s="1086">
        <v>0.15</v>
      </c>
      <c r="D302" s="1086">
        <v>0.15</v>
      </c>
      <c r="E302" s="1086">
        <v>0.15</v>
      </c>
      <c r="F302" s="1087">
        <v>0.15</v>
      </c>
    </row>
    <row r="303" spans="1:6" ht="15" thickBot="1">
      <c r="A303" s="848" t="s">
        <v>491</v>
      </c>
      <c r="B303" s="842" t="s">
        <v>276</v>
      </c>
      <c r="C303" s="1086">
        <v>0.15</v>
      </c>
      <c r="D303" s="1086">
        <v>0.15</v>
      </c>
      <c r="E303" s="1086">
        <v>0.15</v>
      </c>
      <c r="F303" s="1087">
        <v>0.15</v>
      </c>
    </row>
    <row r="304" spans="1:6" ht="15" thickBot="1">
      <c r="A304" s="848" t="s">
        <v>491</v>
      </c>
      <c r="B304" s="842" t="s">
        <v>287</v>
      </c>
      <c r="C304" s="1086">
        <v>0.15</v>
      </c>
      <c r="D304" s="1086">
        <v>0.15</v>
      </c>
      <c r="E304" s="1086">
        <v>0.15</v>
      </c>
      <c r="F304" s="1091"/>
    </row>
    <row r="305" spans="1:6" ht="15" thickBot="1">
      <c r="A305" s="848" t="s">
        <v>491</v>
      </c>
      <c r="B305" s="842" t="s">
        <v>912</v>
      </c>
      <c r="C305" s="1086">
        <v>0.15</v>
      </c>
      <c r="D305" s="1086">
        <v>0.15</v>
      </c>
      <c r="E305" s="1086">
        <v>0.15</v>
      </c>
      <c r="F305" s="1087">
        <v>0.14000000000000001</v>
      </c>
    </row>
    <row r="306" spans="1:6" ht="15" thickBot="1">
      <c r="A306" s="848" t="s">
        <v>491</v>
      </c>
      <c r="B306" s="842" t="s">
        <v>308</v>
      </c>
      <c r="C306" s="1086">
        <v>0.15</v>
      </c>
      <c r="D306" s="1086">
        <v>0.15</v>
      </c>
      <c r="E306" s="1086">
        <v>0.15</v>
      </c>
      <c r="F306" s="1091"/>
    </row>
    <row r="307" spans="1:6" ht="15" thickBot="1">
      <c r="A307" s="848" t="s">
        <v>491</v>
      </c>
      <c r="B307" s="842" t="s">
        <v>913</v>
      </c>
      <c r="C307" s="1086">
        <v>0.15</v>
      </c>
      <c r="D307" s="1086">
        <v>0.15</v>
      </c>
      <c r="E307" s="1086">
        <v>0.15</v>
      </c>
      <c r="F307" s="1087">
        <v>0.14299999999999999</v>
      </c>
    </row>
    <row r="308" spans="1:6" ht="15" thickBot="1">
      <c r="A308" s="848" t="s">
        <v>491</v>
      </c>
      <c r="B308" s="842" t="s">
        <v>328</v>
      </c>
      <c r="C308" s="1086">
        <v>0.15</v>
      </c>
      <c r="D308" s="1086">
        <v>0.15</v>
      </c>
      <c r="E308" s="1086">
        <v>0.15</v>
      </c>
      <c r="F308" s="1087">
        <v>0.15</v>
      </c>
    </row>
    <row r="309" spans="1:6" ht="15" thickBot="1">
      <c r="A309" s="848" t="s">
        <v>491</v>
      </c>
      <c r="B309" s="842" t="s">
        <v>338</v>
      </c>
      <c r="C309" s="1086">
        <v>0.15</v>
      </c>
      <c r="D309" s="1086">
        <v>0.15</v>
      </c>
      <c r="E309" s="1086">
        <v>0.15</v>
      </c>
      <c r="F309" s="1091"/>
    </row>
    <row r="310" spans="1:6" ht="15" thickBot="1">
      <c r="A310" s="848" t="s">
        <v>491</v>
      </c>
      <c r="B310" s="842" t="s">
        <v>914</v>
      </c>
      <c r="C310" s="1086">
        <v>0.15</v>
      </c>
      <c r="D310" s="1086">
        <v>0.15</v>
      </c>
      <c r="E310" s="1086">
        <v>0.15</v>
      </c>
      <c r="F310" s="1087">
        <v>0.13700000000000001</v>
      </c>
    </row>
    <row r="311" spans="1:6" ht="15" thickBot="1">
      <c r="A311" s="848" t="s">
        <v>491</v>
      </c>
      <c r="B311" s="842" t="s">
        <v>915</v>
      </c>
      <c r="C311" s="1086">
        <v>0.15</v>
      </c>
      <c r="D311" s="1086">
        <v>0.15</v>
      </c>
      <c r="E311" s="1086">
        <v>0.15</v>
      </c>
      <c r="F311" s="1087">
        <v>0.15</v>
      </c>
    </row>
    <row r="312" spans="1:6" ht="15" thickBot="1">
      <c r="A312" s="848" t="s">
        <v>491</v>
      </c>
      <c r="B312" s="842" t="s">
        <v>364</v>
      </c>
      <c r="C312" s="1086">
        <v>0.15</v>
      </c>
      <c r="D312" s="1086">
        <v>0.15</v>
      </c>
      <c r="E312" s="1086">
        <v>0.15</v>
      </c>
      <c r="F312" s="1087">
        <v>0.1</v>
      </c>
    </row>
    <row r="313" spans="1:6" ht="15" thickBot="1">
      <c r="A313" s="848" t="s">
        <v>491</v>
      </c>
      <c r="B313" s="842" t="s">
        <v>916</v>
      </c>
      <c r="C313" s="1086">
        <v>0.15</v>
      </c>
      <c r="D313" s="1086">
        <v>0.15</v>
      </c>
      <c r="E313" s="1086">
        <v>0.15</v>
      </c>
      <c r="F313" s="1087">
        <v>0.15</v>
      </c>
    </row>
    <row r="314" spans="1:6" ht="24.6" thickBot="1">
      <c r="A314" s="848" t="s">
        <v>491</v>
      </c>
      <c r="B314" s="842" t="s">
        <v>917</v>
      </c>
      <c r="C314" s="1092"/>
      <c r="D314" s="1092"/>
      <c r="E314" s="1092"/>
      <c r="F314" s="1087">
        <v>0.05</v>
      </c>
    </row>
    <row r="315" spans="1:6" ht="24.6" thickBot="1">
      <c r="A315" s="848" t="s">
        <v>491</v>
      </c>
      <c r="B315" s="842" t="s">
        <v>918</v>
      </c>
      <c r="C315" s="1092"/>
      <c r="D315" s="1092"/>
      <c r="E315" s="1092"/>
      <c r="F315" s="1087">
        <v>0.05</v>
      </c>
    </row>
    <row r="316" spans="1:6" ht="24.6" thickBot="1">
      <c r="A316" s="865" t="s">
        <v>491</v>
      </c>
      <c r="B316" s="858" t="s">
        <v>919</v>
      </c>
      <c r="C316" s="1089"/>
      <c r="D316" s="1089"/>
      <c r="E316" s="1089"/>
      <c r="F316" s="1093">
        <v>0.05</v>
      </c>
    </row>
    <row r="317" spans="1:6" ht="15" thickBot="1">
      <c r="A317" s="848" t="s">
        <v>920</v>
      </c>
      <c r="B317" s="849" t="s">
        <v>921</v>
      </c>
      <c r="C317" s="1084">
        <v>0.15</v>
      </c>
      <c r="D317" s="1084">
        <v>0.15</v>
      </c>
      <c r="E317" s="1084">
        <v>0.15</v>
      </c>
      <c r="F317" s="1085">
        <v>0.15</v>
      </c>
    </row>
    <row r="318" spans="1:6" ht="15" thickBot="1">
      <c r="A318" s="848" t="s">
        <v>920</v>
      </c>
      <c r="B318" s="842" t="s">
        <v>922</v>
      </c>
      <c r="C318" s="1086">
        <v>0.107</v>
      </c>
      <c r="D318" s="1086">
        <v>0.11</v>
      </c>
      <c r="E318" s="1086">
        <v>0.112</v>
      </c>
      <c r="F318" s="1091"/>
    </row>
    <row r="319" spans="1:6" ht="15" thickBot="1">
      <c r="A319" s="848" t="s">
        <v>920</v>
      </c>
      <c r="B319" s="842" t="s">
        <v>923</v>
      </c>
      <c r="C319" s="1086">
        <v>0.15</v>
      </c>
      <c r="D319" s="1086">
        <v>0.15</v>
      </c>
      <c r="E319" s="1086">
        <v>0.15</v>
      </c>
      <c r="F319" s="1087">
        <v>0.15</v>
      </c>
    </row>
    <row r="320" spans="1:6" ht="15" thickBot="1">
      <c r="A320" s="848" t="s">
        <v>920</v>
      </c>
      <c r="B320" s="842" t="s">
        <v>172</v>
      </c>
      <c r="C320" s="1086">
        <v>0.15</v>
      </c>
      <c r="D320" s="1086">
        <v>0.15</v>
      </c>
      <c r="E320" s="1086">
        <v>0.15</v>
      </c>
      <c r="F320" s="1091"/>
    </row>
    <row r="321" spans="1:6" ht="15" thickBot="1">
      <c r="A321" s="848" t="s">
        <v>920</v>
      </c>
      <c r="B321" s="842" t="s">
        <v>924</v>
      </c>
      <c r="C321" s="1086">
        <v>0.15</v>
      </c>
      <c r="D321" s="1086">
        <v>0.15</v>
      </c>
      <c r="E321" s="1086">
        <v>0.15</v>
      </c>
      <c r="F321" s="1091"/>
    </row>
    <row r="322" spans="1:6" ht="15" thickBot="1">
      <c r="A322" s="848" t="s">
        <v>920</v>
      </c>
      <c r="B322" s="842" t="s">
        <v>925</v>
      </c>
      <c r="C322" s="1086">
        <v>0.15</v>
      </c>
      <c r="D322" s="1086">
        <v>0.15</v>
      </c>
      <c r="E322" s="1086">
        <v>0.15</v>
      </c>
      <c r="F322" s="1087">
        <v>0.15</v>
      </c>
    </row>
    <row r="323" spans="1:6" ht="15" thickBot="1">
      <c r="A323" s="848" t="s">
        <v>920</v>
      </c>
      <c r="B323" s="842" t="s">
        <v>926</v>
      </c>
      <c r="C323" s="1086">
        <v>0.15</v>
      </c>
      <c r="D323" s="1086">
        <v>0.15</v>
      </c>
      <c r="E323" s="1086">
        <v>0.15</v>
      </c>
      <c r="F323" s="1091"/>
    </row>
    <row r="324" spans="1:6" ht="15" thickBot="1">
      <c r="A324" s="848" t="s">
        <v>920</v>
      </c>
      <c r="B324" s="842" t="s">
        <v>927</v>
      </c>
      <c r="C324" s="1086">
        <v>0.15</v>
      </c>
      <c r="D324" s="1086">
        <v>0.15</v>
      </c>
      <c r="E324" s="1086">
        <v>0.15</v>
      </c>
      <c r="F324" s="1091"/>
    </row>
    <row r="325" spans="1:6" ht="15" thickBot="1">
      <c r="A325" s="848" t="s">
        <v>920</v>
      </c>
      <c r="B325" s="842" t="s">
        <v>928</v>
      </c>
      <c r="C325" s="1086">
        <v>0.15</v>
      </c>
      <c r="D325" s="1086">
        <v>0.15</v>
      </c>
      <c r="E325" s="1086">
        <v>0.15</v>
      </c>
      <c r="F325" s="1087">
        <v>0.14699999999999999</v>
      </c>
    </row>
    <row r="326" spans="1:6" ht="15" thickBot="1">
      <c r="A326" s="848" t="s">
        <v>920</v>
      </c>
      <c r="B326" s="842" t="s">
        <v>244</v>
      </c>
      <c r="C326" s="1086">
        <v>0.15</v>
      </c>
      <c r="D326" s="1086">
        <v>0.15</v>
      </c>
      <c r="E326" s="1086">
        <v>0.15</v>
      </c>
      <c r="F326" s="1091"/>
    </row>
    <row r="327" spans="1:6" ht="15" thickBot="1">
      <c r="A327" s="848" t="s">
        <v>920</v>
      </c>
      <c r="B327" s="842" t="s">
        <v>929</v>
      </c>
      <c r="C327" s="1086">
        <v>0.15</v>
      </c>
      <c r="D327" s="1086">
        <v>0.15</v>
      </c>
      <c r="E327" s="1086">
        <v>0.15</v>
      </c>
      <c r="F327" s="1087">
        <v>0.15</v>
      </c>
    </row>
    <row r="328" spans="1:6" ht="15" thickBot="1">
      <c r="A328" s="848" t="s">
        <v>920</v>
      </c>
      <c r="B328" s="842" t="s">
        <v>266</v>
      </c>
      <c r="C328" s="1086">
        <v>0.15</v>
      </c>
      <c r="D328" s="1086">
        <v>0.15</v>
      </c>
      <c r="E328" s="1086">
        <v>0.15</v>
      </c>
      <c r="F328" s="1087">
        <v>0.14099999999999999</v>
      </c>
    </row>
    <row r="329" spans="1:6" ht="15" thickBot="1">
      <c r="A329" s="848" t="s">
        <v>920</v>
      </c>
      <c r="B329" s="842" t="s">
        <v>277</v>
      </c>
      <c r="C329" s="1086">
        <v>0.15</v>
      </c>
      <c r="D329" s="1086">
        <v>0.15</v>
      </c>
      <c r="E329" s="1086">
        <v>0.15</v>
      </c>
      <c r="F329" s="1087">
        <v>0.15</v>
      </c>
    </row>
    <row r="330" spans="1:6" ht="15" thickBot="1">
      <c r="A330" s="848" t="s">
        <v>920</v>
      </c>
      <c r="B330" s="842" t="s">
        <v>288</v>
      </c>
      <c r="C330" s="1086">
        <v>0.15</v>
      </c>
      <c r="D330" s="1086">
        <v>0.15</v>
      </c>
      <c r="E330" s="1086">
        <v>0.15</v>
      </c>
      <c r="F330" s="1091"/>
    </row>
    <row r="331" spans="1:6" ht="15" thickBot="1">
      <c r="A331" s="848" t="s">
        <v>920</v>
      </c>
      <c r="B331" s="842" t="s">
        <v>930</v>
      </c>
      <c r="C331" s="1086">
        <v>0.15</v>
      </c>
      <c r="D331" s="1086">
        <v>0.15</v>
      </c>
      <c r="E331" s="1086">
        <v>0.15</v>
      </c>
      <c r="F331" s="1087">
        <v>0.15</v>
      </c>
    </row>
    <row r="332" spans="1:6" ht="15" thickBot="1">
      <c r="A332" s="848" t="s">
        <v>920</v>
      </c>
      <c r="B332" s="842" t="s">
        <v>309</v>
      </c>
      <c r="C332" s="1086">
        <v>0.15</v>
      </c>
      <c r="D332" s="1086">
        <v>0.15</v>
      </c>
      <c r="E332" s="1086">
        <v>0.15</v>
      </c>
      <c r="F332" s="1087">
        <v>0.15</v>
      </c>
    </row>
    <row r="333" spans="1:6" ht="15" thickBot="1">
      <c r="A333" s="848" t="s">
        <v>920</v>
      </c>
      <c r="B333" s="842" t="s">
        <v>931</v>
      </c>
      <c r="C333" s="1086">
        <v>0.15</v>
      </c>
      <c r="D333" s="1086">
        <v>0.15</v>
      </c>
      <c r="E333" s="1086">
        <v>0.15</v>
      </c>
      <c r="F333" s="1087">
        <v>0.14099999999999999</v>
      </c>
    </row>
    <row r="334" spans="1:6" ht="15" thickBot="1">
      <c r="A334" s="848" t="s">
        <v>920</v>
      </c>
      <c r="B334" s="842" t="s">
        <v>329</v>
      </c>
      <c r="C334" s="1086">
        <v>0.15</v>
      </c>
      <c r="D334" s="1086">
        <v>0.15</v>
      </c>
      <c r="E334" s="1086">
        <v>0.15</v>
      </c>
      <c r="F334" s="1087">
        <v>0.15</v>
      </c>
    </row>
    <row r="335" spans="1:6" ht="15" thickBot="1">
      <c r="A335" s="848" t="s">
        <v>920</v>
      </c>
      <c r="B335" s="842" t="s">
        <v>339</v>
      </c>
      <c r="C335" s="1086">
        <v>0.15</v>
      </c>
      <c r="D335" s="1086">
        <v>0.15</v>
      </c>
      <c r="E335" s="1086">
        <v>0.15</v>
      </c>
      <c r="F335" s="1091"/>
    </row>
    <row r="336" spans="1:6" ht="15" thickBot="1">
      <c r="A336" s="848" t="s">
        <v>920</v>
      </c>
      <c r="B336" s="842" t="s">
        <v>932</v>
      </c>
      <c r="C336" s="1086">
        <v>0.15</v>
      </c>
      <c r="D336" s="1086">
        <v>0.15</v>
      </c>
      <c r="E336" s="1086">
        <v>0.15</v>
      </c>
      <c r="F336" s="1087">
        <v>0.11799999999999999</v>
      </c>
    </row>
    <row r="337" spans="1:6" ht="15" thickBot="1">
      <c r="A337" s="865" t="s">
        <v>920</v>
      </c>
      <c r="B337" s="858" t="s">
        <v>357</v>
      </c>
      <c r="C337" s="1089"/>
      <c r="D337" s="1089"/>
      <c r="E337" s="1089"/>
      <c r="F337" s="1093">
        <v>0.14299999999999999</v>
      </c>
    </row>
    <row r="338" spans="1:6" ht="15" thickBot="1">
      <c r="A338" s="848" t="s">
        <v>933</v>
      </c>
      <c r="B338" s="849" t="s">
        <v>934</v>
      </c>
      <c r="C338" s="1084">
        <v>0.15</v>
      </c>
      <c r="D338" s="1084">
        <v>0.15</v>
      </c>
      <c r="E338" s="1084">
        <v>0.15</v>
      </c>
      <c r="F338" s="1101"/>
    </row>
    <row r="339" spans="1:6" ht="15" thickBot="1">
      <c r="A339" s="848" t="s">
        <v>933</v>
      </c>
      <c r="B339" s="842" t="s">
        <v>935</v>
      </c>
      <c r="C339" s="1086">
        <v>0.15</v>
      </c>
      <c r="D339" s="1086">
        <v>0.15</v>
      </c>
      <c r="E339" s="1086">
        <v>0.15</v>
      </c>
      <c r="F339" s="1091"/>
    </row>
    <row r="340" spans="1:6" ht="15" thickBot="1">
      <c r="A340" s="848" t="s">
        <v>933</v>
      </c>
      <c r="B340" s="842" t="s">
        <v>936</v>
      </c>
      <c r="C340" s="1086">
        <v>0.15</v>
      </c>
      <c r="D340" s="1086">
        <v>0.15</v>
      </c>
      <c r="E340" s="1086">
        <v>0.15</v>
      </c>
      <c r="F340" s="1091"/>
    </row>
    <row r="341" spans="1:6" ht="15" thickBot="1">
      <c r="A341" s="848" t="s">
        <v>933</v>
      </c>
      <c r="B341" s="842" t="s">
        <v>937</v>
      </c>
      <c r="C341" s="1086">
        <v>0.15</v>
      </c>
      <c r="D341" s="1086">
        <v>0.15</v>
      </c>
      <c r="E341" s="1086">
        <v>0.15</v>
      </c>
      <c r="F341" s="1087">
        <v>0.15</v>
      </c>
    </row>
    <row r="342" spans="1:6" ht="15" thickBot="1">
      <c r="A342" s="848" t="s">
        <v>933</v>
      </c>
      <c r="B342" s="842" t="s">
        <v>938</v>
      </c>
      <c r="C342" s="1086">
        <v>0.15</v>
      </c>
      <c r="D342" s="1086">
        <v>0.15</v>
      </c>
      <c r="E342" s="1086">
        <v>0.15</v>
      </c>
      <c r="F342" s="1087">
        <v>0.15</v>
      </c>
    </row>
    <row r="343" spans="1:6" ht="15" thickBot="1">
      <c r="A343" s="848" t="s">
        <v>933</v>
      </c>
      <c r="B343" s="842" t="s">
        <v>939</v>
      </c>
      <c r="C343" s="1086">
        <v>0.15</v>
      </c>
      <c r="D343" s="1086">
        <v>0.15</v>
      </c>
      <c r="E343" s="1086">
        <v>0.15</v>
      </c>
      <c r="F343" s="1087">
        <v>0.15</v>
      </c>
    </row>
    <row r="344" spans="1:6" ht="1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2" customWidth="1"/>
    <col min="2" max="2" width="40.6640625" style="1270" customWidth="1"/>
    <col min="3" max="3" width="9" style="1271"/>
    <col min="4" max="5" width="9" style="1272"/>
    <col min="6" max="6" width="9" style="1273"/>
    <col min="7" max="7" width="11.8867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24">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36">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4">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4">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24">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4">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36.6"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36">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4">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4">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24">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4">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36.6"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24">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36">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4">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4">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4">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24">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36">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24.6"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4.4">
      <c r="A35" s="806" t="s">
        <v>135</v>
      </c>
      <c r="B35" s="807">
        <f>1+F37</f>
        <v>1.0127999999999999</v>
      </c>
      <c r="C35" s="1265"/>
      <c r="D35" s="809"/>
      <c r="E35" s="809"/>
      <c r="F35" s="810"/>
      <c r="G35" s="1263"/>
      <c r="H35" s="1259"/>
      <c r="I35" s="805"/>
      <c r="J35" s="805"/>
      <c r="K35" s="805"/>
      <c r="L35" s="805"/>
      <c r="M35" s="805"/>
    </row>
    <row r="36" spans="1:13" ht="24">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4">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4">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4">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4">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24">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6"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2" customWidth="1"/>
    <col min="2" max="5" width="10.21875" style="805" customWidth="1"/>
    <col min="6" max="6" width="9" style="805"/>
    <col min="7" max="7" width="9" style="836"/>
    <col min="8" max="8" width="9" style="805"/>
    <col min="9" max="9" width="9" style="836"/>
    <col min="10" max="16384" width="9" style="805"/>
  </cols>
  <sheetData>
    <row r="1" spans="1:20">
      <c r="A1" s="3153" t="s">
        <v>105</v>
      </c>
      <c r="B1" s="3153"/>
      <c r="C1" s="3153"/>
      <c r="D1" s="3153"/>
      <c r="E1" s="3153"/>
      <c r="F1" s="3153"/>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5" thickBot="1">
      <c r="A2" s="3154" t="s">
        <v>118</v>
      </c>
      <c r="B2" s="3154"/>
      <c r="C2" s="3154"/>
      <c r="D2" s="3154"/>
      <c r="E2" s="3154"/>
      <c r="F2" s="3154"/>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5"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6"/>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1" customWidth="1"/>
    <col min="2" max="9" width="8.21875" style="895"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7" t="s">
        <v>132</v>
      </c>
      <c r="B18" s="899" t="s">
        <v>517</v>
      </c>
      <c r="C18" s="900" t="s">
        <v>518</v>
      </c>
      <c r="D18" s="901"/>
      <c r="E18" s="899">
        <v>1</v>
      </c>
      <c r="F18" s="902" t="s">
        <v>519</v>
      </c>
      <c r="G18" s="903"/>
      <c r="H18" s="895"/>
      <c r="I18" s="895"/>
    </row>
    <row r="19" spans="1:9" s="904" customFormat="1" ht="19.5" customHeight="1">
      <c r="A19" s="3157"/>
      <c r="B19" s="3157" t="s">
        <v>520</v>
      </c>
      <c r="C19" s="900" t="s">
        <v>521</v>
      </c>
      <c r="D19" s="901"/>
      <c r="E19" s="899">
        <v>0.9</v>
      </c>
      <c r="F19" s="902" t="s">
        <v>522</v>
      </c>
      <c r="G19" s="903"/>
      <c r="H19" s="895"/>
      <c r="I19" s="895"/>
    </row>
    <row r="20" spans="1:9" s="904" customFormat="1" ht="19.5" customHeight="1">
      <c r="A20" s="3157"/>
      <c r="B20" s="3157"/>
      <c r="C20" s="900" t="s">
        <v>523</v>
      </c>
      <c r="D20" s="901"/>
      <c r="E20" s="899">
        <v>1.1000000000000001</v>
      </c>
      <c r="F20" s="902" t="s">
        <v>524</v>
      </c>
      <c r="G20" s="903"/>
      <c r="H20" s="895"/>
      <c r="I20" s="895"/>
    </row>
    <row r="21" spans="1:9" s="904" customFormat="1" ht="19.5" customHeight="1">
      <c r="A21" s="3157"/>
      <c r="B21" s="3157"/>
      <c r="C21" s="900" t="s">
        <v>525</v>
      </c>
      <c r="D21" s="901"/>
      <c r="E21" s="899">
        <v>0.8</v>
      </c>
      <c r="F21" s="902" t="s">
        <v>526</v>
      </c>
      <c r="G21" s="903"/>
      <c r="H21" s="895"/>
      <c r="I21" s="895"/>
    </row>
    <row r="22" spans="1:9" s="904" customFormat="1" ht="19.5" customHeight="1">
      <c r="A22" s="3157"/>
      <c r="B22" s="3157"/>
      <c r="C22" s="900" t="s">
        <v>527</v>
      </c>
      <c r="D22" s="901"/>
      <c r="E22" s="899">
        <v>0.5</v>
      </c>
      <c r="F22" s="902"/>
      <c r="G22" s="903"/>
      <c r="H22" s="895"/>
      <c r="I22" s="895"/>
    </row>
    <row r="23" spans="1:9" s="904" customFormat="1" ht="19.5" customHeight="1">
      <c r="A23" s="3157" t="s">
        <v>133</v>
      </c>
      <c r="B23" s="899" t="s">
        <v>517</v>
      </c>
      <c r="C23" s="900" t="s">
        <v>528</v>
      </c>
      <c r="D23" s="901"/>
      <c r="E23" s="899">
        <v>1</v>
      </c>
      <c r="F23" s="902" t="s">
        <v>529</v>
      </c>
      <c r="G23" s="903"/>
      <c r="H23" s="895"/>
      <c r="I23" s="895"/>
    </row>
    <row r="24" spans="1:9" s="904" customFormat="1" ht="19.5" customHeight="1">
      <c r="A24" s="3157"/>
      <c r="B24" s="3157" t="s">
        <v>520</v>
      </c>
      <c r="C24" s="900" t="s">
        <v>530</v>
      </c>
      <c r="D24" s="901"/>
      <c r="E24" s="899">
        <v>0.5</v>
      </c>
      <c r="F24" s="902"/>
      <c r="G24" s="903"/>
      <c r="H24" s="895"/>
      <c r="I24" s="895"/>
    </row>
    <row r="25" spans="1:9" s="904" customFormat="1" ht="19.5" customHeight="1">
      <c r="A25" s="3157"/>
      <c r="B25" s="3157"/>
      <c r="C25" s="900" t="s">
        <v>531</v>
      </c>
      <c r="D25" s="901"/>
      <c r="E25" s="899">
        <v>1.1000000000000001</v>
      </c>
      <c r="F25" s="902"/>
      <c r="G25" s="903"/>
      <c r="H25" s="895"/>
      <c r="I25" s="895"/>
    </row>
    <row r="26" spans="1:9" s="904" customFormat="1" ht="19.5" customHeight="1">
      <c r="A26" s="3157"/>
      <c r="B26" s="3157"/>
      <c r="C26" s="900" t="s">
        <v>532</v>
      </c>
      <c r="D26" s="901"/>
      <c r="E26" s="899">
        <v>1.1000000000000001</v>
      </c>
      <c r="F26" s="902"/>
      <c r="G26" s="903"/>
      <c r="H26" s="895"/>
      <c r="I26" s="895"/>
    </row>
    <row r="27" spans="1:9" s="904" customFormat="1" ht="19.5" customHeight="1">
      <c r="A27" s="3157"/>
      <c r="B27" s="3157"/>
      <c r="C27" s="900" t="s">
        <v>533</v>
      </c>
      <c r="D27" s="901"/>
      <c r="E27" s="899">
        <v>0.9</v>
      </c>
      <c r="F27" s="902" t="s">
        <v>534</v>
      </c>
      <c r="G27" s="903"/>
      <c r="H27" s="895"/>
      <c r="I27" s="895"/>
    </row>
    <row r="28" spans="1:9" s="904" customFormat="1" ht="19.5" customHeight="1">
      <c r="A28" s="3157"/>
      <c r="B28" s="3157"/>
      <c r="C28" s="900" t="s">
        <v>535</v>
      </c>
      <c r="D28" s="901"/>
      <c r="E28" s="899">
        <v>0.9</v>
      </c>
      <c r="F28" s="902" t="s">
        <v>536</v>
      </c>
      <c r="G28" s="903"/>
      <c r="H28" s="895"/>
      <c r="I28" s="895"/>
    </row>
    <row r="29" spans="1:9" s="904" customFormat="1" ht="19.5" customHeight="1">
      <c r="A29" s="3157"/>
      <c r="B29" s="3157"/>
      <c r="C29" s="900" t="s">
        <v>537</v>
      </c>
      <c r="D29" s="901"/>
      <c r="E29" s="899">
        <v>0.9</v>
      </c>
      <c r="F29" s="902" t="s">
        <v>538</v>
      </c>
      <c r="G29" s="903"/>
      <c r="H29" s="895"/>
      <c r="I29" s="895"/>
    </row>
    <row r="30" spans="1:9" s="904" customFormat="1" ht="19.5" customHeight="1">
      <c r="A30" s="3157"/>
      <c r="B30" s="3157"/>
      <c r="C30" s="900" t="s">
        <v>539</v>
      </c>
      <c r="D30" s="901"/>
      <c r="E30" s="899">
        <v>0.9</v>
      </c>
      <c r="F30" s="902" t="s">
        <v>540</v>
      </c>
      <c r="G30" s="903"/>
      <c r="H30" s="895"/>
      <c r="I30" s="895"/>
    </row>
    <row r="31" spans="1:9" s="904" customFormat="1" ht="19.5" customHeight="1">
      <c r="A31" s="3157"/>
      <c r="B31" s="3157"/>
      <c r="C31" s="900" t="s">
        <v>541</v>
      </c>
      <c r="D31" s="901"/>
      <c r="E31" s="899">
        <v>0.8</v>
      </c>
      <c r="F31" s="902" t="s">
        <v>542</v>
      </c>
      <c r="G31" s="903"/>
      <c r="H31" s="895"/>
      <c r="I31" s="895"/>
    </row>
    <row r="32" spans="1:9" s="904" customFormat="1" ht="19.5" customHeight="1">
      <c r="A32" s="3157"/>
      <c r="B32" s="3157"/>
      <c r="C32" s="900" t="s">
        <v>543</v>
      </c>
      <c r="D32" s="901"/>
      <c r="E32" s="899">
        <v>0.8</v>
      </c>
      <c r="F32" s="902" t="s">
        <v>544</v>
      </c>
      <c r="G32" s="903"/>
      <c r="H32" s="895"/>
      <c r="I32" s="895"/>
    </row>
    <row r="33" spans="1:9" s="904" customFormat="1" ht="19.5" customHeight="1">
      <c r="A33" s="3157" t="s">
        <v>134</v>
      </c>
      <c r="B33" s="899" t="s">
        <v>517</v>
      </c>
      <c r="C33" s="900" t="s">
        <v>545</v>
      </c>
      <c r="D33" s="901"/>
      <c r="E33" s="899">
        <v>1</v>
      </c>
      <c r="F33" s="902" t="s">
        <v>546</v>
      </c>
      <c r="G33" s="903"/>
      <c r="H33" s="895"/>
      <c r="I33" s="895"/>
    </row>
    <row r="34" spans="1:9" s="904" customFormat="1" ht="19.5" customHeight="1">
      <c r="A34" s="3157"/>
      <c r="B34" s="899" t="s">
        <v>520</v>
      </c>
      <c r="C34" s="900" t="s">
        <v>547</v>
      </c>
      <c r="D34" s="901"/>
      <c r="E34" s="899">
        <v>1.5</v>
      </c>
      <c r="F34" s="902" t="s">
        <v>548</v>
      </c>
      <c r="G34" s="903"/>
      <c r="H34" s="895"/>
      <c r="I34" s="895"/>
    </row>
    <row r="35" spans="1:9" s="904" customFormat="1" ht="19.5" customHeight="1">
      <c r="A35" s="3157" t="s">
        <v>135</v>
      </c>
      <c r="B35" s="899" t="s">
        <v>517</v>
      </c>
      <c r="C35" s="900" t="s">
        <v>549</v>
      </c>
      <c r="D35" s="901"/>
      <c r="E35" s="899">
        <v>1</v>
      </c>
      <c r="F35" s="902" t="s">
        <v>550</v>
      </c>
      <c r="G35" s="903"/>
      <c r="H35" s="895"/>
      <c r="I35" s="895"/>
    </row>
    <row r="36" spans="1:9" s="904" customFormat="1" ht="19.5" customHeight="1">
      <c r="A36" s="3157"/>
      <c r="B36" s="3157" t="s">
        <v>520</v>
      </c>
      <c r="C36" s="900" t="s">
        <v>551</v>
      </c>
      <c r="D36" s="901"/>
      <c r="E36" s="899">
        <v>1</v>
      </c>
      <c r="F36" s="902" t="s">
        <v>552</v>
      </c>
      <c r="G36" s="903"/>
      <c r="H36" s="895"/>
      <c r="I36" s="895"/>
    </row>
    <row r="37" spans="1:9" s="904" customFormat="1" ht="19.5" customHeight="1">
      <c r="A37" s="3157"/>
      <c r="B37" s="3157"/>
      <c r="C37" s="900" t="s">
        <v>553</v>
      </c>
      <c r="D37" s="901"/>
      <c r="E37" s="899">
        <v>1.5</v>
      </c>
      <c r="F37" s="902" t="s">
        <v>554</v>
      </c>
      <c r="G37" s="903"/>
      <c r="H37" s="895"/>
      <c r="I37" s="895"/>
    </row>
    <row r="38" spans="1:9" s="904" customFormat="1" ht="19.5" customHeight="1">
      <c r="A38" s="3157"/>
      <c r="B38" s="3157"/>
      <c r="C38" s="900" t="s">
        <v>555</v>
      </c>
      <c r="D38" s="901"/>
      <c r="E38" s="899">
        <v>1</v>
      </c>
      <c r="F38" s="902" t="s">
        <v>556</v>
      </c>
      <c r="G38" s="903"/>
      <c r="H38" s="895"/>
      <c r="I38" s="895"/>
    </row>
    <row r="39" spans="1:9" s="904" customFormat="1" ht="19.5" customHeight="1">
      <c r="A39" s="3157"/>
      <c r="B39" s="3157"/>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4.4">
      <c r="A60" s="958"/>
      <c r="B60" s="958"/>
      <c r="C60" s="958" t="s">
        <v>702</v>
      </c>
      <c r="D60" s="958"/>
      <c r="E60" s="912" t="s">
        <v>1</v>
      </c>
      <c r="F60" s="958" t="s">
        <v>1</v>
      </c>
    </row>
    <row r="61" spans="1:8" s="895" customFormat="1" ht="36">
      <c r="A61" s="899">
        <v>1</v>
      </c>
      <c r="B61" s="3157" t="s">
        <v>571</v>
      </c>
      <c r="C61" s="813" t="s">
        <v>572</v>
      </c>
      <c r="D61" s="813" t="s">
        <v>573</v>
      </c>
      <c r="E61" s="912">
        <v>0.5</v>
      </c>
      <c r="F61" s="899">
        <v>80</v>
      </c>
    </row>
    <row r="62" spans="1:8" s="895" customFormat="1" ht="36">
      <c r="A62" s="899">
        <v>2</v>
      </c>
      <c r="B62" s="3157"/>
      <c r="C62" s="813" t="s">
        <v>574</v>
      </c>
      <c r="D62" s="813" t="s">
        <v>575</v>
      </c>
      <c r="E62" s="912">
        <v>0.5</v>
      </c>
      <c r="F62" s="899">
        <v>80</v>
      </c>
    </row>
    <row r="63" spans="1:8" s="895" customFormat="1" ht="48">
      <c r="A63" s="899">
        <v>3</v>
      </c>
      <c r="B63" s="3157"/>
      <c r="C63" s="813" t="s">
        <v>576</v>
      </c>
      <c r="D63" s="813" t="s">
        <v>577</v>
      </c>
      <c r="E63" s="912">
        <v>0.5</v>
      </c>
      <c r="F63" s="899">
        <v>80</v>
      </c>
    </row>
    <row r="64" spans="1:8" s="895" customFormat="1" ht="48">
      <c r="A64" s="899">
        <v>4</v>
      </c>
      <c r="B64" s="3157"/>
      <c r="C64" s="813" t="s">
        <v>578</v>
      </c>
      <c r="D64" s="813" t="s">
        <v>579</v>
      </c>
      <c r="E64" s="912">
        <v>0.4</v>
      </c>
      <c r="F64" s="899">
        <v>60</v>
      </c>
    </row>
    <row r="65" spans="1:6" s="895" customFormat="1" ht="48">
      <c r="A65" s="899">
        <v>5</v>
      </c>
      <c r="B65" s="3157"/>
      <c r="C65" s="813" t="s">
        <v>580</v>
      </c>
      <c r="D65" s="813" t="s">
        <v>581</v>
      </c>
      <c r="E65" s="912">
        <v>0.2</v>
      </c>
      <c r="F65" s="899">
        <v>30</v>
      </c>
    </row>
    <row r="66" spans="1:6" s="895" customFormat="1" ht="48">
      <c r="A66" s="899">
        <v>6</v>
      </c>
      <c r="B66" s="3157"/>
      <c r="C66" s="813" t="s">
        <v>582</v>
      </c>
      <c r="D66" s="813" t="s">
        <v>583</v>
      </c>
      <c r="E66" s="912">
        <v>0.3</v>
      </c>
      <c r="F66" s="899">
        <v>50</v>
      </c>
    </row>
    <row r="67" spans="1:6" s="895" customFormat="1" ht="48">
      <c r="A67" s="899">
        <v>7</v>
      </c>
      <c r="B67" s="3157"/>
      <c r="C67" s="813" t="s">
        <v>584</v>
      </c>
      <c r="D67" s="813" t="s">
        <v>585</v>
      </c>
      <c r="E67" s="912">
        <v>0.2</v>
      </c>
      <c r="F67" s="899">
        <v>30</v>
      </c>
    </row>
    <row r="68" spans="1:6" s="895" customFormat="1" ht="48">
      <c r="A68" s="899">
        <v>8</v>
      </c>
      <c r="B68" s="3157"/>
      <c r="C68" s="813" t="s">
        <v>586</v>
      </c>
      <c r="D68" s="813" t="s">
        <v>587</v>
      </c>
      <c r="E68" s="912">
        <v>0.2</v>
      </c>
      <c r="F68" s="899">
        <v>30</v>
      </c>
    </row>
    <row r="69" spans="1:6" s="895" customFormat="1" ht="48">
      <c r="A69" s="899">
        <v>9</v>
      </c>
      <c r="B69" s="3157"/>
      <c r="C69" s="813" t="s">
        <v>588</v>
      </c>
      <c r="D69" s="813" t="s">
        <v>589</v>
      </c>
      <c r="E69" s="912">
        <v>0.2</v>
      </c>
      <c r="F69" s="899">
        <v>30</v>
      </c>
    </row>
    <row r="70" spans="1:6" s="895" customFormat="1" ht="60">
      <c r="A70" s="899">
        <v>10</v>
      </c>
      <c r="B70" s="3157"/>
      <c r="C70" s="813" t="s">
        <v>590</v>
      </c>
      <c r="D70" s="813" t="s">
        <v>591</v>
      </c>
      <c r="E70" s="912">
        <v>0.2</v>
      </c>
      <c r="F70" s="899">
        <v>30</v>
      </c>
    </row>
    <row r="71" spans="1:6" s="895" customFormat="1" ht="60">
      <c r="A71" s="899">
        <v>11</v>
      </c>
      <c r="B71" s="3157"/>
      <c r="C71" s="813" t="s">
        <v>592</v>
      </c>
      <c r="D71" s="813" t="s">
        <v>593</v>
      </c>
      <c r="E71" s="912">
        <v>0.2</v>
      </c>
      <c r="F71" s="899">
        <v>30</v>
      </c>
    </row>
    <row r="72" spans="1:6" s="895" customFormat="1" ht="36">
      <c r="A72" s="899">
        <v>12</v>
      </c>
      <c r="B72" s="3157"/>
      <c r="C72" s="813" t="s">
        <v>594</v>
      </c>
      <c r="D72" s="813" t="s">
        <v>595</v>
      </c>
      <c r="E72" s="912">
        <v>0.5</v>
      </c>
      <c r="F72" s="899">
        <v>80</v>
      </c>
    </row>
    <row r="73" spans="1:6" s="895" customFormat="1" ht="36">
      <c r="A73" s="899">
        <v>13</v>
      </c>
      <c r="B73" s="3157"/>
      <c r="C73" s="813" t="s">
        <v>596</v>
      </c>
      <c r="D73" s="813" t="s">
        <v>597</v>
      </c>
      <c r="E73" s="912">
        <v>0.4</v>
      </c>
      <c r="F73" s="899">
        <v>60</v>
      </c>
    </row>
    <row r="74" spans="1:6" s="895" customFormat="1" ht="36">
      <c r="A74" s="899">
        <v>14</v>
      </c>
      <c r="B74" s="3157"/>
      <c r="C74" s="813" t="s">
        <v>598</v>
      </c>
      <c r="D74" s="813" t="s">
        <v>599</v>
      </c>
      <c r="E74" s="912">
        <v>0.2</v>
      </c>
      <c r="F74" s="899">
        <v>30</v>
      </c>
    </row>
    <row r="75" spans="1:6" s="895" customFormat="1" ht="36">
      <c r="A75" s="899">
        <v>15</v>
      </c>
      <c r="B75" s="3157"/>
      <c r="C75" s="813" t="s">
        <v>600</v>
      </c>
      <c r="D75" s="813" t="s">
        <v>601</v>
      </c>
      <c r="E75" s="912">
        <v>0.2</v>
      </c>
      <c r="F75" s="899">
        <v>30</v>
      </c>
    </row>
    <row r="76" spans="1:6" s="895" customFormat="1" ht="36">
      <c r="A76" s="899">
        <v>16</v>
      </c>
      <c r="B76" s="3157" t="s">
        <v>602</v>
      </c>
      <c r="C76" s="813" t="s">
        <v>603</v>
      </c>
      <c r="D76" s="813" t="s">
        <v>604</v>
      </c>
      <c r="E76" s="912">
        <v>0.5</v>
      </c>
      <c r="F76" s="899">
        <v>80</v>
      </c>
    </row>
    <row r="77" spans="1:6" s="895" customFormat="1" ht="36">
      <c r="A77" s="899">
        <v>17</v>
      </c>
      <c r="B77" s="3157"/>
      <c r="C77" s="813" t="s">
        <v>605</v>
      </c>
      <c r="D77" s="813" t="s">
        <v>606</v>
      </c>
      <c r="E77" s="912">
        <v>0.5</v>
      </c>
      <c r="F77" s="899">
        <v>80</v>
      </c>
    </row>
    <row r="78" spans="1:6" s="895" customFormat="1" ht="36">
      <c r="A78" s="899">
        <v>18</v>
      </c>
      <c r="B78" s="3157"/>
      <c r="C78" s="813" t="s">
        <v>607</v>
      </c>
      <c r="D78" s="813" t="s">
        <v>608</v>
      </c>
      <c r="E78" s="912">
        <v>0.2</v>
      </c>
      <c r="F78" s="899">
        <v>30</v>
      </c>
    </row>
    <row r="79" spans="1:6" s="895" customFormat="1" ht="36">
      <c r="A79" s="899">
        <v>19</v>
      </c>
      <c r="B79" s="3157"/>
      <c r="C79" s="813" t="s">
        <v>609</v>
      </c>
      <c r="D79" s="813" t="s">
        <v>610</v>
      </c>
      <c r="E79" s="912">
        <v>0.5</v>
      </c>
      <c r="F79" s="899">
        <v>80</v>
      </c>
    </row>
    <row r="80" spans="1:6" s="895" customFormat="1" ht="36">
      <c r="A80" s="899">
        <v>20</v>
      </c>
      <c r="B80" s="3157"/>
      <c r="C80" s="813" t="s">
        <v>611</v>
      </c>
      <c r="D80" s="813" t="s">
        <v>612</v>
      </c>
      <c r="E80" s="912">
        <v>0.2</v>
      </c>
      <c r="F80" s="899">
        <v>30</v>
      </c>
    </row>
    <row r="81" spans="1:6" s="895" customFormat="1" ht="36">
      <c r="A81" s="899">
        <v>21</v>
      </c>
      <c r="B81" s="3157"/>
      <c r="C81" s="813" t="s">
        <v>613</v>
      </c>
      <c r="D81" s="813" t="s">
        <v>614</v>
      </c>
      <c r="E81" s="912">
        <v>0.2</v>
      </c>
      <c r="F81" s="899">
        <v>30</v>
      </c>
    </row>
    <row r="82" spans="1:6" s="895" customFormat="1" ht="60">
      <c r="A82" s="899">
        <v>22</v>
      </c>
      <c r="B82" s="3157"/>
      <c r="C82" s="813" t="s">
        <v>615</v>
      </c>
      <c r="D82" s="813" t="s">
        <v>616</v>
      </c>
      <c r="E82" s="912">
        <v>0.2</v>
      </c>
      <c r="F82" s="899">
        <v>30</v>
      </c>
    </row>
    <row r="83" spans="1:6" s="895" customFormat="1" ht="60">
      <c r="A83" s="899">
        <v>23</v>
      </c>
      <c r="B83" s="3157"/>
      <c r="C83" s="813" t="s">
        <v>617</v>
      </c>
      <c r="D83" s="813" t="s">
        <v>618</v>
      </c>
      <c r="E83" s="912">
        <v>0.2</v>
      </c>
      <c r="F83" s="899">
        <v>30</v>
      </c>
    </row>
    <row r="84" spans="1:6" s="895" customFormat="1" ht="48">
      <c r="A84" s="899">
        <v>24</v>
      </c>
      <c r="B84" s="3157"/>
      <c r="C84" s="813" t="s">
        <v>619</v>
      </c>
      <c r="D84" s="813" t="s">
        <v>620</v>
      </c>
      <c r="E84" s="912">
        <v>0.2</v>
      </c>
      <c r="F84" s="899">
        <v>30</v>
      </c>
    </row>
    <row r="85" spans="1:6" s="895" customFormat="1" ht="36">
      <c r="A85" s="899">
        <v>25</v>
      </c>
      <c r="B85" s="3157"/>
      <c r="C85" s="813" t="s">
        <v>621</v>
      </c>
      <c r="D85" s="813" t="s">
        <v>622</v>
      </c>
      <c r="E85" s="912">
        <v>0.5</v>
      </c>
      <c r="F85" s="899">
        <v>80</v>
      </c>
    </row>
    <row r="86" spans="1:6" s="895" customFormat="1" ht="36">
      <c r="A86" s="899">
        <v>26</v>
      </c>
      <c r="B86" s="3157"/>
      <c r="C86" s="813" t="s">
        <v>623</v>
      </c>
      <c r="D86" s="813" t="s">
        <v>624</v>
      </c>
      <c r="E86" s="912">
        <v>0.2</v>
      </c>
      <c r="F86" s="899">
        <v>30</v>
      </c>
    </row>
    <row r="87" spans="1:6" s="895" customFormat="1" ht="36">
      <c r="A87" s="899">
        <v>27</v>
      </c>
      <c r="B87" s="3157"/>
      <c r="C87" s="813" t="s">
        <v>625</v>
      </c>
      <c r="D87" s="813" t="s">
        <v>626</v>
      </c>
      <c r="E87" s="912">
        <v>0.2</v>
      </c>
      <c r="F87" s="899">
        <v>30</v>
      </c>
    </row>
    <row r="88" spans="1:6" s="895" customFormat="1" ht="36">
      <c r="A88" s="899">
        <v>28</v>
      </c>
      <c r="B88" s="3157"/>
      <c r="C88" s="813" t="s">
        <v>627</v>
      </c>
      <c r="D88" s="813" t="s">
        <v>628</v>
      </c>
      <c r="E88" s="912">
        <v>0.2</v>
      </c>
      <c r="F88" s="899">
        <v>30</v>
      </c>
    </row>
    <row r="89" spans="1:6" s="895" customFormat="1" ht="36">
      <c r="A89" s="899">
        <v>29</v>
      </c>
      <c r="B89" s="3157"/>
      <c r="C89" s="813" t="s">
        <v>629</v>
      </c>
      <c r="D89" s="813" t="s">
        <v>630</v>
      </c>
      <c r="E89" s="912">
        <v>0.2</v>
      </c>
      <c r="F89" s="899">
        <v>30</v>
      </c>
    </row>
    <row r="90" spans="1:6" s="895" customFormat="1" ht="36">
      <c r="A90" s="899">
        <v>30</v>
      </c>
      <c r="B90" s="3157"/>
      <c r="C90" s="813" t="s">
        <v>631</v>
      </c>
      <c r="D90" s="813" t="s">
        <v>632</v>
      </c>
      <c r="E90" s="912">
        <v>0.2</v>
      </c>
      <c r="F90" s="899">
        <v>30</v>
      </c>
    </row>
    <row r="91" spans="1:6" s="895" customFormat="1" ht="48">
      <c r="A91" s="899">
        <v>31</v>
      </c>
      <c r="B91" s="3157"/>
      <c r="C91" s="813" t="s">
        <v>633</v>
      </c>
      <c r="D91" s="813" t="s">
        <v>634</v>
      </c>
      <c r="E91" s="912">
        <v>0.2</v>
      </c>
      <c r="F91" s="899">
        <v>30</v>
      </c>
    </row>
    <row r="92" spans="1:6" s="895" customFormat="1" ht="36">
      <c r="A92" s="899">
        <v>32</v>
      </c>
      <c r="B92" s="3157" t="s">
        <v>635</v>
      </c>
      <c r="C92" s="899" t="s">
        <v>636</v>
      </c>
      <c r="D92" s="813" t="s">
        <v>637</v>
      </c>
      <c r="E92" s="912">
        <v>0.2</v>
      </c>
      <c r="F92" s="899">
        <v>30</v>
      </c>
    </row>
    <row r="93" spans="1:6" s="895" customFormat="1" ht="36">
      <c r="A93" s="899">
        <v>33</v>
      </c>
      <c r="B93" s="3157"/>
      <c r="C93" s="899" t="s">
        <v>638</v>
      </c>
      <c r="D93" s="813" t="s">
        <v>639</v>
      </c>
      <c r="E93" s="912">
        <v>0.2</v>
      </c>
      <c r="F93" s="899">
        <v>30</v>
      </c>
    </row>
    <row r="94" spans="1:6" s="895" customFormat="1" ht="60">
      <c r="A94" s="899">
        <v>34</v>
      </c>
      <c r="B94" s="3157"/>
      <c r="C94" s="899" t="s">
        <v>640</v>
      </c>
      <c r="D94" s="813" t="s">
        <v>641</v>
      </c>
      <c r="E94" s="912">
        <v>0.2</v>
      </c>
      <c r="F94" s="899">
        <v>30</v>
      </c>
    </row>
    <row r="95" spans="1:6" s="895" customFormat="1" ht="48">
      <c r="A95" s="899">
        <v>35</v>
      </c>
      <c r="B95" s="3157"/>
      <c r="C95" s="899" t="s">
        <v>642</v>
      </c>
      <c r="D95" s="813" t="s">
        <v>643</v>
      </c>
      <c r="E95" s="912">
        <v>0.2</v>
      </c>
      <c r="F95" s="899">
        <v>30</v>
      </c>
    </row>
    <row r="96" spans="1:6" s="895" customFormat="1" ht="72">
      <c r="A96" s="899">
        <v>36</v>
      </c>
      <c r="B96" s="3157"/>
      <c r="C96" s="813" t="s">
        <v>644</v>
      </c>
      <c r="D96" s="813" t="s">
        <v>645</v>
      </c>
      <c r="E96" s="912">
        <v>0.2</v>
      </c>
      <c r="F96" s="899">
        <v>30</v>
      </c>
    </row>
    <row r="97" spans="1:6" s="895" customFormat="1" ht="36">
      <c r="A97" s="899">
        <v>37</v>
      </c>
      <c r="B97" s="3157"/>
      <c r="C97" s="899" t="s">
        <v>646</v>
      </c>
      <c r="D97" s="813" t="s">
        <v>647</v>
      </c>
      <c r="E97" s="912">
        <v>0.2</v>
      </c>
      <c r="F97" s="899">
        <v>30</v>
      </c>
    </row>
    <row r="98" spans="1:6" s="895" customFormat="1" ht="36">
      <c r="A98" s="899">
        <v>38</v>
      </c>
      <c r="B98" s="3157"/>
      <c r="C98" s="899" t="s">
        <v>648</v>
      </c>
      <c r="D98" s="813" t="s">
        <v>649</v>
      </c>
      <c r="E98" s="912">
        <v>0.2</v>
      </c>
      <c r="F98" s="899">
        <v>30</v>
      </c>
    </row>
    <row r="99" spans="1:6" s="895" customFormat="1" ht="36">
      <c r="A99" s="899">
        <v>39</v>
      </c>
      <c r="B99" s="3157" t="s">
        <v>650</v>
      </c>
      <c r="C99" s="899" t="s">
        <v>651</v>
      </c>
      <c r="D99" s="813" t="s">
        <v>652</v>
      </c>
      <c r="E99" s="912">
        <v>0.3</v>
      </c>
      <c r="F99" s="899">
        <v>50</v>
      </c>
    </row>
    <row r="100" spans="1:6" s="895" customFormat="1" ht="36">
      <c r="A100" s="899">
        <v>40</v>
      </c>
      <c r="B100" s="3157"/>
      <c r="C100" s="899" t="s">
        <v>653</v>
      </c>
      <c r="D100" s="813" t="s">
        <v>654</v>
      </c>
      <c r="E100" s="912">
        <v>0.2</v>
      </c>
      <c r="F100" s="899">
        <v>30</v>
      </c>
    </row>
    <row r="101" spans="1:6" s="895" customFormat="1" ht="36">
      <c r="A101" s="899">
        <v>41</v>
      </c>
      <c r="B101" s="3157"/>
      <c r="C101" s="899" t="s">
        <v>655</v>
      </c>
      <c r="D101" s="813" t="s">
        <v>652</v>
      </c>
      <c r="E101" s="912">
        <v>0.2</v>
      </c>
      <c r="F101" s="899">
        <v>30</v>
      </c>
    </row>
    <row r="102" spans="1:6" s="895" customFormat="1" ht="72">
      <c r="A102" s="899">
        <v>42</v>
      </c>
      <c r="B102" s="899" t="s">
        <v>656</v>
      </c>
      <c r="C102" s="813" t="s">
        <v>657</v>
      </c>
      <c r="D102" s="813" t="s">
        <v>658</v>
      </c>
      <c r="E102" s="912">
        <v>0.2</v>
      </c>
      <c r="F102" s="899">
        <v>30</v>
      </c>
    </row>
    <row r="103" spans="1:6" s="895" customFormat="1" ht="36">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48">
      <c r="A105" s="899">
        <v>45</v>
      </c>
      <c r="B105" s="3157" t="s">
        <v>665</v>
      </c>
      <c r="C105" s="899" t="s">
        <v>666</v>
      </c>
      <c r="D105" s="813" t="s">
        <v>667</v>
      </c>
      <c r="E105" s="912">
        <v>0.2</v>
      </c>
      <c r="F105" s="899">
        <v>30</v>
      </c>
    </row>
    <row r="106" spans="1:6" s="895" customFormat="1" ht="48">
      <c r="A106" s="899">
        <v>46</v>
      </c>
      <c r="B106" s="3157"/>
      <c r="C106" s="899" t="s">
        <v>668</v>
      </c>
      <c r="D106" s="813" t="s">
        <v>669</v>
      </c>
      <c r="E106" s="912">
        <v>0.2</v>
      </c>
      <c r="F106" s="899">
        <v>30</v>
      </c>
    </row>
    <row r="107" spans="1:6" s="895" customFormat="1" ht="36">
      <c r="A107" s="899">
        <v>47</v>
      </c>
      <c r="B107" s="3157" t="s">
        <v>670</v>
      </c>
      <c r="C107" s="899" t="s">
        <v>671</v>
      </c>
      <c r="D107" s="813" t="s">
        <v>672</v>
      </c>
      <c r="E107" s="912">
        <v>0.3</v>
      </c>
      <c r="F107" s="899">
        <v>50</v>
      </c>
    </row>
    <row r="108" spans="1:6" s="895" customFormat="1" ht="48">
      <c r="A108" s="899">
        <v>48</v>
      </c>
      <c r="B108" s="3157"/>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48">
      <c r="A110" s="899">
        <v>50</v>
      </c>
      <c r="B110" s="899" t="s">
        <v>678</v>
      </c>
      <c r="C110" s="899" t="s">
        <v>679</v>
      </c>
      <c r="D110" s="813" t="s">
        <v>680</v>
      </c>
      <c r="E110" s="912">
        <v>0.2</v>
      </c>
      <c r="F110" s="899">
        <v>30</v>
      </c>
    </row>
    <row r="111" spans="1:6" s="895" customFormat="1" ht="48">
      <c r="A111" s="899">
        <v>51</v>
      </c>
      <c r="B111" s="3157" t="s">
        <v>681</v>
      </c>
      <c r="C111" s="899" t="s">
        <v>682</v>
      </c>
      <c r="D111" s="813" t="s">
        <v>683</v>
      </c>
      <c r="E111" s="912">
        <v>0.2</v>
      </c>
      <c r="F111" s="899">
        <v>30</v>
      </c>
    </row>
    <row r="112" spans="1:6" s="895" customFormat="1" ht="36">
      <c r="A112" s="899">
        <v>52</v>
      </c>
      <c r="B112" s="3157"/>
      <c r="C112" s="899" t="s">
        <v>684</v>
      </c>
      <c r="D112" s="813" t="s">
        <v>685</v>
      </c>
      <c r="E112" s="912">
        <v>0.2</v>
      </c>
      <c r="F112" s="899">
        <v>30</v>
      </c>
    </row>
    <row r="113" spans="1:6" s="895" customFormat="1" ht="36">
      <c r="A113" s="899">
        <v>53</v>
      </c>
      <c r="B113" s="3157"/>
      <c r="C113" s="899" t="s">
        <v>686</v>
      </c>
      <c r="D113" s="813" t="s">
        <v>687</v>
      </c>
      <c r="E113" s="912">
        <v>0.2</v>
      </c>
      <c r="F113" s="899">
        <v>30</v>
      </c>
    </row>
    <row r="114" spans="1:6" ht="48">
      <c r="A114" s="899">
        <v>54</v>
      </c>
      <c r="B114" s="899" t="s">
        <v>688</v>
      </c>
      <c r="C114" s="899" t="s">
        <v>689</v>
      </c>
      <c r="D114" s="813" t="s">
        <v>690</v>
      </c>
      <c r="E114" s="912">
        <v>0.2</v>
      </c>
      <c r="F114" s="899">
        <v>30</v>
      </c>
    </row>
    <row r="115" spans="1:6" ht="36">
      <c r="A115" s="899">
        <v>55</v>
      </c>
      <c r="B115" s="899" t="s">
        <v>691</v>
      </c>
      <c r="C115" s="899" t="s">
        <v>692</v>
      </c>
      <c r="D115" s="813" t="s">
        <v>693</v>
      </c>
      <c r="E115" s="912">
        <v>0.2</v>
      </c>
      <c r="F115" s="899">
        <v>30</v>
      </c>
    </row>
    <row r="116" spans="1:6" ht="36">
      <c r="A116" s="899">
        <v>56</v>
      </c>
      <c r="B116" s="3157" t="s">
        <v>694</v>
      </c>
      <c r="C116" s="899" t="s">
        <v>695</v>
      </c>
      <c r="D116" s="813" t="s">
        <v>696</v>
      </c>
      <c r="E116" s="912">
        <v>0.2</v>
      </c>
      <c r="F116" s="899">
        <v>30</v>
      </c>
    </row>
    <row r="117" spans="1:6" ht="36">
      <c r="A117" s="899">
        <v>57</v>
      </c>
      <c r="B117" s="3157"/>
      <c r="C117" s="899" t="s">
        <v>697</v>
      </c>
      <c r="D117" s="813" t="s">
        <v>698</v>
      </c>
      <c r="E117" s="912">
        <v>0.2</v>
      </c>
      <c r="F117" s="899">
        <v>30</v>
      </c>
    </row>
    <row r="118" spans="1:6" ht="36">
      <c r="A118" s="899">
        <v>58</v>
      </c>
      <c r="B118" s="899" t="s">
        <v>699</v>
      </c>
      <c r="C118" s="899" t="s">
        <v>700</v>
      </c>
      <c r="D118" s="813" t="s">
        <v>701</v>
      </c>
      <c r="E118" s="912">
        <v>0.2</v>
      </c>
      <c r="F118" s="899">
        <v>30</v>
      </c>
    </row>
    <row r="119" spans="1:6" ht="14.4">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2"/>
    <col min="2" max="16384" width="9" style="915"/>
  </cols>
  <sheetData>
    <row r="1" spans="1:14" ht="15.6">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5.6">
      <c r="A103" s="913" t="s">
        <v>705</v>
      </c>
      <c r="B103" s="914"/>
      <c r="C103" s="914"/>
      <c r="D103" s="914"/>
      <c r="E103" s="914"/>
      <c r="F103" s="914"/>
      <c r="G103" s="914"/>
      <c r="H103" s="914"/>
      <c r="I103" s="914"/>
      <c r="J103" s="914"/>
      <c r="K103" s="914"/>
      <c r="L103" s="914"/>
      <c r="M103" s="914"/>
      <c r="N103" s="914"/>
    </row>
    <row r="104" spans="1:14" ht="15.6">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5.6">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5.6">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L7" sqref="L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29" customFormat="1">
      <c r="B1" s="3163" t="s">
        <v>1027</v>
      </c>
      <c r="C1" s="3163"/>
      <c r="D1" s="3163"/>
      <c r="E1" s="3163"/>
      <c r="F1" s="3163"/>
      <c r="G1" s="3159" t="s">
        <v>1028</v>
      </c>
      <c r="H1" s="3159"/>
      <c r="I1" s="3159"/>
      <c r="J1" s="3159"/>
      <c r="K1" s="3159"/>
      <c r="L1" s="3159"/>
      <c r="N1" s="3159" t="s">
        <v>1029</v>
      </c>
      <c r="O1" s="3159"/>
      <c r="P1" s="3159"/>
      <c r="Q1" s="3159"/>
      <c r="R1" s="1530"/>
      <c r="S1" s="3159" t="s">
        <v>1030</v>
      </c>
      <c r="T1" s="3159"/>
      <c r="U1" s="3159"/>
      <c r="V1" s="3159"/>
      <c r="X1" s="3158" t="s">
        <v>1031</v>
      </c>
      <c r="Y1" s="3159"/>
      <c r="Z1" s="3159"/>
      <c r="AA1" s="3159"/>
      <c r="AB1" s="3159"/>
      <c r="AD1" s="3158" t="s">
        <v>1032</v>
      </c>
      <c r="AE1" s="3159"/>
      <c r="AF1" s="3159"/>
      <c r="AG1" s="3159"/>
      <c r="AH1" s="3159"/>
    </row>
    <row r="2" spans="1:34" s="1531" customFormat="1" ht="1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4">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4">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61">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61"/>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61"/>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68"/>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64">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61"/>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61"/>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68"/>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4">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61"/>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61"/>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8"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62"/>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8" thickBot="1">
      <c r="A22" s="1545" t="s">
        <v>101</v>
      </c>
      <c r="B22" s="1554">
        <v>333</v>
      </c>
      <c r="C22" s="1554">
        <v>277</v>
      </c>
      <c r="D22" s="1554">
        <f t="shared" si="106"/>
        <v>277</v>
      </c>
      <c r="E22" s="1554">
        <v>459</v>
      </c>
      <c r="F22" s="1555">
        <v>249</v>
      </c>
      <c r="G22" s="3160">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61"/>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61"/>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62"/>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8" thickBot="1">
      <c r="A26" s="1545" t="s">
        <v>97</v>
      </c>
      <c r="B26" s="1575">
        <v>318</v>
      </c>
      <c r="C26" s="1575">
        <v>268</v>
      </c>
      <c r="D26" s="1575">
        <f t="shared" si="106"/>
        <v>268</v>
      </c>
      <c r="E26" s="1575">
        <v>437</v>
      </c>
      <c r="F26" s="1576">
        <v>237</v>
      </c>
      <c r="G26" s="3160">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61"/>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8"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61"/>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8"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62"/>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8" thickBot="1">
      <c r="A30" s="1545" t="s">
        <v>1045</v>
      </c>
      <c r="B30" s="1554">
        <v>299</v>
      </c>
      <c r="C30" s="1554">
        <v>252</v>
      </c>
      <c r="D30" s="1554">
        <f t="shared" si="106"/>
        <v>252</v>
      </c>
      <c r="E30" s="1554">
        <v>409</v>
      </c>
      <c r="F30" s="1555">
        <v>227</v>
      </c>
      <c r="G30" s="3165">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6"/>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6"/>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7"/>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8" thickBot="1">
      <c r="A34" s="1545" t="s">
        <v>1049</v>
      </c>
      <c r="B34" s="1596">
        <v>278</v>
      </c>
      <c r="C34" s="1596">
        <v>234</v>
      </c>
      <c r="D34" s="1596">
        <f t="shared" si="106"/>
        <v>234</v>
      </c>
      <c r="E34" s="1596">
        <v>379</v>
      </c>
      <c r="F34" s="1597">
        <v>220</v>
      </c>
      <c r="G34" s="3160">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61"/>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61"/>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8" thickBot="1">
      <c r="A37" s="1545" t="s">
        <v>1052</v>
      </c>
      <c r="B37" s="1562">
        <f>B36/(1+N36)</f>
        <v>275.19025476197027</v>
      </c>
      <c r="C37" s="1598">
        <v>232</v>
      </c>
      <c r="D37" s="1598">
        <f t="shared" si="106"/>
        <v>232</v>
      </c>
      <c r="E37" s="1562">
        <f t="shared" si="117"/>
        <v>375.65990977608692</v>
      </c>
      <c r="F37" s="1562">
        <f t="shared" si="117"/>
        <v>214.12518283971252</v>
      </c>
      <c r="G37" s="3162"/>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8" thickBot="1">
      <c r="A38" s="1545" t="s">
        <v>1053</v>
      </c>
      <c r="B38" s="1554">
        <v>275</v>
      </c>
      <c r="C38" s="1554">
        <v>232</v>
      </c>
      <c r="D38" s="1554">
        <f t="shared" si="106"/>
        <v>232</v>
      </c>
      <c r="E38" s="1554">
        <v>376</v>
      </c>
      <c r="F38" s="1555">
        <v>213</v>
      </c>
      <c r="G38" s="3160">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61">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61">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8"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62">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8" thickBot="1">
      <c r="A42" s="1545" t="s">
        <v>1057</v>
      </c>
      <c r="B42" s="1554">
        <v>269</v>
      </c>
      <c r="C42" s="1554">
        <v>221</v>
      </c>
      <c r="D42" s="1554">
        <f t="shared" si="106"/>
        <v>221</v>
      </c>
      <c r="E42" s="1554">
        <v>373</v>
      </c>
      <c r="F42" s="1555">
        <v>196</v>
      </c>
      <c r="G42" s="3160">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61">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61">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8"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62">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8" thickBot="1">
      <c r="A46" s="1545" t="s">
        <v>1061</v>
      </c>
      <c r="B46" s="1554">
        <v>220</v>
      </c>
      <c r="C46" s="1554">
        <v>187</v>
      </c>
      <c r="D46" s="1554">
        <f t="shared" si="106"/>
        <v>187</v>
      </c>
      <c r="E46" s="1554">
        <v>301</v>
      </c>
      <c r="F46" s="1555">
        <v>168</v>
      </c>
      <c r="G46" s="3160">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61">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61">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62">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8" thickBot="1">
      <c r="A50" s="1545" t="s">
        <v>1065</v>
      </c>
      <c r="B50" s="1596">
        <v>214</v>
      </c>
      <c r="C50" s="1596">
        <v>188</v>
      </c>
      <c r="D50" s="1596">
        <f t="shared" si="106"/>
        <v>188</v>
      </c>
      <c r="E50" s="1596">
        <v>289</v>
      </c>
      <c r="F50" s="1597">
        <v>166</v>
      </c>
      <c r="G50" s="3160">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61">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61">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8"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62">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8" thickBot="1">
      <c r="A54" s="1545" t="s">
        <v>1069</v>
      </c>
      <c r="B54" s="1554">
        <v>188</v>
      </c>
      <c r="C54" s="1554">
        <v>165</v>
      </c>
      <c r="D54" s="1554">
        <f t="shared" si="106"/>
        <v>165</v>
      </c>
      <c r="E54" s="1554">
        <v>254</v>
      </c>
      <c r="F54" s="1555">
        <v>148</v>
      </c>
      <c r="G54" s="3160">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61">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61">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62">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8" thickBot="1">
      <c r="A58" s="1545" t="s">
        <v>1073</v>
      </c>
      <c r="B58" s="1575">
        <v>159</v>
      </c>
      <c r="C58" s="1575">
        <v>141</v>
      </c>
      <c r="D58" s="1575">
        <f t="shared" si="106"/>
        <v>141</v>
      </c>
      <c r="E58" s="1575">
        <v>195</v>
      </c>
      <c r="F58" s="1576">
        <v>122</v>
      </c>
      <c r="G58" s="3160">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61">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61">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62">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8" thickBot="1">
      <c r="A62" s="1545" t="s">
        <v>1077</v>
      </c>
      <c r="B62" s="1575">
        <v>138</v>
      </c>
      <c r="C62" s="1575">
        <v>131</v>
      </c>
      <c r="D62" s="1575">
        <f t="shared" si="106"/>
        <v>131</v>
      </c>
      <c r="E62" s="1575">
        <v>155</v>
      </c>
      <c r="F62" s="1576">
        <v>114</v>
      </c>
      <c r="G62" s="3160">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61">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61">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62">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8" thickBot="1">
      <c r="A66" s="1545" t="s">
        <v>1081</v>
      </c>
      <c r="B66" s="1596">
        <v>121</v>
      </c>
      <c r="C66" s="1596">
        <v>122</v>
      </c>
      <c r="D66" s="1596">
        <f t="shared" si="106"/>
        <v>122</v>
      </c>
      <c r="E66" s="1596">
        <v>124</v>
      </c>
      <c r="F66" s="1597">
        <v>107</v>
      </c>
      <c r="G66" s="3160">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61">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61">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8"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62">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8" thickBot="1">
      <c r="A70" s="1545" t="s">
        <v>1085</v>
      </c>
      <c r="B70" s="1617">
        <v>111</v>
      </c>
      <c r="C70" s="1617">
        <v>114</v>
      </c>
      <c r="D70" s="1617">
        <f t="shared" si="106"/>
        <v>114</v>
      </c>
      <c r="E70" s="1617">
        <v>108</v>
      </c>
      <c r="F70" s="1618">
        <v>104</v>
      </c>
      <c r="G70" s="3160">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61">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61">
        <v>2003</v>
      </c>
      <c r="H72" s="1549">
        <v>2</v>
      </c>
      <c r="I72" s="1619"/>
      <c r="J72" s="1619"/>
      <c r="K72" s="1619"/>
      <c r="L72" s="1619"/>
      <c r="X72" s="1611"/>
      <c r="Y72" s="1611"/>
      <c r="Z72" s="1611"/>
    </row>
    <row r="73" spans="1:26" ht="13.8" thickBot="1">
      <c r="A73" s="1545" t="s">
        <v>1088</v>
      </c>
      <c r="B73" s="1621">
        <f t="shared" si="142"/>
        <v>107.25</v>
      </c>
      <c r="C73" s="1621">
        <f t="shared" si="142"/>
        <v>108.75</v>
      </c>
      <c r="D73" s="1621">
        <f t="shared" si="106"/>
        <v>108.75</v>
      </c>
      <c r="E73" s="1621">
        <f t="shared" si="143"/>
        <v>105.75</v>
      </c>
      <c r="F73" s="1621">
        <f t="shared" si="143"/>
        <v>102.5</v>
      </c>
      <c r="G73" s="3162">
        <v>2003</v>
      </c>
      <c r="H73" s="1622">
        <v>1</v>
      </c>
      <c r="I73" s="1619"/>
      <c r="J73" s="1619"/>
      <c r="K73" s="1619"/>
      <c r="L73" s="1619"/>
      <c r="S73" s="1557"/>
      <c r="T73" s="1558"/>
      <c r="U73" s="1558"/>
      <c r="X73" s="1611"/>
      <c r="Y73" s="1611"/>
      <c r="Z73" s="1611"/>
    </row>
    <row r="74" spans="1:26" ht="13.8" thickBot="1">
      <c r="A74" s="1545" t="s">
        <v>1089</v>
      </c>
      <c r="B74" s="1623">
        <v>106</v>
      </c>
      <c r="C74" s="1623">
        <v>107</v>
      </c>
      <c r="D74" s="1623">
        <f t="shared" si="106"/>
        <v>107</v>
      </c>
      <c r="E74" s="1623">
        <v>105</v>
      </c>
      <c r="F74" s="1624">
        <v>102</v>
      </c>
      <c r="G74" s="3160">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61">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61">
        <v>2002</v>
      </c>
      <c r="H76" s="1549">
        <v>2</v>
      </c>
      <c r="I76" s="1619"/>
      <c r="J76" s="1619"/>
      <c r="K76" s="1619"/>
      <c r="L76" s="1619"/>
      <c r="X76" s="1611"/>
      <c r="Y76" s="1611"/>
      <c r="Z76" s="1611"/>
    </row>
    <row r="77" spans="1:26" s="1583" customFormat="1" ht="13.8" thickBot="1">
      <c r="A77" s="1579" t="s">
        <v>1092</v>
      </c>
      <c r="B77" s="1625">
        <f t="shared" si="144"/>
        <v>103</v>
      </c>
      <c r="C77" s="1625">
        <f t="shared" si="144"/>
        <v>104</v>
      </c>
      <c r="D77" s="1625">
        <f t="shared" si="106"/>
        <v>104</v>
      </c>
      <c r="E77" s="1625">
        <f t="shared" si="145"/>
        <v>103.5</v>
      </c>
      <c r="F77" s="1625">
        <f t="shared" si="145"/>
        <v>100.5</v>
      </c>
      <c r="G77" s="3162">
        <v>2002</v>
      </c>
      <c r="H77" s="1626">
        <v>1</v>
      </c>
      <c r="I77" s="1627"/>
      <c r="J77" s="1627"/>
      <c r="K77" s="1627"/>
      <c r="L77" s="1627"/>
      <c r="N77" s="1628"/>
      <c r="S77" s="1628"/>
      <c r="X77" s="1629"/>
      <c r="Y77" s="1629"/>
      <c r="Z77" s="1629"/>
    </row>
    <row r="78" spans="1:26" ht="13.8"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8"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8"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election activeCell="N20" sqref="N20"/>
    </sheetView>
  </sheetViews>
  <sheetFormatPr defaultRowHeight="14.4"/>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8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4"/>
      <c r="C2" s="2814"/>
      <c r="D2" s="2814"/>
      <c r="E2" s="2814"/>
    </row>
    <row r="3" spans="1:5" ht="13.5" customHeight="1">
      <c r="A3" s="1910"/>
      <c r="B3" s="1910"/>
      <c r="C3" s="1910"/>
      <c r="D3" s="1910"/>
      <c r="E3" s="1910"/>
    </row>
    <row r="4" spans="1:5" ht="18" thickBot="1">
      <c r="A4" s="2815" t="str">
        <f>IF(项目基本情况!D5="房地产市场价值","估价结果一览表（市场价值不需本页表格)","估价结果一览表")</f>
        <v>估价结果一览表</v>
      </c>
      <c r="B4" s="2815"/>
      <c r="C4" s="2815"/>
      <c r="D4" s="2815"/>
      <c r="E4" s="2815"/>
    </row>
    <row r="5" spans="1:5" ht="14.25" customHeight="1" thickTop="1">
      <c r="A5" s="1907"/>
      <c r="B5" s="1911" t="s">
        <v>742</v>
      </c>
      <c r="C5" s="2816" t="s">
        <v>779</v>
      </c>
      <c r="D5" s="2817"/>
      <c r="E5" s="1907"/>
    </row>
    <row r="6" spans="1:5" ht="15.6">
      <c r="A6" s="1907"/>
      <c r="B6" s="1912" t="str">
        <f>项目基本情况!I1</f>
        <v>北京市房地产</v>
      </c>
      <c r="C6" s="2818">
        <f>项目基本情况!C12</f>
        <v>1763.4099999999999</v>
      </c>
      <c r="D6" s="2818"/>
      <c r="E6" s="1907"/>
    </row>
    <row r="7" spans="1:5" ht="15.6">
      <c r="A7" s="1907"/>
      <c r="B7" s="2812" t="s">
        <v>780</v>
      </c>
      <c r="C7" s="1913" t="str">
        <f>IF('数据-取费表'!B3="万元","总价（万元）","总价（元）")</f>
        <v>总价（万元）</v>
      </c>
      <c r="D7" s="1914">
        <f ca="1">IF('数据-取费表'!E3="否",结果表!I102,'结果表 (1修多)'!I103)</f>
        <v>6078</v>
      </c>
      <c r="E7" s="1907"/>
    </row>
    <row r="8" spans="1:5" ht="15.6">
      <c r="A8" s="1907"/>
      <c r="B8" s="2812"/>
      <c r="C8" s="1915" t="s">
        <v>1169</v>
      </c>
      <c r="D8" s="1916" t="str">
        <f ca="1">IF('数据-取费表'!B3="万元",NUMBERSTRING(INT(D7*10000),2)&amp;"元整",NUMBERSTRING(INT(D7),2)&amp;"元整")</f>
        <v>陆仟零柒拾捌万元整</v>
      </c>
      <c r="E8" s="1907"/>
    </row>
    <row r="9" spans="1:5" ht="15.6">
      <c r="A9" s="1907"/>
      <c r="B9" s="2812"/>
      <c r="C9" s="1917" t="s">
        <v>1267</v>
      </c>
      <c r="D9" s="1914">
        <f ca="1">IF('数据-取费表'!E3="否",结果表!I103,'结果表 (1修多)'!I104)</f>
        <v>34467</v>
      </c>
      <c r="E9" s="1907"/>
    </row>
    <row r="10" spans="1:5" ht="15.6">
      <c r="A10" s="1907"/>
      <c r="B10" s="2819"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819"/>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819" t="str">
        <f>IF('数据-取费表'!E3="否",结果表!F110,'结果表 (1修多)'!F111)</f>
        <v>3.房地产抵押价值</v>
      </c>
      <c r="C15" s="1908" t="str">
        <f>C7</f>
        <v>总价（万元）</v>
      </c>
      <c r="D15" s="1914">
        <f ca="1">IF('数据-取费表'!E3="否",结果表!I110,'结果表 (1修多)'!I111)</f>
        <v>6078</v>
      </c>
      <c r="E15" s="1907"/>
    </row>
    <row r="16" spans="1:5" ht="15.6">
      <c r="A16" s="1907"/>
      <c r="B16" s="2819"/>
      <c r="C16" s="1915" t="s">
        <v>1169</v>
      </c>
      <c r="D16" s="1914" t="str">
        <f ca="1">IF('数据-取费表'!B3="万元",NUMBERSTRING(INT(D15*10000),2)&amp;"元整",NUMBERSTRING(INT(D15),2)&amp;"元整")</f>
        <v>陆仟零柒拾捌万元整</v>
      </c>
      <c r="E16" s="1907"/>
    </row>
    <row r="17" spans="1:5" ht="15.6">
      <c r="A17" s="1907"/>
      <c r="B17" s="2819"/>
      <c r="C17" s="1917" t="s">
        <v>1267</v>
      </c>
      <c r="D17" s="1914">
        <f ca="1">IF('数据-取费表'!E3="否",结果表!I111,'结果表 (1修多)'!I112)</f>
        <v>34467</v>
      </c>
      <c r="E17" s="1907"/>
    </row>
    <row r="18" spans="1:5" ht="15.6">
      <c r="A18" s="1907"/>
      <c r="B18" s="2819" t="str">
        <f>IF('数据-取费表'!E3="否",结果表!F112,'结果表 (1修多)'!F113)</f>
        <v>——</v>
      </c>
      <c r="C18" s="1908" t="str">
        <f>C7</f>
        <v>总价（万元）</v>
      </c>
      <c r="D18" s="1914" t="str">
        <f>IF('数据-取费表'!E3="否",结果表!I112,'结果表 (1修多)'!I113)</f>
        <v>——</v>
      </c>
      <c r="E18" s="1907"/>
    </row>
    <row r="19" spans="1:5" ht="15.6">
      <c r="A19" s="1907"/>
      <c r="B19" s="2819"/>
      <c r="C19" s="1915" t="s">
        <v>1169</v>
      </c>
      <c r="D19" s="1914" t="e">
        <f>IF('数据-取费表'!B3="万元",NUMBERSTRING(INT(D18*10000),2)&amp;"元整",NUMBERSTRING(INT(D18),2)&amp;"元整")</f>
        <v>#VALUE!</v>
      </c>
      <c r="E19" s="1907"/>
    </row>
    <row r="20" spans="1:5" ht="15.6">
      <c r="A20" s="1907"/>
      <c r="B20" s="2819"/>
      <c r="C20" s="1917" t="s">
        <v>1267</v>
      </c>
      <c r="D20" s="1914" t="str">
        <f>IF('数据-取费表'!E3="否",结果表!I113,'结果表 (1修多)'!I114)</f>
        <v>——</v>
      </c>
      <c r="E20" s="1907"/>
    </row>
    <row r="21" spans="1:5" ht="15.6">
      <c r="A21" s="1907"/>
      <c r="B21" s="2812" t="str">
        <f>IF('数据-取费表'!E3="否",结果表!F114,'结果表 (1修多)'!F115)</f>
        <v>——</v>
      </c>
      <c r="C21" s="1913" t="str">
        <f>C7</f>
        <v>总价（万元）</v>
      </c>
      <c r="D21" s="1914" t="str">
        <f>IF('数据-取费表'!E3="否",结果表!I114,'结果表 (1修多)'!I115)</f>
        <v>——</v>
      </c>
      <c r="E21" s="1907"/>
    </row>
    <row r="22" spans="1:5" ht="15.6">
      <c r="A22" s="1907"/>
      <c r="B22" s="2812"/>
      <c r="C22" s="1915" t="s">
        <v>1169</v>
      </c>
      <c r="D22" s="1916" t="e">
        <f>IF('数据-取费表'!B3="万元",NUMBERSTRING(INT(D21*10000),2)&amp;"元整",NUMBERSTRING(INT(D21),2)&amp;"元整")</f>
        <v>#VALUE!</v>
      </c>
      <c r="E22" s="1907"/>
    </row>
    <row r="23" spans="1:5" ht="16.2" thickBot="1">
      <c r="A23" s="1907"/>
      <c r="B23" s="2813"/>
      <c r="C23" s="1922" t="s">
        <v>1267</v>
      </c>
      <c r="D23" s="1923" t="str">
        <f ca="1">IF('数据-取费表'!E3="否",结果表!I115,'结果表 (1修多)'!I116)</f>
        <v>——</v>
      </c>
      <c r="E23" s="1907"/>
    </row>
    <row r="24" spans="1:5" ht="15" thickTop="1">
      <c r="A24" s="1907"/>
      <c r="B24" s="1907"/>
      <c r="C24" s="1907"/>
      <c r="D24" s="1907"/>
      <c r="E24" s="1907"/>
    </row>
    <row r="25" spans="1:5" ht="18.75" customHeight="1" thickBot="1">
      <c r="A25" s="1907"/>
      <c r="B25" s="2804" t="s">
        <v>1268</v>
      </c>
      <c r="C25" s="2804"/>
      <c r="D25" s="2804"/>
      <c r="E25" s="1907"/>
    </row>
    <row r="26" spans="1:5" ht="18.75" customHeight="1" thickTop="1">
      <c r="A26" s="1907"/>
      <c r="B26" s="2807" t="s">
        <v>1168</v>
      </c>
      <c r="C26" s="2808"/>
      <c r="D26" s="2805" t="s">
        <v>1167</v>
      </c>
      <c r="E26" s="1907"/>
    </row>
    <row r="27" spans="1:5" ht="18.75" customHeight="1">
      <c r="A27" s="1907"/>
      <c r="B27" s="2809"/>
      <c r="C27" s="2810"/>
      <c r="D27" s="2806"/>
      <c r="E27" s="1907"/>
    </row>
    <row r="28" spans="1:5" ht="15.6">
      <c r="A28" s="1907"/>
      <c r="B28" s="2797" t="s">
        <v>780</v>
      </c>
      <c r="C28" s="1924" t="s">
        <v>1170</v>
      </c>
      <c r="D28" s="1925">
        <f ca="1">IF('数据-取费表'!E3="否",结果表!I102,'结果表 (1修多)'!I103)</f>
        <v>6078</v>
      </c>
      <c r="E28" s="1907"/>
    </row>
    <row r="29" spans="1:5" ht="15.6">
      <c r="A29" s="1907"/>
      <c r="B29" s="2798"/>
      <c r="C29" s="1926" t="s">
        <v>1169</v>
      </c>
      <c r="D29" s="1927" t="str">
        <f ca="1">IF('数据-取费表'!B3="万元",NUMBERSTRING(INT(D28*10000),2)&amp;"元整",NUMBERSTRING(INT(D28),2)&amp;"元整")</f>
        <v>陆仟零柒拾捌万元整</v>
      </c>
      <c r="E29" s="1907"/>
    </row>
    <row r="30" spans="1:5" ht="15.6">
      <c r="A30" s="1907"/>
      <c r="B30" s="2799"/>
      <c r="C30" s="1917" t="s">
        <v>1172</v>
      </c>
      <c r="D30" s="1928">
        <f ca="1">IF('数据-取费表'!E3="否",结果表!I103,'结果表 (1修多)'!I104)</f>
        <v>34467</v>
      </c>
      <c r="E30" s="1907"/>
    </row>
    <row r="31" spans="1:5" ht="15.6">
      <c r="A31" s="1907"/>
      <c r="B31" s="2802" t="str">
        <f>B10</f>
        <v>2.估价师所知悉的法定优先受偿款</v>
      </c>
      <c r="C31" s="1929" t="s">
        <v>1171</v>
      </c>
      <c r="D31" s="1930">
        <f>IF('数据-取费表'!E3="否",结果表!I105,'结果表 (1修多)'!I106)</f>
        <v>0</v>
      </c>
      <c r="E31" s="1907"/>
    </row>
    <row r="32" spans="1:5" ht="15.6">
      <c r="A32" s="1907"/>
      <c r="B32" s="2811"/>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800" t="str">
        <f>B15</f>
        <v>3.房地产抵押价值</v>
      </c>
      <c r="C36" s="1929" t="str">
        <f>C28</f>
        <v>总价</v>
      </c>
      <c r="D36" s="1930">
        <f ca="1">IF('数据-取费表'!E3="否",结果表!I110,'结果表 (1修多)'!I111)</f>
        <v>6078</v>
      </c>
      <c r="E36" s="1907"/>
    </row>
    <row r="37" spans="1:5" ht="15.6">
      <c r="A37" s="1907"/>
      <c r="B37" s="2800"/>
      <c r="C37" s="1926" t="s">
        <v>1169</v>
      </c>
      <c r="D37" s="1931" t="str">
        <f ca="1">IF('数据-取费表'!B3="万元",NUMBERSTRING(INT(D36*10000),2)&amp;"元整",NUMBERSTRING(INT(D36),2)&amp;"元整")</f>
        <v>陆仟零柒拾捌万元整</v>
      </c>
      <c r="E37" s="1907"/>
    </row>
    <row r="38" spans="1:5" ht="15.6">
      <c r="A38" s="1907"/>
      <c r="B38" s="2800"/>
      <c r="C38" s="1917" t="s">
        <v>1173</v>
      </c>
      <c r="D38" s="1928">
        <f ca="1">IF('数据-取费表'!E3="否",结果表!D113,'结果表 (1修多)'!D116)</f>
        <v>34467</v>
      </c>
      <c r="E38" s="1907"/>
    </row>
    <row r="39" spans="1:5" ht="15.6">
      <c r="A39" s="1907"/>
      <c r="B39" s="2801" t="str">
        <f>B18</f>
        <v>——</v>
      </c>
      <c r="C39" s="1929" t="str">
        <f>C28</f>
        <v>总价</v>
      </c>
      <c r="D39" s="1930" t="str">
        <f>IF('数据-取费表'!E3="否",结果表!I112,'结果表 (1修多)'!I113)</f>
        <v>——</v>
      </c>
      <c r="E39" s="1907"/>
    </row>
    <row r="40" spans="1:5" ht="15.6">
      <c r="A40" s="1907"/>
      <c r="B40" s="2801"/>
      <c r="C40" s="1926" t="s">
        <v>1169</v>
      </c>
      <c r="D40" s="1931" t="e">
        <f>IF('数据-取费表'!B3="万元",NUMBERSTRING(INT(D39*10000),2)&amp;"元整",NUMBERSTRING(INT(D39),2)&amp;"元整")</f>
        <v>#VALUE!</v>
      </c>
      <c r="E40" s="1907"/>
    </row>
    <row r="41" spans="1:5" ht="15.6">
      <c r="A41" s="1907"/>
      <c r="B41" s="2801"/>
      <c r="C41" s="1917" t="s">
        <v>1173</v>
      </c>
      <c r="D41" s="1928" t="str">
        <f>IF('数据-取费表'!E3="否",结果表!D115,'结果表 (1修多)'!D118)</f>
        <v>——</v>
      </c>
      <c r="E41" s="1907"/>
    </row>
    <row r="42" spans="1:5" ht="15.6">
      <c r="A42" s="1907"/>
      <c r="B42" s="2800" t="str">
        <f>B21</f>
        <v>——</v>
      </c>
      <c r="C42" s="1929" t="str">
        <f>C28</f>
        <v>总价</v>
      </c>
      <c r="D42" s="1930" t="str">
        <f>IF('数据-取费表'!E3="否",结果表!I114,'结果表 (1修多)'!I115)</f>
        <v>——</v>
      </c>
      <c r="E42" s="1907"/>
    </row>
    <row r="43" spans="1:5" ht="15.6">
      <c r="A43" s="1907"/>
      <c r="B43" s="2802"/>
      <c r="C43" s="1926" t="s">
        <v>1169</v>
      </c>
      <c r="D43" s="1932" t="e">
        <f>IF('数据-取费表'!B3="万元",NUMBERSTRING(INT(D42*10000),2)&amp;"元整",NUMBERSTRING(INT(D42),2)&amp;"元整")</f>
        <v>#VALUE!</v>
      </c>
      <c r="E43" s="1907"/>
    </row>
    <row r="44" spans="1:5" ht="16.2" thickBot="1">
      <c r="A44" s="1907"/>
      <c r="B44" s="2803"/>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91"/>
  <sheetViews>
    <sheetView topLeftCell="A34" workbookViewId="0">
      <selection activeCell="J56" sqref="J56"/>
    </sheetView>
  </sheetViews>
  <sheetFormatPr defaultRowHeight="14.4"/>
  <sheetData>
    <row r="1" spans="1:1">
      <c r="A1" s="1889" t="s">
        <v>2850</v>
      </c>
    </row>
    <row r="91" spans="1:1">
      <c r="A91" s="1889"/>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26" t="str">
        <f>IF(项目基本情况!D5="房地产市场价值","估价结果一览表","结果表-2")</f>
        <v>结果表-2</v>
      </c>
      <c r="B1" s="2826"/>
      <c r="C1" s="2826"/>
      <c r="D1" s="2826"/>
      <c r="E1" s="2826"/>
      <c r="F1" s="2826"/>
      <c r="G1" s="2826"/>
      <c r="H1" s="2826"/>
      <c r="I1" s="2826"/>
    </row>
    <row r="2" spans="1:9" ht="30" customHeight="1" thickTop="1">
      <c r="A2" s="2827" t="s">
        <v>1269</v>
      </c>
      <c r="B2" s="2827" t="s">
        <v>1270</v>
      </c>
      <c r="C2" s="2827" t="s">
        <v>1271</v>
      </c>
      <c r="D2" s="2827" t="str">
        <f>IF('数据-取费表'!E3="否",结果表!D119,'结果表 (1修多)'!D122)</f>
        <v>出让国有建设用地使用权价值</v>
      </c>
      <c r="E2" s="2827"/>
      <c r="F2" s="2827" t="s">
        <v>1272</v>
      </c>
      <c r="G2" s="2827"/>
      <c r="H2" s="2827" t="s">
        <v>1273</v>
      </c>
      <c r="I2" s="2827"/>
    </row>
    <row r="3" spans="1:9" ht="15.6">
      <c r="A3" s="2820"/>
      <c r="B3" s="2820"/>
      <c r="C3" s="2820"/>
      <c r="D3" s="1033" t="s">
        <v>1274</v>
      </c>
      <c r="E3" s="1033" t="s">
        <v>1275</v>
      </c>
      <c r="F3" s="1033" t="s">
        <v>1274</v>
      </c>
      <c r="G3" s="1033" t="s">
        <v>1276</v>
      </c>
      <c r="H3" s="1033" t="s">
        <v>1274</v>
      </c>
      <c r="I3" s="1033" t="s">
        <v>1276</v>
      </c>
    </row>
    <row r="4" spans="1:9" ht="46.5" customHeight="1">
      <c r="A4" s="1033" t="str">
        <f>项目基本情况!I1</f>
        <v>北京市房地产</v>
      </c>
      <c r="B4" s="1033">
        <f>结果表!B121</f>
        <v>1763.4099999999999</v>
      </c>
      <c r="C4" s="1033">
        <f>结果表!C121</f>
        <v>202.08</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6078</v>
      </c>
      <c r="I4" s="1033">
        <f ca="1">IF('数据-取费表'!E3="否",结果表!I121,'结果表 (1修多)'!I124)</f>
        <v>34467</v>
      </c>
    </row>
    <row r="5" spans="1:9" ht="15">
      <c r="A5" s="2820" t="s">
        <v>1277</v>
      </c>
      <c r="B5" s="2820"/>
      <c r="C5" s="2820"/>
      <c r="D5" s="2821" t="str">
        <f>IF('数据-取费表'!E3="否",结果表!D122,'结果表 (1修多)'!D125)</f>
        <v>零元整</v>
      </c>
      <c r="E5" s="2821"/>
      <c r="F5" s="2821" t="str">
        <f>IF('数据-取费表'!E3="否",结果表!F122,'结果表 (1修多)'!F125)</f>
        <v>零元整</v>
      </c>
      <c r="G5" s="2821"/>
      <c r="H5" s="2821" t="str">
        <f ca="1">IF('数据-取费表'!E3="否",结果表!H122,'结果表 (1修多)'!H125)</f>
        <v>陆仟零柒拾捌万元整</v>
      </c>
      <c r="I5" s="2821"/>
    </row>
    <row r="6" spans="1:9" ht="15.6">
      <c r="A6" s="2822" t="str">
        <f>IF('数据-取费表'!E3="否",结果表!A123,'结果表 (1修多)'!A126)</f>
        <v>估价师所知悉的法定优先受偿款</v>
      </c>
      <c r="B6" s="2822"/>
      <c r="C6" s="2822"/>
      <c r="D6" s="2822">
        <f>IF('数据-取费表'!E3="否",结果表!D123,'结果表 (1修多)'!D126)</f>
        <v>0</v>
      </c>
      <c r="E6" s="2822"/>
      <c r="F6" s="2822"/>
      <c r="G6" s="2822"/>
      <c r="H6" s="2822"/>
      <c r="I6" s="2822"/>
    </row>
    <row r="7" spans="1:9" ht="15">
      <c r="A7" s="2820" t="s">
        <v>1277</v>
      </c>
      <c r="B7" s="2820"/>
      <c r="C7" s="2820"/>
      <c r="D7" s="2828">
        <f>IF('数据-取费表'!E3="否",结果表!D124,'结果表 (1修多)'!D127)</f>
        <v>0</v>
      </c>
      <c r="E7" s="2829"/>
      <c r="F7" s="2829"/>
      <c r="G7" s="2829"/>
      <c r="H7" s="2829"/>
      <c r="I7" s="2830"/>
    </row>
    <row r="8" spans="1:9" ht="15.6">
      <c r="A8" s="2822" t="str">
        <f>IF('数据-取费表'!E3="否",结果表!A125,'结果表 (1修多)'!A128)</f>
        <v>房地产抵押价值</v>
      </c>
      <c r="B8" s="2822"/>
      <c r="C8" s="2822"/>
      <c r="D8" s="2822">
        <f ca="1">IF('数据-取费表'!E3="否",结果表!D125,'结果表 (1修多)'!D128)</f>
        <v>6078</v>
      </c>
      <c r="E8" s="2822"/>
      <c r="F8" s="2822"/>
      <c r="G8" s="2822"/>
      <c r="H8" s="2822"/>
      <c r="I8" s="2822"/>
    </row>
    <row r="9" spans="1:9" ht="15">
      <c r="A9" s="2820" t="s">
        <v>1277</v>
      </c>
      <c r="B9" s="2820"/>
      <c r="C9" s="2820"/>
      <c r="D9" s="2821">
        <f ca="1">IF('数据-取费表'!E3="否",结果表!D126,'结果表 (1修多)'!D129)</f>
        <v>34467</v>
      </c>
      <c r="E9" s="2821"/>
      <c r="F9" s="2821"/>
      <c r="G9" s="2821"/>
      <c r="H9" s="2821"/>
      <c r="I9" s="2821"/>
    </row>
    <row r="10" spans="1:9" ht="15.6">
      <c r="A10" s="2822" t="str">
        <f>IF('数据-取费表'!E3="否",结果表!A127,'结果表 (1修多)'!A130)</f>
        <v/>
      </c>
      <c r="B10" s="2822"/>
      <c r="C10" s="2822"/>
      <c r="D10" s="2822">
        <f ca="1">IF('数据-取费表'!E3="否",结果表!D127,'结果表 (1修多)'!D129)</f>
        <v>34467</v>
      </c>
      <c r="E10" s="2822"/>
      <c r="F10" s="2822"/>
      <c r="G10" s="2822"/>
      <c r="H10" s="2822"/>
      <c r="I10" s="2822"/>
    </row>
    <row r="11" spans="1:9" ht="15">
      <c r="A11" s="2820" t="s">
        <v>1277</v>
      </c>
      <c r="B11" s="2820"/>
      <c r="C11" s="2820"/>
      <c r="D11" s="2821" t="str">
        <f>IF('数据-取费表'!E3="否",结果表!D128,'结果表 (1修多)'!D131)</f>
        <v>——</v>
      </c>
      <c r="E11" s="2821"/>
      <c r="F11" s="2821"/>
      <c r="G11" s="2821"/>
      <c r="H11" s="2821"/>
      <c r="I11" s="2821"/>
    </row>
    <row r="12" spans="1:9" ht="15.6">
      <c r="A12" s="2822" t="str">
        <f>IF('数据-取费表'!E3="否",结果表!A129,'结果表 (1修多)'!A132)</f>
        <v/>
      </c>
      <c r="B12" s="2822"/>
      <c r="C12" s="2822"/>
      <c r="D12" s="2822" t="str">
        <f>IF('数据-取费表'!E3="否",结果表!D129,'结果表 (1修多)'!D132)</f>
        <v>——</v>
      </c>
      <c r="E12" s="2822"/>
      <c r="F12" s="2822"/>
      <c r="G12" s="2822"/>
      <c r="H12" s="2822"/>
      <c r="I12" s="2822"/>
    </row>
    <row r="13" spans="1:9" ht="15.6" thickBot="1">
      <c r="A13" s="2823" t="s">
        <v>1277</v>
      </c>
      <c r="B13" s="2823"/>
      <c r="C13" s="2823"/>
      <c r="D13" s="2824">
        <f>IF('数据-取费表'!E3="否",结果表!D130,'结果表 (1修多)'!D133)</f>
        <v>0</v>
      </c>
      <c r="E13" s="2824"/>
      <c r="F13" s="2824"/>
      <c r="G13" s="2824"/>
      <c r="H13" s="2824"/>
      <c r="I13" s="2824"/>
    </row>
    <row r="14" spans="1:9" ht="14.4" thickTop="1">
      <c r="A14" s="2825" t="str">
        <f>IF('数据-取费表'!E3="否",结果表!A131,'结果表 (1修多)'!A134)</f>
        <v>单位：平方米、万元、元/平方米（币种：人民币）</v>
      </c>
      <c r="B14" s="2825"/>
      <c r="C14" s="2825"/>
      <c r="D14" s="2825"/>
      <c r="E14" s="2825"/>
      <c r="F14" s="2825"/>
      <c r="G14" s="2825"/>
      <c r="H14" s="2825"/>
      <c r="I14" s="2825"/>
    </row>
    <row r="15" spans="1:9">
      <c r="A15" s="707"/>
      <c r="B15" s="707"/>
      <c r="C15" s="707"/>
      <c r="D15" s="707"/>
      <c r="E15" s="707"/>
      <c r="F15" s="707"/>
      <c r="G15" s="707"/>
      <c r="H15" s="707"/>
      <c r="I15" s="707"/>
    </row>
    <row r="16" spans="1:9" ht="17.399999999999999">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32" t="s">
        <v>1291</v>
      </c>
      <c r="B1" s="2832"/>
      <c r="C1" s="2832"/>
      <c r="D1" s="2832"/>
    </row>
    <row r="2" spans="1:4" ht="17.399999999999999">
      <c r="A2" s="2831" t="s">
        <v>1279</v>
      </c>
      <c r="B2" s="2831"/>
      <c r="C2" s="2831"/>
      <c r="D2" s="2831"/>
    </row>
    <row r="3" spans="1:4" ht="17.399999999999999">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7.399999999999999">
      <c r="A7" s="2831" t="s">
        <v>1284</v>
      </c>
      <c r="B7" s="2831"/>
      <c r="C7" s="2831"/>
      <c r="D7" s="2831"/>
    </row>
    <row r="8" spans="1:4" ht="17.399999999999999">
      <c r="A8" s="1936" t="s">
        <v>1280</v>
      </c>
      <c r="B8" s="1938" t="s">
        <v>1285</v>
      </c>
      <c r="C8" s="1936" t="s">
        <v>1282</v>
      </c>
      <c r="D8" s="1936" t="s">
        <v>1283</v>
      </c>
    </row>
    <row r="9" spans="1:4" ht="56.25" customHeight="1">
      <c r="A9" s="1943" t="s">
        <v>781</v>
      </c>
      <c r="B9" s="1943" t="s">
        <v>782</v>
      </c>
      <c r="C9" s="1939"/>
      <c r="D9" s="1940" t="s">
        <v>1292</v>
      </c>
    </row>
    <row r="11" spans="1:4" ht="17.399999999999999">
      <c r="A11" s="1944" t="s">
        <v>1286</v>
      </c>
    </row>
    <row r="12" spans="1:4" ht="30" customHeight="1">
      <c r="A12" s="2833" t="s">
        <v>1293</v>
      </c>
      <c r="B12" s="2834"/>
      <c r="C12" s="2834"/>
      <c r="D12" s="2834"/>
    </row>
    <row r="13" spans="1:4" ht="15.6">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4"/>
      <c r="C13" s="2834"/>
      <c r="D13" s="2834"/>
    </row>
    <row r="14" spans="1:4" ht="30" customHeight="1">
      <c r="A14" s="283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4"/>
      <c r="C14" s="2834"/>
      <c r="D14" s="2834"/>
    </row>
    <row r="15" spans="1:4" ht="15.75" customHeight="1">
      <c r="A15" s="2833" t="str">
        <f>IF(项目基本情况!D4="抵押","4.本次评估估价师所知悉的法定优先受偿款情况说明如下：","——")</f>
        <v>4.本次评估估价师所知悉的法定优先受偿款情况说明如下：</v>
      </c>
      <c r="B15" s="2834"/>
      <c r="C15" s="2834"/>
      <c r="D15" s="2834"/>
    </row>
    <row r="16" spans="1:4" ht="75" customHeight="1">
      <c r="A16" s="2833"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33"/>
      <c r="C16" s="2833"/>
      <c r="D16" s="2833"/>
    </row>
    <row r="17" spans="1:4" ht="63.75" customHeight="1">
      <c r="A17" s="2835" t="s">
        <v>1294</v>
      </c>
      <c r="B17" s="2835"/>
      <c r="C17" s="2835"/>
      <c r="D17" s="2835"/>
    </row>
    <row r="18" spans="1:4" ht="15.75" customHeight="1">
      <c r="A18" s="2833" t="str">
        <f>IF(项目基本情况!D4="抵押",结果表!K106,"——")</f>
        <v>本次评估不存在估价师所知悉的法定优先受偿款。</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5" t="s">
        <v>1287</v>
      </c>
      <c r="B20" s="2835"/>
      <c r="C20" s="2835"/>
      <c r="D20" s="2835"/>
    </row>
    <row r="21" spans="1:4">
      <c r="A21" s="1945"/>
      <c r="B21" s="1272"/>
      <c r="C21" s="1272"/>
      <c r="D21" s="1272"/>
    </row>
    <row r="22" spans="1:4">
      <c r="A22" s="1945"/>
      <c r="B22" s="1272"/>
      <c r="C22" s="1272"/>
      <c r="D22" s="1272"/>
    </row>
    <row r="23" spans="1:4" ht="17.399999999999999">
      <c r="A23" s="1906" t="s">
        <v>1288</v>
      </c>
    </row>
    <row r="24" spans="1:4" ht="17.399999999999999">
      <c r="A24" s="1906"/>
    </row>
    <row r="25" spans="1:4" ht="17.399999999999999">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07"/>
  </cols>
  <sheetData>
    <row r="1" spans="1:7" s="1935" customFormat="1" ht="17.399999999999999">
      <c r="A1" s="705" t="s">
        <v>1361</v>
      </c>
    </row>
    <row r="3" spans="1:7">
      <c r="A3" s="1952" t="s">
        <v>1362</v>
      </c>
      <c r="B3" s="707" t="s">
        <v>1363</v>
      </c>
      <c r="G3" s="1953"/>
    </row>
    <row r="4" spans="1:7">
      <c r="G4" s="1953"/>
    </row>
    <row r="5" spans="1:7">
      <c r="A5" s="1955" t="s">
        <v>1364</v>
      </c>
      <c r="B5" s="707" t="s">
        <v>1365</v>
      </c>
      <c r="G5" s="1953"/>
    </row>
    <row r="6" spans="1:7">
      <c r="G6" s="1953"/>
    </row>
    <row r="7" spans="1:7">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4">
      <c r="A15" s="2841" t="s">
        <v>1373</v>
      </c>
      <c r="B15" s="2836" t="s">
        <v>1374</v>
      </c>
      <c r="C15" s="2837"/>
    </row>
    <row r="16" spans="1:7" ht="14.4">
      <c r="A16" s="2842"/>
      <c r="B16" s="2836" t="s">
        <v>1375</v>
      </c>
      <c r="C16" s="2837"/>
    </row>
    <row r="17" spans="1:3" ht="14.4">
      <c r="A17" s="2842"/>
      <c r="B17" s="2836" t="s">
        <v>1376</v>
      </c>
      <c r="C17" s="2837"/>
    </row>
    <row r="18" spans="1:3" ht="14.4">
      <c r="A18" s="2843"/>
      <c r="B18" s="2838" t="s">
        <v>1377</v>
      </c>
      <c r="C18" s="2837"/>
    </row>
    <row r="19" spans="1:3" ht="14.4">
      <c r="A19" s="1960" t="s">
        <v>1378</v>
      </c>
      <c r="B19" s="1961"/>
      <c r="C19" s="1962"/>
    </row>
    <row r="20" spans="1:3" ht="14.4">
      <c r="A20" s="2839" t="s">
        <v>1379</v>
      </c>
      <c r="B20" s="2838" t="s">
        <v>1380</v>
      </c>
      <c r="C20" s="2837"/>
    </row>
    <row r="21" spans="1:3" ht="14.4">
      <c r="A21" s="2839"/>
      <c r="B21" s="2838" t="s">
        <v>1381</v>
      </c>
      <c r="C21" s="2837"/>
    </row>
    <row r="22" spans="1:3" ht="14.4">
      <c r="A22" s="2839"/>
      <c r="B22" s="2838" t="s">
        <v>1382</v>
      </c>
      <c r="C22" s="2837"/>
    </row>
    <row r="23" spans="1:3" ht="14.4">
      <c r="A23" s="2839"/>
      <c r="B23" s="2840" t="s">
        <v>1383</v>
      </c>
      <c r="C23" s="1963" t="s">
        <v>1384</v>
      </c>
    </row>
    <row r="24" spans="1:3" ht="14.4">
      <c r="A24" s="2839"/>
      <c r="B24" s="2840"/>
      <c r="C24" s="1963" t="s">
        <v>1385</v>
      </c>
    </row>
    <row r="25" spans="1:3" ht="14.4">
      <c r="A25" s="2839"/>
      <c r="B25" s="2840"/>
      <c r="C25" s="1963" t="s">
        <v>1386</v>
      </c>
    </row>
    <row r="26" spans="1:3" ht="14.4">
      <c r="A26" s="2839"/>
      <c r="B26" s="2840"/>
      <c r="C26" s="1963" t="s">
        <v>1387</v>
      </c>
    </row>
    <row r="27" spans="1:3" ht="14.4">
      <c r="A27" s="2839"/>
      <c r="B27" s="2840"/>
      <c r="C27" s="1963" t="s">
        <v>1388</v>
      </c>
    </row>
    <row r="28" spans="1:3" ht="14.4">
      <c r="A28" s="2839"/>
      <c r="B28" s="2840"/>
      <c r="C28" s="1963" t="s">
        <v>1389</v>
      </c>
    </row>
    <row r="29" spans="1:3" ht="14.4">
      <c r="A29" s="2839"/>
      <c r="B29" s="2840"/>
      <c r="C29" s="1963" t="s">
        <v>1390</v>
      </c>
    </row>
    <row r="30" spans="1:3" ht="14.4">
      <c r="A30" s="2839"/>
      <c r="B30" s="2840"/>
      <c r="C30" s="1963" t="s">
        <v>1391</v>
      </c>
    </row>
    <row r="31" spans="1:3" ht="14.4">
      <c r="A31" s="2839"/>
      <c r="B31" s="2840"/>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11"/>
    <col min="3" max="3" width="26" style="1011" customWidth="1"/>
    <col min="4" max="4" width="41.33203125" style="1011" customWidth="1"/>
    <col min="5" max="6" width="22.6640625" style="1011"/>
    <col min="7" max="7" width="25.6640625" style="1011" customWidth="1"/>
    <col min="8" max="8" width="25.44140625" style="1011" bestFit="1" customWidth="1"/>
    <col min="9" max="16384" width="22.6640625" style="1011"/>
  </cols>
  <sheetData>
    <row r="2" spans="1:8" ht="24" customHeight="1">
      <c r="A2" s="1008" t="s">
        <v>746</v>
      </c>
      <c r="B2" s="1009">
        <f ca="1">TODAY()</f>
        <v>43875</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4" t="s">
        <v>764</v>
      </c>
      <c r="B25" s="2844"/>
      <c r="C25" s="2844"/>
      <c r="D25" s="2844"/>
      <c r="E25" s="2844"/>
      <c r="F25" s="2844"/>
      <c r="G25" s="2844"/>
      <c r="H25" s="2844"/>
    </row>
    <row r="26" spans="1:8" s="1018" customFormat="1" ht="24" customHeight="1">
      <c r="A26" s="2845" t="s">
        <v>765</v>
      </c>
      <c r="B26" s="2845"/>
      <c r="C26" s="2845"/>
      <c r="D26" s="1045"/>
      <c r="E26" s="1045"/>
      <c r="F26" s="2845" t="s">
        <v>766</v>
      </c>
      <c r="G26" s="2845"/>
      <c r="H26" s="2845"/>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19" sqref="Z19"/>
    </sheetView>
  </sheetViews>
  <sheetFormatPr defaultColWidth="9" defaultRowHeight="13.8"/>
  <cols>
    <col min="1" max="1" width="14" style="708" customWidth="1"/>
    <col min="2" max="2" width="22.44140625" style="707"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07" customWidth="1"/>
    <col min="27" max="16384" width="9" style="707"/>
  </cols>
  <sheetData>
    <row r="1" spans="1:25" s="706" customFormat="1" ht="28.8">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ht="14.4">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ht="14.4">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ht="14.4">
      <c r="A7" s="1968" t="s">
        <v>1473</v>
      </c>
      <c r="B7" s="1970" t="s">
        <v>1474</v>
      </c>
      <c r="C7" s="1969" t="s">
        <v>1475</v>
      </c>
      <c r="F7" s="7" t="s">
        <v>1476</v>
      </c>
      <c r="H7" s="7" t="s">
        <v>1477</v>
      </c>
      <c r="I7" s="7" t="s">
        <v>1478</v>
      </c>
      <c r="X7" s="1971"/>
    </row>
    <row r="8" spans="1:25" ht="14.4">
      <c r="A8" s="1968" t="s">
        <v>1479</v>
      </c>
      <c r="B8" s="1970" t="s">
        <v>1480</v>
      </c>
      <c r="C8" s="1969" t="s">
        <v>1481</v>
      </c>
      <c r="F8" s="7" t="s">
        <v>1482</v>
      </c>
      <c r="H8" s="7" t="s">
        <v>1483</v>
      </c>
      <c r="I8" s="7" t="s">
        <v>1484</v>
      </c>
      <c r="X8" s="1971"/>
    </row>
    <row r="9" spans="1:25" ht="14.4">
      <c r="A9" s="1968" t="s">
        <v>1485</v>
      </c>
      <c r="B9" s="1968" t="s">
        <v>1486</v>
      </c>
      <c r="C9" s="1969" t="s">
        <v>1487</v>
      </c>
      <c r="F9" s="7" t="s">
        <v>1488</v>
      </c>
      <c r="H9" s="7" t="s">
        <v>1489</v>
      </c>
    </row>
    <row r="10" spans="1:25" ht="14.4">
      <c r="A10" s="1968" t="s">
        <v>1490</v>
      </c>
      <c r="B10" s="1968" t="s">
        <v>1491</v>
      </c>
      <c r="C10" s="1969" t="s">
        <v>1492</v>
      </c>
      <c r="F10" s="7" t="s">
        <v>13</v>
      </c>
    </row>
    <row r="11" spans="1:25" ht="14.4">
      <c r="A11" s="1968" t="s">
        <v>1493</v>
      </c>
      <c r="B11" s="1968" t="s">
        <v>1494</v>
      </c>
      <c r="C11" s="1969" t="s">
        <v>1495</v>
      </c>
    </row>
    <row r="12" spans="1:25" ht="14.4">
      <c r="A12" s="1968" t="s">
        <v>1496</v>
      </c>
      <c r="B12" s="1968" t="s">
        <v>1497</v>
      </c>
      <c r="C12" s="1969" t="s">
        <v>1498</v>
      </c>
    </row>
    <row r="13" spans="1:25" ht="14.4">
      <c r="A13" s="1968" t="s">
        <v>1499</v>
      </c>
      <c r="B13" s="1968" t="s">
        <v>1500</v>
      </c>
      <c r="C13" s="1969" t="s">
        <v>1501</v>
      </c>
    </row>
    <row r="14" spans="1:25" ht="14.4">
      <c r="A14" s="1968" t="s">
        <v>1502</v>
      </c>
      <c r="B14" s="1968" t="s">
        <v>1503</v>
      </c>
      <c r="C14" s="1969"/>
    </row>
    <row r="15" spans="1:25" ht="14.4">
      <c r="A15" s="1968" t="s">
        <v>1504</v>
      </c>
      <c r="B15" s="1968" t="s">
        <v>1505</v>
      </c>
      <c r="C15" s="1969"/>
    </row>
    <row r="16" spans="1:25" ht="14.4">
      <c r="A16" s="1968" t="s">
        <v>1506</v>
      </c>
      <c r="B16" s="1968" t="s">
        <v>1507</v>
      </c>
      <c r="C16" s="1969"/>
    </row>
    <row r="17" spans="1:3" ht="14.4">
      <c r="A17" s="1968" t="s">
        <v>1508</v>
      </c>
      <c r="B17" s="1968" t="s">
        <v>1509</v>
      </c>
      <c r="C17" s="1969"/>
    </row>
    <row r="18" spans="1:3" ht="14.4">
      <c r="A18" s="1968" t="s">
        <v>1510</v>
      </c>
      <c r="B18" s="1968" t="s">
        <v>1511</v>
      </c>
      <c r="C18" s="1969"/>
    </row>
    <row r="19" spans="1:3" ht="14.4">
      <c r="A19" s="1968" t="s">
        <v>1512</v>
      </c>
      <c r="B19" s="1968" t="s">
        <v>1513</v>
      </c>
      <c r="C19" s="1969"/>
    </row>
    <row r="20" spans="1:3" ht="14.4">
      <c r="A20" s="1968" t="s">
        <v>1514</v>
      </c>
      <c r="B20" s="1968" t="s">
        <v>740</v>
      </c>
      <c r="C20" s="1969"/>
    </row>
    <row r="21" spans="1:3" ht="14.4">
      <c r="A21" s="1968" t="s">
        <v>1515</v>
      </c>
      <c r="B21" s="1968" t="s">
        <v>740</v>
      </c>
      <c r="C21" s="1969"/>
    </row>
    <row r="22" spans="1:3" ht="14.4">
      <c r="A22" s="1968" t="s">
        <v>1516</v>
      </c>
      <c r="B22" s="1968" t="s">
        <v>740</v>
      </c>
      <c r="C22" s="1969"/>
    </row>
    <row r="23" spans="1:3" ht="14.4">
      <c r="A23" s="1968" t="s">
        <v>1517</v>
      </c>
      <c r="B23" s="1968" t="s">
        <v>740</v>
      </c>
      <c r="C23" s="1969"/>
    </row>
    <row r="24" spans="1:3" ht="14.4">
      <c r="A24" s="1968" t="s">
        <v>1518</v>
      </c>
      <c r="B24" s="1968" t="s">
        <v>740</v>
      </c>
      <c r="C24" s="1969"/>
    </row>
    <row r="25" spans="1:3" ht="14.4">
      <c r="A25" s="1968" t="s">
        <v>1519</v>
      </c>
      <c r="B25" s="1968" t="s">
        <v>740</v>
      </c>
      <c r="C25" s="1969"/>
    </row>
    <row r="26" spans="1:3" ht="14.4">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ht="14.4">
      <c r="A52" s="1972" t="s">
        <v>1523</v>
      </c>
      <c r="B52" s="1972" t="s">
        <v>1524</v>
      </c>
      <c r="C52" s="9" t="s">
        <v>1525</v>
      </c>
      <c r="D52" s="9" t="s">
        <v>1526</v>
      </c>
    </row>
    <row r="53" spans="1:4" ht="14.25" customHeight="1">
      <c r="A53" s="2846"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ht="14.4">
      <c r="A54" s="2846"/>
      <c r="B54" s="9" t="s">
        <v>1529</v>
      </c>
      <c r="C54" s="9" t="s">
        <v>1530</v>
      </c>
    </row>
    <row r="55" spans="1:4" ht="14.4">
      <c r="A55" s="2846"/>
      <c r="B55" s="9" t="s">
        <v>1531</v>
      </c>
      <c r="C55" s="9" t="s">
        <v>1532</v>
      </c>
    </row>
    <row r="56" spans="1:4" ht="14.4">
      <c r="A56" s="2846"/>
      <c r="B56" s="9" t="s">
        <v>1533</v>
      </c>
      <c r="C56" s="9" t="s">
        <v>1534</v>
      </c>
    </row>
    <row r="57" spans="1:4" ht="14.4">
      <c r="A57" s="2846"/>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售价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2019-07-15T08:24:43Z</cp:lastPrinted>
  <dcterms:created xsi:type="dcterms:W3CDTF">2015-07-13T07:17:23Z</dcterms:created>
  <dcterms:modified xsi:type="dcterms:W3CDTF">2020-02-14T06:04:53Z</dcterms:modified>
</cp:coreProperties>
</file>