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怀柔\"/>
    </mc:Choice>
  </mc:AlternateContent>
  <xr:revisionPtr revIDLastSave="0" documentId="13_ncr:1_{375FF9C9-FA98-40A4-9100-EEEAC66A7FC7}" xr6:coauthVersionLast="47" xr6:coauthVersionMax="47" xr10:uidLastSave="{00000000-0000-0000-0000-000000000000}"/>
  <bookViews>
    <workbookView xWindow="-120" yWindow="-120" windowWidth="38640" windowHeight="21240" tabRatio="899" firstSheet="11" activeTab="3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比较法-住宅租金" sheetId="80" r:id="rId33"/>
    <sheet name="住宅案例" sheetId="81" r:id="rId34"/>
    <sheet name="房源表" sheetId="82" r:id="rId35"/>
    <sheet name="成本法 (元)" sheetId="69"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34" hidden="1">房源表!$A$3:$F$3</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#REF!</definedName>
    <definedName name="地类判定">定义!$H$1:$H$9</definedName>
    <definedName name="二级">区片价!$J$1:$J$21</definedName>
    <definedName name="二级分类">修正!$C$19:$C$53</definedName>
    <definedName name="法定最高年限">定义!$G$1:$G$6</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#REF!</definedName>
    <definedName name="九级">区片价!$Q$1:$Q$51</definedName>
    <definedName name="居住社区成熟度">定义!$K$1:$K$6</definedName>
    <definedName name="扣缴日期">#REF!</definedName>
    <definedName name="类别">定义!$J$1:$J$3</definedName>
    <definedName name="临街状况">定义!$T$1:$T$5</definedName>
    <definedName name="六级">区片价!$N$1:$N$64</definedName>
    <definedName name="楼栋">#REF!</definedName>
    <definedName name="楼号">#REF!</definedName>
    <definedName name="内部装修维护情况">定义!$U$1:$U$6</definedName>
    <definedName name="七级">区片价!$O$1:$O$45</definedName>
    <definedName name="七通一平">修正!$A$8:$A$16</definedName>
    <definedName name="区域成熟度">#REF!</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#REF!</definedName>
    <definedName name="租户银行账户">#REF!</definedName>
  </definedNames>
  <calcPr calcId="181029"/>
</workbook>
</file>

<file path=xl/calcChain.xml><?xml version="1.0" encoding="utf-8"?>
<calcChain xmlns="http://schemas.openxmlformats.org/spreadsheetml/2006/main">
  <c r="C6" i="69" l="1"/>
  <c r="D33" i="43"/>
  <c r="AH6" i="1"/>
  <c r="Y6" i="1"/>
  <c r="N6" i="1"/>
  <c r="M22" i="1"/>
  <c r="N17" i="80"/>
  <c r="F19" i="6"/>
  <c r="I13" i="3"/>
  <c r="N4" i="82"/>
  <c r="E104" i="82"/>
  <c r="J25" i="81"/>
  <c r="J24" i="81"/>
  <c r="J21" i="81"/>
  <c r="J18" i="81"/>
  <c r="J17" i="81"/>
  <c r="J16" i="81"/>
  <c r="J15" i="81"/>
  <c r="J13" i="81"/>
  <c r="J12" i="81"/>
  <c r="J11" i="81"/>
  <c r="J10" i="81"/>
  <c r="E5" i="80" s="1"/>
  <c r="E29" i="80" s="1"/>
  <c r="J7" i="81"/>
  <c r="J6" i="81"/>
  <c r="G52" i="80"/>
  <c r="F49" i="80"/>
  <c r="G49" i="80" s="1"/>
  <c r="H49" i="80" s="1"/>
  <c r="I49" i="80" s="1"/>
  <c r="J49" i="80" s="1"/>
  <c r="K49" i="80" s="1"/>
  <c r="E49" i="80"/>
  <c r="D49" i="80"/>
  <c r="B49" i="80"/>
  <c r="H46" i="80"/>
  <c r="G46" i="80"/>
  <c r="I39" i="80"/>
  <c r="G39" i="80"/>
  <c r="E39" i="80"/>
  <c r="C39" i="80"/>
  <c r="E33" i="80"/>
  <c r="J25" i="80"/>
  <c r="H25" i="80"/>
  <c r="J24" i="80"/>
  <c r="H24" i="80"/>
  <c r="I23" i="80"/>
  <c r="G23" i="80"/>
  <c r="E23" i="80"/>
  <c r="E21" i="80"/>
  <c r="G21" i="80" s="1"/>
  <c r="I21" i="80" s="1"/>
  <c r="J20" i="80"/>
  <c r="H20" i="80"/>
  <c r="H18" i="80"/>
  <c r="J18" i="80" s="1"/>
  <c r="J16" i="80"/>
  <c r="M13" i="80"/>
  <c r="O13" i="80" s="1"/>
  <c r="P13" i="80" s="1"/>
  <c r="Q13" i="80" s="1"/>
  <c r="R13" i="80" s="1"/>
  <c r="Q11" i="80"/>
  <c r="R11" i="80" s="1"/>
  <c r="P11" i="80"/>
  <c r="N11" i="80"/>
  <c r="R9" i="80"/>
  <c r="P9" i="80"/>
  <c r="O9" i="80" s="1"/>
  <c r="N9" i="80" s="1"/>
  <c r="H8" i="80"/>
  <c r="G33" i="80" s="1"/>
  <c r="O7" i="80"/>
  <c r="P7" i="80" s="1"/>
  <c r="Q7" i="80" s="1"/>
  <c r="R7" i="80" s="1"/>
  <c r="J7" i="80"/>
  <c r="H7" i="80"/>
  <c r="I5" i="80"/>
  <c r="I29" i="80" s="1"/>
  <c r="G5" i="80"/>
  <c r="G29" i="80" s="1"/>
  <c r="I4" i="80"/>
  <c r="G4" i="80"/>
  <c r="E4" i="80"/>
  <c r="E27" i="45"/>
  <c r="E34" i="80" l="1"/>
  <c r="E30" i="80"/>
  <c r="L29" i="80"/>
  <c r="G34" i="80"/>
  <c r="G30" i="80"/>
  <c r="J8" i="80"/>
  <c r="I33" i="80" s="1"/>
  <c r="I34" i="80" s="1"/>
  <c r="G14" i="73"/>
  <c r="F14" i="73"/>
  <c r="E14" i="73"/>
  <c r="I30" i="80" l="1"/>
  <c r="C31" i="80" s="1"/>
  <c r="I12" i="79"/>
  <c r="L35" i="80" l="1"/>
  <c r="L36" i="80" s="1"/>
  <c r="U6" i="1"/>
  <c r="L30" i="80"/>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6" i="79"/>
  <c r="AD38" i="79"/>
  <c r="AD35" i="79"/>
  <c r="AD37" i="79"/>
  <c r="AD34"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AR18" i="79"/>
  <c r="AR19" i="79" s="1"/>
  <c r="AR20" i="79" s="1"/>
  <c r="AR21" i="79" s="1"/>
  <c r="AR22" i="79" s="1"/>
  <c r="AR23" i="79" s="1"/>
  <c r="AR24" i="79" s="1"/>
  <c r="T34" i="79"/>
  <c r="T35" i="79"/>
  <c r="T33"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K570" i="3"/>
  <c r="BM570" i="3"/>
  <c r="BN570" i="3"/>
  <c r="BO570" i="3"/>
  <c r="BL570" i="3" s="1"/>
  <c r="BP570" i="3"/>
  <c r="BQ570" i="3"/>
  <c r="BR570" i="3"/>
  <c r="BS570" i="3"/>
  <c r="BT570" i="3"/>
  <c r="H571" i="3"/>
  <c r="AC571" i="3"/>
  <c r="BB571" i="3"/>
  <c r="BA571" i="3" s="1"/>
  <c r="BC571" i="3"/>
  <c r="BD571" i="3"/>
  <c r="BE571" i="3"/>
  <c r="BF571" i="3"/>
  <c r="BG571" i="3"/>
  <c r="BH571" i="3"/>
  <c r="BI571" i="3"/>
  <c r="BJ571" i="3"/>
  <c r="BK571" i="3"/>
  <c r="BM571" i="3"/>
  <c r="BN571" i="3"/>
  <c r="BO571" i="3"/>
  <c r="BL571" i="3" s="1"/>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A574" i="3" s="1"/>
  <c r="BE574" i="3"/>
  <c r="BF574" i="3"/>
  <c r="BG574" i="3"/>
  <c r="BH574" i="3"/>
  <c r="BI574" i="3"/>
  <c r="BJ574" i="3"/>
  <c r="BK574" i="3"/>
  <c r="BM574" i="3"/>
  <c r="BM5" i="3" s="1"/>
  <c r="BN574" i="3"/>
  <c r="BO574" i="3"/>
  <c r="BP574" i="3"/>
  <c r="BQ574" i="3"/>
  <c r="BR574" i="3"/>
  <c r="BS574" i="3"/>
  <c r="BT574" i="3"/>
  <c r="H575" i="3"/>
  <c r="AC575" i="3"/>
  <c r="BB575" i="3"/>
  <c r="BC575" i="3"/>
  <c r="BD575" i="3"/>
  <c r="BA575" i="3" s="1"/>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L578" i="3" s="1"/>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L581" i="3" s="1"/>
  <c r="BR581" i="3"/>
  <c r="BS581" i="3"/>
  <c r="BT581" i="3"/>
  <c r="H582" i="3"/>
  <c r="G582" i="3" s="1"/>
  <c r="AC582" i="3"/>
  <c r="BB582" i="3"/>
  <c r="BC582" i="3"/>
  <c r="BD582" i="3"/>
  <c r="BA582" i="3" s="1"/>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F35" i="39" s="1"/>
  <c r="B111" i="39"/>
  <c r="J30" i="36"/>
  <c r="H30" i="36"/>
  <c r="U30" i="36" s="1"/>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37" i="33"/>
  <c r="AA37" i="33" s="1"/>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U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B75" i="35"/>
  <c r="J24" i="35" s="1"/>
  <c r="AC24" i="35"/>
  <c r="B73" i="35"/>
  <c r="J23" i="35" s="1"/>
  <c r="AC23" i="35" s="1"/>
  <c r="H23" i="35"/>
  <c r="U23" i="35" s="1"/>
  <c r="B57" i="35"/>
  <c r="B61" i="35"/>
  <c r="B59" i="35"/>
  <c r="B131" i="34"/>
  <c r="H47" i="34" s="1"/>
  <c r="U47" i="34" s="1"/>
  <c r="B129" i="34"/>
  <c r="B127" i="34"/>
  <c r="B99" i="34"/>
  <c r="F32" i="34" s="1"/>
  <c r="B97" i="34"/>
  <c r="J31" i="34" s="1"/>
  <c r="B95" i="34"/>
  <c r="B93" i="34"/>
  <c r="B75" i="34"/>
  <c r="F14" i="34" s="1"/>
  <c r="B73" i="34"/>
  <c r="J13" i="34" s="1"/>
  <c r="B71" i="34"/>
  <c r="J12" i="34" s="1"/>
  <c r="W12" i="34" s="1"/>
  <c r="B130" i="33"/>
  <c r="B128" i="33"/>
  <c r="J45" i="33" s="1"/>
  <c r="W45" i="33" s="1"/>
  <c r="B126" i="33"/>
  <c r="B98" i="33"/>
  <c r="B96" i="33"/>
  <c r="B94" i="33"/>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F91" i="33" s="1"/>
  <c r="B88" i="33"/>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S27" i="33" s="1"/>
  <c r="D87" i="33"/>
  <c r="E87" i="33" s="1"/>
  <c r="D85" i="33"/>
  <c r="E85" i="33"/>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G5" i="3" s="1"/>
  <c r="BH585" i="3"/>
  <c r="BI585" i="3"/>
  <c r="BJ585" i="3"/>
  <c r="BK585" i="3"/>
  <c r="BK5" i="3" s="1"/>
  <c r="BM585" i="3"/>
  <c r="BN585" i="3"/>
  <c r="BO585" i="3"/>
  <c r="BP585" i="3"/>
  <c r="BQ585" i="3"/>
  <c r="BR585" i="3"/>
  <c r="BS585" i="3"/>
  <c r="BT585" i="3"/>
  <c r="BB586" i="3"/>
  <c r="BC586" i="3"/>
  <c r="BD586" i="3"/>
  <c r="BE586" i="3"/>
  <c r="BF586" i="3"/>
  <c r="BG586" i="3"/>
  <c r="BH586" i="3"/>
  <c r="BI586" i="3"/>
  <c r="BI5" i="3" s="1"/>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S41" i="21"/>
  <c r="AA41" i="21"/>
  <c r="F45" i="39"/>
  <c r="S45" i="39" s="1"/>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AB39" i="33" s="1"/>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H11" i="21"/>
  <c r="U11" i="21" s="1"/>
  <c r="J11" i="21"/>
  <c r="W11" i="21" s="1"/>
  <c r="H37" i="40"/>
  <c r="U37" i="40" s="1"/>
  <c r="H36" i="40"/>
  <c r="AB36" i="40" s="1"/>
  <c r="F35" i="40"/>
  <c r="AA35" i="40"/>
  <c r="H23" i="40"/>
  <c r="AB23" i="40" s="1"/>
  <c r="H17" i="40"/>
  <c r="U17" i="40"/>
  <c r="J15" i="40"/>
  <c r="J11" i="40"/>
  <c r="W11" i="40" s="1"/>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c r="F23" i="35"/>
  <c r="AA23" i="35" s="1"/>
  <c r="J32" i="35"/>
  <c r="AC32" i="35" s="1"/>
  <c r="J16" i="35"/>
  <c r="AC16" i="35" s="1"/>
  <c r="H16" i="35"/>
  <c r="U16" i="35" s="1"/>
  <c r="F16" i="35"/>
  <c r="S16" i="35" s="1"/>
  <c r="H14" i="35"/>
  <c r="AB14" i="35"/>
  <c r="J29" i="35"/>
  <c r="H33" i="35"/>
  <c r="J20" i="35"/>
  <c r="W20" i="35"/>
  <c r="F35" i="37"/>
  <c r="S35" i="37" s="1"/>
  <c r="J34" i="37"/>
  <c r="W34" i="37"/>
  <c r="AB34" i="37"/>
  <c r="J33" i="37"/>
  <c r="AC33" i="37" s="1"/>
  <c r="H40" i="34"/>
  <c r="U40" i="34" s="1"/>
  <c r="E114" i="34"/>
  <c r="H36" i="34"/>
  <c r="U36" i="34" s="1"/>
  <c r="F37" i="34"/>
  <c r="AA37" i="34" s="1"/>
  <c r="F28" i="34"/>
  <c r="AA28" i="34" s="1"/>
  <c r="F25" i="34"/>
  <c r="S25" i="34" s="1"/>
  <c r="H23" i="34"/>
  <c r="J23" i="34"/>
  <c r="F19" i="34"/>
  <c r="H17" i="34"/>
  <c r="U17" i="34" s="1"/>
  <c r="F15" i="34"/>
  <c r="AA15" i="34" s="1"/>
  <c r="J15" i="34"/>
  <c r="H15" i="34"/>
  <c r="AB15" i="34" s="1"/>
  <c r="W8" i="34"/>
  <c r="J28" i="34"/>
  <c r="W28" i="34" s="1"/>
  <c r="F41" i="33"/>
  <c r="S41" i="33" s="1"/>
  <c r="AA41" i="33"/>
  <c r="F32" i="33"/>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F113" i="33"/>
  <c r="G113" i="33"/>
  <c r="H113" i="33" s="1"/>
  <c r="I113" i="33" s="1"/>
  <c r="J113" i="33" s="1"/>
  <c r="K113" i="33" s="1"/>
  <c r="L113" i="33" s="1"/>
  <c r="M113" i="33" s="1"/>
  <c r="H37" i="33"/>
  <c r="AB37" i="33" s="1"/>
  <c r="H15" i="33"/>
  <c r="AB15" i="33" s="1"/>
  <c r="H11" i="33"/>
  <c r="AB11" i="33" s="1"/>
  <c r="F28" i="40"/>
  <c r="AA42" i="34"/>
  <c r="S42" i="34"/>
  <c r="AC38" i="34"/>
  <c r="AA38" i="34"/>
  <c r="J37" i="34"/>
  <c r="AC37" i="34" s="1"/>
  <c r="J11" i="33"/>
  <c r="W11" i="33" s="1"/>
  <c r="S28" i="34"/>
  <c r="I123" i="21"/>
  <c r="J123" i="21" s="1"/>
  <c r="K123" i="21" s="1"/>
  <c r="L123" i="21" s="1"/>
  <c r="M123" i="21" s="1"/>
  <c r="J42" i="21"/>
  <c r="AC42" i="21"/>
  <c r="H42" i="21"/>
  <c r="U42" i="21" s="1"/>
  <c r="J44" i="34"/>
  <c r="W44" i="34" s="1"/>
  <c r="F44" i="34"/>
  <c r="AA44" i="34"/>
  <c r="J10" i="35"/>
  <c r="AC10" i="35" s="1"/>
  <c r="F14" i="21"/>
  <c r="J44" i="21"/>
  <c r="AC44" i="21" s="1"/>
  <c r="H44" i="21"/>
  <c r="U44" i="21"/>
  <c r="F44" i="21"/>
  <c r="AA44" i="21" s="1"/>
  <c r="H46" i="21"/>
  <c r="U46" i="21" s="1"/>
  <c r="J46" i="21"/>
  <c r="F46" i="21"/>
  <c r="AA46" i="2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J13" i="33"/>
  <c r="H13" i="33"/>
  <c r="U13" i="33" s="1"/>
  <c r="F13" i="33"/>
  <c r="S13" i="33"/>
  <c r="J29" i="33"/>
  <c r="H29" i="33"/>
  <c r="U29" i="33" s="1"/>
  <c r="F29" i="33"/>
  <c r="S29" i="33" s="1"/>
  <c r="J31" i="33"/>
  <c r="H31" i="33"/>
  <c r="F31" i="33"/>
  <c r="H45" i="33"/>
  <c r="F45" i="33"/>
  <c r="AA45" i="33" s="1"/>
  <c r="J14" i="34"/>
  <c r="W14" i="34" s="1"/>
  <c r="S14" i="34"/>
  <c r="H14" i="34"/>
  <c r="H30" i="34"/>
  <c r="F30" i="34"/>
  <c r="S30" i="34"/>
  <c r="J30" i="34"/>
  <c r="H32" i="34"/>
  <c r="J32" i="34"/>
  <c r="W32" i="34" s="1"/>
  <c r="H46" i="34"/>
  <c r="U46" i="34"/>
  <c r="F46" i="34"/>
  <c r="J46" i="34"/>
  <c r="AC46" i="34" s="1"/>
  <c r="H11" i="35"/>
  <c r="AB11" i="35" s="1"/>
  <c r="J11" i="35"/>
  <c r="F11" i="35"/>
  <c r="S11" i="35" s="1"/>
  <c r="J26" i="36"/>
  <c r="H28" i="36"/>
  <c r="U28" i="36" s="1"/>
  <c r="H32" i="36"/>
  <c r="AB32" i="36" s="1"/>
  <c r="J32" i="36"/>
  <c r="W32" i="36" s="1"/>
  <c r="J11" i="36"/>
  <c r="AC11" i="36" s="1"/>
  <c r="H11" i="36"/>
  <c r="U11" i="36" s="1"/>
  <c r="F11" i="36"/>
  <c r="AA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c r="F40" i="37"/>
  <c r="AA40" i="37" s="1"/>
  <c r="H14" i="33"/>
  <c r="U14" i="33" s="1"/>
  <c r="F14" i="33"/>
  <c r="H30" i="33"/>
  <c r="AB30" i="33" s="1"/>
  <c r="F30" i="33"/>
  <c r="J30" i="33"/>
  <c r="H44" i="33"/>
  <c r="J44" i="33"/>
  <c r="AC44" i="33" s="1"/>
  <c r="F44" i="33"/>
  <c r="S44" i="33" s="1"/>
  <c r="J46" i="33"/>
  <c r="AC46" i="33"/>
  <c r="F46" i="33"/>
  <c r="AA46" i="33" s="1"/>
  <c r="H46" i="33"/>
  <c r="H13" i="34"/>
  <c r="U13" i="34" s="1"/>
  <c r="W13" i="34"/>
  <c r="F13" i="34"/>
  <c r="J29" i="34"/>
  <c r="F29" i="34"/>
  <c r="S29" i="34"/>
  <c r="H29" i="34"/>
  <c r="AB29" i="34" s="1"/>
  <c r="H31" i="34"/>
  <c r="F31" i="34"/>
  <c r="S31" i="34"/>
  <c r="H45" i="34"/>
  <c r="U45" i="34" s="1"/>
  <c r="J45" i="34"/>
  <c r="W45" i="34" s="1"/>
  <c r="F45"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U43" i="39" s="1"/>
  <c r="J14" i="39"/>
  <c r="AC14" i="39" s="1"/>
  <c r="F14" i="39"/>
  <c r="H14" i="39"/>
  <c r="AB14" i="39"/>
  <c r="AB12" i="40"/>
  <c r="H30" i="40"/>
  <c r="AB30" i="40"/>
  <c r="F33" i="40"/>
  <c r="AA33" i="40"/>
  <c r="H33" i="40"/>
  <c r="U33" i="40"/>
  <c r="J35" i="40"/>
  <c r="W35" i="40" s="1"/>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J36" i="37"/>
  <c r="AC36" i="37"/>
  <c r="J10" i="36"/>
  <c r="AC10" i="36" s="1"/>
  <c r="AB26" i="33"/>
  <c r="AA14" i="37"/>
  <c r="S11" i="36"/>
  <c r="AB46" i="34"/>
  <c r="AA14" i="34"/>
  <c r="S44" i="34"/>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68" i="3"/>
  <c r="BL564" i="3"/>
  <c r="BL560" i="3"/>
  <c r="BL554" i="3"/>
  <c r="BL546" i="3"/>
  <c r="BL542" i="3"/>
  <c r="AZ542" i="3" s="1"/>
  <c r="BL538" i="3"/>
  <c r="BL534" i="3"/>
  <c r="BL530" i="3"/>
  <c r="BL526" i="3"/>
  <c r="BL522" i="3"/>
  <c r="BL516" i="3"/>
  <c r="BL512" i="3"/>
  <c r="BL506" i="3"/>
  <c r="BL502" i="3"/>
  <c r="BL498" i="3"/>
  <c r="BL494" i="3"/>
  <c r="BL582" i="3"/>
  <c r="BL566" i="3"/>
  <c r="BL562" i="3"/>
  <c r="BL556" i="3"/>
  <c r="BL552" i="3"/>
  <c r="BL544" i="3"/>
  <c r="BL540" i="3"/>
  <c r="BL536" i="3"/>
  <c r="G533" i="3"/>
  <c r="BL532" i="3"/>
  <c r="G529" i="3"/>
  <c r="BL528" i="3"/>
  <c r="G525" i="3"/>
  <c r="BL524" i="3"/>
  <c r="BL518" i="3"/>
  <c r="BL514" i="3"/>
  <c r="BL510" i="3"/>
  <c r="BL504" i="3"/>
  <c r="BL500" i="3"/>
  <c r="BL496" i="3"/>
  <c r="G493" i="3"/>
  <c r="BA584" i="3"/>
  <c r="AZ584" i="3" s="1"/>
  <c r="BA576" i="3"/>
  <c r="AZ576"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AZ530" i="3" s="1"/>
  <c r="BA528" i="3"/>
  <c r="BA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BA577"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5" i="3"/>
  <c r="G573" i="3"/>
  <c r="G571" i="3"/>
  <c r="G569" i="3"/>
  <c r="G567" i="3"/>
  <c r="G565" i="3"/>
  <c r="G563" i="3"/>
  <c r="G561" i="3"/>
  <c r="BL558" i="3"/>
  <c r="AZ558" i="3" s="1"/>
  <c r="BA557" i="3"/>
  <c r="AC557" i="3"/>
  <c r="G557" i="3" s="1"/>
  <c r="BQ557" i="3"/>
  <c r="BL557" i="3" s="1"/>
  <c r="BQ583" i="3"/>
  <c r="BL583" i="3" s="1"/>
  <c r="AZ583" i="3" s="1"/>
  <c r="BQ581" i="3"/>
  <c r="BQ579" i="3"/>
  <c r="BL579" i="3"/>
  <c r="BQ577" i="3"/>
  <c r="BQ575" i="3"/>
  <c r="BQ573" i="3"/>
  <c r="BL573" i="3" s="1"/>
  <c r="AZ573" i="3" s="1"/>
  <c r="BQ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AC5" i="3" s="1"/>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c r="F42" i="33"/>
  <c r="AA42" i="33" s="1"/>
  <c r="H28" i="34"/>
  <c r="AB28" i="34" s="1"/>
  <c r="F14" i="36"/>
  <c r="F22" i="36"/>
  <c r="S22" i="36" s="1"/>
  <c r="F26" i="36"/>
  <c r="S26" i="36" s="1"/>
  <c r="H27" i="34"/>
  <c r="AB27" i="34" s="1"/>
  <c r="H35" i="34"/>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c r="S28" i="31"/>
  <c r="S27" i="31"/>
  <c r="S26" i="31"/>
  <c r="W23" i="35"/>
  <c r="U26" i="37"/>
  <c r="W47" i="34"/>
  <c r="AC36" i="34"/>
  <c r="AA13" i="33"/>
  <c r="AC45" i="33"/>
  <c r="W44" i="33"/>
  <c r="U11" i="33"/>
  <c r="U19" i="21"/>
  <c r="W44"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AT6" i="3"/>
  <c r="AA25" i="21"/>
  <c r="H19" i="40"/>
  <c r="U19" i="40" s="1"/>
  <c r="F19" i="40"/>
  <c r="S19" i="40" s="1"/>
  <c r="S14" i="40"/>
  <c r="AC13" i="40"/>
  <c r="AB33" i="40"/>
  <c r="W23" i="39"/>
  <c r="AC43" i="39"/>
  <c r="W43" i="39"/>
  <c r="G100" i="39"/>
  <c r="H37" i="39"/>
  <c r="U37" i="39" s="1"/>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F11" i="39"/>
  <c r="G4" i="4"/>
  <c r="I4" i="4"/>
  <c r="A2" i="9"/>
  <c r="F61" i="43"/>
  <c r="H64" i="43" s="1"/>
  <c r="AZ497" i="3"/>
  <c r="BL549" i="3"/>
  <c r="AZ494"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47" i="3"/>
  <c r="AZ97"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154" i="3"/>
  <c r="AZ162" i="3"/>
  <c r="AZ194" i="3"/>
  <c r="AZ198" i="3"/>
  <c r="AZ500" i="3"/>
  <c r="BA16" i="3"/>
  <c r="BL303" i="3"/>
  <c r="G304" i="3"/>
  <c r="BA306" i="3"/>
  <c r="BL307" i="3"/>
  <c r="G308" i="3"/>
  <c r="BA310" i="3"/>
  <c r="BL311" i="3"/>
  <c r="G312" i="3"/>
  <c r="BA314" i="3"/>
  <c r="BL315" i="3"/>
  <c r="G316" i="3"/>
  <c r="BA318" i="3"/>
  <c r="BL319" i="3"/>
  <c r="AZ319" i="3" s="1"/>
  <c r="G320" i="3"/>
  <c r="BA322" i="3"/>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G393" i="3"/>
  <c r="AZ283" i="3"/>
  <c r="BO5" i="3"/>
  <c r="BJ5" i="3"/>
  <c r="BH5" i="3"/>
  <c r="BF5" i="3"/>
  <c r="AZ325" i="3"/>
  <c r="AZ496" i="3"/>
  <c r="G548" i="3"/>
  <c r="G538" i="3"/>
  <c r="G520" i="3"/>
  <c r="G502" i="3"/>
  <c r="BS5" i="3"/>
  <c r="BP5" i="3"/>
  <c r="G17" i="3"/>
  <c r="BA17" i="3"/>
  <c r="AZ350" i="3"/>
  <c r="BA15" i="3"/>
  <c r="AZ15" i="3" s="1"/>
  <c r="BB5" i="3"/>
  <c r="AZ380" i="3"/>
  <c r="AZ509" i="3"/>
  <c r="BL493" i="3"/>
  <c r="AZ493" i="3"/>
  <c r="U36" i="40"/>
  <c r="F83" i="43"/>
  <c r="H85" i="43" s="1"/>
  <c r="F50" i="43"/>
  <c r="H54" i="43" s="1"/>
  <c r="F72" i="43"/>
  <c r="H75" i="43" s="1"/>
  <c r="U17" i="39"/>
  <c r="S14" i="35"/>
  <c r="U43" i="21"/>
  <c r="U35" i="21"/>
  <c r="AC35" i="21"/>
  <c r="AZ563" i="3"/>
  <c r="AZ501" i="3"/>
  <c r="W37" i="37"/>
  <c r="AC44" i="34"/>
  <c r="S15" i="37"/>
  <c r="U13" i="37"/>
  <c r="J37" i="33"/>
  <c r="W37" i="33" s="1"/>
  <c r="AC17" i="34"/>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J39" i="39"/>
  <c r="AC39" i="39" s="1"/>
  <c r="E96" i="39"/>
  <c r="F96" i="39" s="1"/>
  <c r="G96" i="39" s="1"/>
  <c r="C40" i="11"/>
  <c r="AZ280" i="3"/>
  <c r="AZ69" i="3"/>
  <c r="AZ74" i="3"/>
  <c r="AZ86" i="3"/>
  <c r="AZ110" i="3"/>
  <c r="F23" i="39"/>
  <c r="AA23" i="39"/>
  <c r="H27" i="36"/>
  <c r="U27" i="36" s="1"/>
  <c r="F27" i="36"/>
  <c r="AA27" i="36" s="1"/>
  <c r="H33" i="34"/>
  <c r="U33" i="34"/>
  <c r="F32" i="37"/>
  <c r="AA32" i="37"/>
  <c r="H96" i="37"/>
  <c r="I96" i="37" s="1"/>
  <c r="J96" i="37" s="1"/>
  <c r="K96" i="37" s="1"/>
  <c r="L96" i="37" s="1"/>
  <c r="M96" i="37" s="1"/>
  <c r="F20" i="36"/>
  <c r="AA20" i="36" s="1"/>
  <c r="J33" i="34"/>
  <c r="AC33" i="34" s="1"/>
  <c r="H23" i="39"/>
  <c r="U23" i="39" s="1"/>
  <c r="D48" i="9"/>
  <c r="M52" i="9" s="1"/>
  <c r="K9" i="1"/>
  <c r="M9" i="1" s="1"/>
  <c r="D93" i="9"/>
  <c r="K6" i="1"/>
  <c r="AP6" i="1" s="1"/>
  <c r="W27" i="34"/>
  <c r="AC27" i="34"/>
  <c r="AB33" i="36"/>
  <c r="U33" i="36"/>
  <c r="AC12" i="39"/>
  <c r="W12" i="39"/>
  <c r="AC39" i="40"/>
  <c r="W39" i="40"/>
  <c r="AZ412" i="3"/>
  <c r="AZ465" i="3"/>
  <c r="W12" i="33"/>
  <c r="AC12" i="33"/>
  <c r="AA32" i="36"/>
  <c r="S32" i="36"/>
  <c r="BL14" i="3"/>
  <c r="U30" i="33"/>
  <c r="AC13" i="34"/>
  <c r="AA47" i="34"/>
  <c r="W28" i="37"/>
  <c r="S19" i="39"/>
  <c r="F12" i="33"/>
  <c r="H12" i="39"/>
  <c r="AB12" i="39" s="1"/>
  <c r="F39" i="40"/>
  <c r="S39" i="40" s="1"/>
  <c r="BA14" i="3"/>
  <c r="AZ14" i="3" s="1"/>
  <c r="AZ254" i="3"/>
  <c r="AZ149" i="3"/>
  <c r="AZ173" i="3"/>
  <c r="AZ181" i="3"/>
  <c r="B12" i="1"/>
  <c r="E12" i="1" s="1"/>
  <c r="B10" i="1"/>
  <c r="E10" i="1" s="1"/>
  <c r="K12" i="1"/>
  <c r="M12" i="1" s="1"/>
  <c r="S13" i="1"/>
  <c r="AR13" i="1" s="1"/>
  <c r="R13" i="1"/>
  <c r="J51" i="67"/>
  <c r="C42" i="1"/>
  <c r="C24" i="12" s="1"/>
  <c r="B41" i="1"/>
  <c r="F48" i="9" s="1"/>
  <c r="O52" i="9" s="1"/>
  <c r="AB37" i="40"/>
  <c r="S35" i="40"/>
  <c r="U35" i="40"/>
  <c r="AC36" i="40"/>
  <c r="AA32" i="40"/>
  <c r="S17" i="40"/>
  <c r="S23" i="40"/>
  <c r="AC17" i="40"/>
  <c r="S30" i="40"/>
  <c r="AA19"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9" i="39"/>
  <c r="U14" i="39"/>
  <c r="AC13" i="39"/>
  <c r="U12" i="39"/>
  <c r="S23" i="36"/>
  <c r="U13" i="36"/>
  <c r="S33" i="36"/>
  <c r="AA26" i="36"/>
  <c r="AA34" i="36"/>
  <c r="AA22" i="36"/>
  <c r="W14" i="36"/>
  <c r="AB14" i="36"/>
  <c r="U22" i="36"/>
  <c r="S16" i="36"/>
  <c r="AA25" i="36"/>
  <c r="U23" i="36"/>
  <c r="U16" i="36"/>
  <c r="AA25" i="35"/>
  <c r="S23" i="35"/>
  <c r="W24" i="35"/>
  <c r="AB13" i="35"/>
  <c r="U29" i="35"/>
  <c r="U28" i="35"/>
  <c r="AB27" i="35"/>
  <c r="U36" i="35"/>
  <c r="U32" i="35"/>
  <c r="AA33" i="35"/>
  <c r="S32" i="35"/>
  <c r="AA36" i="35"/>
  <c r="S28" i="35"/>
  <c r="AB16" i="35"/>
  <c r="U22" i="35"/>
  <c r="S20" i="35"/>
  <c r="AC20" i="35"/>
  <c r="S22" i="35"/>
  <c r="U14" i="35"/>
  <c r="AA11" i="35"/>
  <c r="AC9" i="35"/>
  <c r="W9" i="35"/>
  <c r="W13" i="35"/>
  <c r="F9" i="35"/>
  <c r="S9" i="35" s="1"/>
  <c r="H9" i="35"/>
  <c r="U9" i="35" s="1"/>
  <c r="AB40" i="37"/>
  <c r="S25" i="37"/>
  <c r="W27" i="37"/>
  <c r="AC29" i="37"/>
  <c r="S32" i="37"/>
  <c r="AB31" i="37"/>
  <c r="W30" i="37"/>
  <c r="S36" i="37"/>
  <c r="AA38" i="37"/>
  <c r="U32" i="37"/>
  <c r="AC35" i="37"/>
  <c r="S30" i="37"/>
  <c r="S37"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U39" i="34"/>
  <c r="S43" i="34"/>
  <c r="AB41" i="34"/>
  <c r="AA25" i="34"/>
  <c r="U28" i="34"/>
  <c r="S17" i="34"/>
  <c r="AA29" i="34"/>
  <c r="U27" i="34"/>
  <c r="S23" i="34"/>
  <c r="U15" i="34"/>
  <c r="H10" i="34"/>
  <c r="AB10" i="34" s="1"/>
  <c r="F11" i="34"/>
  <c r="S11" i="34" s="1"/>
  <c r="W42" i="33"/>
  <c r="AA35"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S39" i="33"/>
  <c r="F101" i="33"/>
  <c r="G101" i="33" s="1"/>
  <c r="H101" i="33" s="1"/>
  <c r="I101" i="33" s="1"/>
  <c r="J101" i="33" s="1"/>
  <c r="K101" i="33" s="1"/>
  <c r="L101" i="33" s="1"/>
  <c r="M101" i="33" s="1"/>
  <c r="J32" i="33"/>
  <c r="S46" i="33"/>
  <c r="W43" i="33"/>
  <c r="S43" i="33"/>
  <c r="F87" i="33"/>
  <c r="G87" i="33" s="1"/>
  <c r="H87" i="33" s="1"/>
  <c r="I87" i="33" s="1"/>
  <c r="J87" i="33" s="1"/>
  <c r="K87" i="33" s="1"/>
  <c r="L87" i="33" s="1"/>
  <c r="M87" i="33" s="1"/>
  <c r="H25" i="33"/>
  <c r="F25" i="33"/>
  <c r="J23" i="33"/>
  <c r="AC23" i="33" s="1"/>
  <c r="F85" i="33"/>
  <c r="H23" i="33"/>
  <c r="F19" i="33"/>
  <c r="S19" i="33" s="1"/>
  <c r="W19" i="33"/>
  <c r="J17" i="33"/>
  <c r="W17" i="33" s="1"/>
  <c r="F79" i="33"/>
  <c r="G79" i="33" s="1"/>
  <c r="S15" i="33"/>
  <c r="J10" i="33"/>
  <c r="W10" i="33" s="1"/>
  <c r="H10" i="33"/>
  <c r="U10" i="33" s="1"/>
  <c r="AC11" i="33"/>
  <c r="AB14" i="33"/>
  <c r="W43" i="21"/>
  <c r="W36" i="21"/>
  <c r="W41" i="21"/>
  <c r="AB39" i="21"/>
  <c r="AA43" i="21"/>
  <c r="S39" i="21"/>
  <c r="AA38" i="21"/>
  <c r="AA36" i="21"/>
  <c r="AC40" i="21"/>
  <c r="J15" i="21"/>
  <c r="W15" i="21" s="1"/>
  <c r="F77" i="21"/>
  <c r="G77" i="21" s="1"/>
  <c r="F23" i="21"/>
  <c r="S23" i="21" s="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S23" i="39"/>
  <c r="AA45" i="39"/>
  <c r="W34" i="39"/>
  <c r="U38" i="39"/>
  <c r="S8" i="39"/>
  <c r="S20" i="36"/>
  <c r="AC25" i="36"/>
  <c r="U32" i="36"/>
  <c r="W29" i="36"/>
  <c r="AC20" i="36"/>
  <c r="U25" i="36"/>
  <c r="AB28" i="36"/>
  <c r="AA13" i="36"/>
  <c r="W9" i="36"/>
  <c r="W22" i="36"/>
  <c r="W23" i="36"/>
  <c r="AB20"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29" i="34"/>
  <c r="W29" i="34"/>
  <c r="W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S45" i="21"/>
  <c r="F33" i="21"/>
  <c r="AA33" i="21" s="1"/>
  <c r="J33" i="21"/>
  <c r="AC33" i="21" s="1"/>
  <c r="H33" i="21"/>
  <c r="AB33" i="21" s="1"/>
  <c r="F37" i="21"/>
  <c r="AA37" i="21" s="1"/>
  <c r="AA26" i="21"/>
  <c r="AB46" i="21"/>
  <c r="U40" i="21"/>
  <c r="AB31" i="21"/>
  <c r="U31" i="21"/>
  <c r="AC15" i="21"/>
  <c r="U13" i="21"/>
  <c r="AB13" i="21"/>
  <c r="S35" i="21"/>
  <c r="J37" i="21"/>
  <c r="W37" i="21" s="1"/>
  <c r="H15" i="21"/>
  <c r="U15" i="21" s="1"/>
  <c r="J17" i="21"/>
  <c r="AC17" i="21" s="1"/>
  <c r="AC19" i="21"/>
  <c r="W39"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AB25" i="21"/>
  <c r="AB44" i="21"/>
  <c r="W13" i="21"/>
  <c r="W42" i="21"/>
  <c r="F10" i="21"/>
  <c r="AA10" i="21" s="1"/>
  <c r="K145" i="21"/>
  <c r="W25" i="21"/>
  <c r="W31" i="21"/>
  <c r="S27" i="21"/>
  <c r="S17" i="21"/>
  <c r="AA15" i="21"/>
  <c r="AC27" i="21"/>
  <c r="AC26" i="21"/>
  <c r="AB29" i="21"/>
  <c r="AC34" i="21"/>
  <c r="AB36" i="21"/>
  <c r="C19" i="39"/>
  <c r="C15" i="40"/>
  <c r="C17" i="40"/>
  <c r="C23" i="40"/>
  <c r="C21" i="40"/>
  <c r="U30" i="40"/>
  <c r="B56" i="43"/>
  <c r="B67" i="43"/>
  <c r="B51" i="43"/>
  <c r="B54" i="43"/>
  <c r="B58" i="43"/>
  <c r="B62" i="43"/>
  <c r="B65" i="43"/>
  <c r="B69" i="43"/>
  <c r="D23" i="15"/>
  <c r="D22" i="15"/>
  <c r="E4" i="4"/>
  <c r="B5" i="62" s="1"/>
  <c r="B73" i="72" s="1"/>
  <c r="C4" i="4"/>
  <c r="F30" i="69"/>
  <c r="F48" i="69" s="1"/>
  <c r="AA39" i="40"/>
  <c r="S12" i="33"/>
  <c r="AA12" i="33"/>
  <c r="D68" i="9"/>
  <c r="J32" i="39"/>
  <c r="H32" i="39"/>
  <c r="AB32" i="39" s="1"/>
  <c r="AA32" i="39"/>
  <c r="S32" i="39"/>
  <c r="AB21" i="39"/>
  <c r="U21" i="39"/>
  <c r="AA21" i="39"/>
  <c r="S21" i="39"/>
  <c r="S17" i="37"/>
  <c r="J19" i="37"/>
  <c r="W19" i="37" s="1"/>
  <c r="G75" i="37"/>
  <c r="AA19" i="37"/>
  <c r="J23" i="37"/>
  <c r="W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S25" i="33"/>
  <c r="AA25" i="33"/>
  <c r="J25" i="33"/>
  <c r="AC25" i="33" s="1"/>
  <c r="AB23" i="33"/>
  <c r="U23" i="33"/>
  <c r="F23" i="33"/>
  <c r="G85" i="33"/>
  <c r="AA19" i="33"/>
  <c r="H19" i="33"/>
  <c r="U19" i="33" s="1"/>
  <c r="H17" i="33"/>
  <c r="U17" i="33" s="1"/>
  <c r="F17" i="33"/>
  <c r="S17" i="33" s="1"/>
  <c r="S37" i="21"/>
  <c r="AA23" i="21"/>
  <c r="AB15" i="21"/>
  <c r="J23" i="21"/>
  <c r="H23" i="21"/>
  <c r="S13" i="21"/>
  <c r="AP7" i="1"/>
  <c r="AB45" i="21"/>
  <c r="AA32" i="21"/>
  <c r="S32" i="21"/>
  <c r="W9" i="21"/>
  <c r="AC9" i="21"/>
  <c r="AB32" i="21"/>
  <c r="U32" i="21"/>
  <c r="A18" i="62"/>
  <c r="B64" i="72" s="1"/>
  <c r="U32" i="39"/>
  <c r="AC32" i="39"/>
  <c r="W32" i="39"/>
  <c r="J63" i="37"/>
  <c r="K63" i="37" s="1"/>
  <c r="L63" i="37" s="1"/>
  <c r="M63" i="37" s="1"/>
  <c r="J11" i="37"/>
  <c r="AC11" i="37" s="1"/>
  <c r="J11" i="34"/>
  <c r="W11" i="34" s="1"/>
  <c r="AB36" i="33"/>
  <c r="W25" i="33"/>
  <c r="AB19" i="33"/>
  <c r="AA17" i="33"/>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9" i="15"/>
  <c r="F26" i="67"/>
  <c r="F13" i="67"/>
  <c r="F43" i="67"/>
  <c r="M23" i="15"/>
  <c r="E9" i="76"/>
  <c r="B10" i="76"/>
  <c r="F42" i="15"/>
  <c r="F40" i="67"/>
  <c r="AO13" i="1"/>
  <c r="F26" i="15"/>
  <c r="E2" i="69"/>
  <c r="M6" i="67"/>
  <c r="F20" i="31"/>
  <c r="E10" i="76"/>
  <c r="M6" i="15"/>
  <c r="D35" i="9"/>
  <c r="L48" i="15"/>
  <c r="D6" i="73"/>
  <c r="B11" i="76"/>
  <c r="F16" i="15"/>
  <c r="F6" i="67"/>
  <c r="M8" i="15"/>
  <c r="E7" i="76"/>
  <c r="F36" i="15"/>
  <c r="M24" i="15"/>
  <c r="F5" i="73"/>
  <c r="E11" i="76"/>
  <c r="E13" i="76"/>
  <c r="F13" i="15"/>
  <c r="F6" i="73"/>
  <c r="L47" i="15"/>
  <c r="F43" i="15"/>
  <c r="E8" i="76"/>
  <c r="B7" i="76"/>
  <c r="F4" i="73"/>
  <c r="F8" i="15"/>
  <c r="F37" i="15"/>
  <c r="F6" i="15"/>
  <c r="F38" i="15"/>
  <c r="E12" i="76"/>
  <c r="F9" i="15"/>
  <c r="F40" i="15"/>
  <c r="F16" i="67"/>
  <c r="B12" i="76"/>
  <c r="C76" i="15"/>
  <c r="F7" i="15"/>
  <c r="D34" i="9"/>
  <c r="M29" i="15"/>
  <c r="M22" i="15"/>
  <c r="B9" i="76"/>
  <c r="M28" i="15"/>
  <c r="B13" i="76"/>
  <c r="M26" i="15"/>
  <c r="F7" i="73"/>
  <c r="F3" i="73"/>
  <c r="B8" i="76"/>
  <c r="J15" i="15"/>
  <c r="E2" i="68"/>
  <c r="F31" i="12" l="1"/>
  <c r="C40" i="69"/>
  <c r="G26" i="12"/>
  <c r="G22" i="68"/>
  <c r="S11" i="39"/>
  <c r="AA11" i="39"/>
  <c r="AA28" i="40"/>
  <c r="S28" i="40"/>
  <c r="BA587" i="3"/>
  <c r="BA586" i="3"/>
  <c r="BA585" i="3"/>
  <c r="AC28" i="35"/>
  <c r="W28" i="35"/>
  <c r="AB29" i="37"/>
  <c r="U29" i="37"/>
  <c r="AB30" i="37"/>
  <c r="U30" i="37"/>
  <c r="AC27" i="33"/>
  <c r="AC23" i="37"/>
  <c r="U9" i="21"/>
  <c r="D6" i="52"/>
  <c r="AC17" i="33"/>
  <c r="AA23" i="37"/>
  <c r="F28" i="15"/>
  <c r="C28" i="15" s="1"/>
  <c r="F32" i="67"/>
  <c r="F60" i="67" s="1"/>
  <c r="F28" i="67"/>
  <c r="AC45" i="21"/>
  <c r="W15" i="33"/>
  <c r="H27" i="33"/>
  <c r="W38" i="37"/>
  <c r="AA12" i="39"/>
  <c r="AA34" i="33"/>
  <c r="BC5" i="3"/>
  <c r="AZ378" i="3"/>
  <c r="W11" i="39"/>
  <c r="AC11" i="39"/>
  <c r="AZ541" i="3"/>
  <c r="AZ506" i="3"/>
  <c r="AA44" i="33"/>
  <c r="AA13" i="34"/>
  <c r="S13" i="34"/>
  <c r="W31" i="33"/>
  <c r="AC31" i="33"/>
  <c r="AA27" i="33"/>
  <c r="AB32" i="33"/>
  <c r="U32" i="33"/>
  <c r="AA38" i="33"/>
  <c r="S38" i="33"/>
  <c r="AB26" i="36"/>
  <c r="U26" i="36"/>
  <c r="AC28" i="36"/>
  <c r="W28" i="36"/>
  <c r="J24" i="36"/>
  <c r="H24" i="36"/>
  <c r="F24" i="36"/>
  <c r="H14" i="21"/>
  <c r="J14" i="21"/>
  <c r="F30" i="21"/>
  <c r="J30" i="21"/>
  <c r="H30" i="21"/>
  <c r="AC17" i="37"/>
  <c r="M18" i="15"/>
  <c r="M18" i="67"/>
  <c r="F30" i="11"/>
  <c r="C48" i="11" s="1"/>
  <c r="W30" i="40"/>
  <c r="W17" i="21"/>
  <c r="AB43" i="39"/>
  <c r="AB27" i="40"/>
  <c r="AZ322" i="3"/>
  <c r="AZ311" i="3"/>
  <c r="W15" i="37"/>
  <c r="AC15" i="37"/>
  <c r="S14" i="33"/>
  <c r="AA14" i="33"/>
  <c r="U45" i="33"/>
  <c r="AB45" i="33"/>
  <c r="AB23" i="34"/>
  <c r="U23" i="34"/>
  <c r="B101" i="43"/>
  <c r="B79" i="43"/>
  <c r="AC31" i="34"/>
  <c r="W31" i="34"/>
  <c r="H44" i="39"/>
  <c r="J44" i="39"/>
  <c r="F44" i="39"/>
  <c r="AC8" i="40"/>
  <c r="W8" i="40"/>
  <c r="AA35" i="39"/>
  <c r="S35" i="39"/>
  <c r="AZ582" i="3"/>
  <c r="AZ580" i="3"/>
  <c r="AZ579" i="3"/>
  <c r="BE5" i="3"/>
  <c r="AZ575" i="3"/>
  <c r="F29" i="6"/>
  <c r="AZ572" i="3"/>
  <c r="BT5" i="3"/>
  <c r="AZ571" i="3"/>
  <c r="AZ570" i="3"/>
  <c r="AB46" i="33"/>
  <c r="U46" i="33"/>
  <c r="W26" i="36"/>
  <c r="AC26" i="36"/>
  <c r="S14" i="21"/>
  <c r="AA14" i="21"/>
  <c r="F28" i="21"/>
  <c r="H28" i="21"/>
  <c r="F54" i="9"/>
  <c r="F32" i="15"/>
  <c r="F60" i="15" s="1"/>
  <c r="F52" i="9"/>
  <c r="F30" i="68"/>
  <c r="F48" i="68" s="1"/>
  <c r="U27" i="21"/>
  <c r="AC32" i="34"/>
  <c r="AC25" i="35"/>
  <c r="AB39" i="39"/>
  <c r="AC30" i="35"/>
  <c r="AB20" i="36"/>
  <c r="S39" i="39"/>
  <c r="AA39" i="39"/>
  <c r="W34" i="33"/>
  <c r="AC34" i="33"/>
  <c r="G509" i="3"/>
  <c r="AZ310" i="3"/>
  <c r="AZ389" i="3"/>
  <c r="W12" i="37"/>
  <c r="AC12" i="37"/>
  <c r="U35" i="34"/>
  <c r="AB35" i="34"/>
  <c r="AA14" i="36"/>
  <c r="S14" i="36"/>
  <c r="U14" i="40"/>
  <c r="AB14" i="40"/>
  <c r="S45" i="34"/>
  <c r="AA45" i="34"/>
  <c r="J28" i="21"/>
  <c r="S29" i="35"/>
  <c r="AA29" i="35"/>
  <c r="W15" i="40"/>
  <c r="AC15" i="40"/>
  <c r="AZ505" i="3"/>
  <c r="AZ525" i="3"/>
  <c r="AZ529" i="3"/>
  <c r="AZ537" i="3"/>
  <c r="AZ526" i="3"/>
  <c r="AZ564" i="3"/>
  <c r="BL574" i="3"/>
  <c r="AZ574" i="3" s="1"/>
  <c r="W11" i="35"/>
  <c r="AC11" i="35"/>
  <c r="J35" i="39"/>
  <c r="AC35" i="39" s="1"/>
  <c r="B97" i="43"/>
  <c r="B75" i="43"/>
  <c r="AB35" i="33"/>
  <c r="U35" i="33"/>
  <c r="AC22" i="35"/>
  <c r="W22" i="35"/>
  <c r="AB38" i="40"/>
  <c r="U38" i="40"/>
  <c r="S15" i="39"/>
  <c r="BN5" i="3"/>
  <c r="G29" i="6" s="1"/>
  <c r="BD5" i="3"/>
  <c r="E14" i="6" s="1"/>
  <c r="AZ391" i="3"/>
  <c r="AZ318" i="3"/>
  <c r="AZ364" i="3"/>
  <c r="AZ329" i="3"/>
  <c r="AZ304" i="3"/>
  <c r="AZ306" i="3"/>
  <c r="AZ535" i="3"/>
  <c r="BL577" i="3"/>
  <c r="AZ577" i="3" s="1"/>
  <c r="AZ557" i="3"/>
  <c r="AZ513" i="3"/>
  <c r="AZ528" i="3"/>
  <c r="AZ566" i="3"/>
  <c r="AZ540" i="3"/>
  <c r="AZ502" i="3"/>
  <c r="S45" i="33"/>
  <c r="F12" i="40"/>
  <c r="S35" i="34"/>
  <c r="AB41" i="21"/>
  <c r="J26" i="33"/>
  <c r="F26" i="33"/>
  <c r="AC9" i="34"/>
  <c r="W9" i="34"/>
  <c r="F12" i="35"/>
  <c r="J12" i="35"/>
  <c r="U39" i="40"/>
  <c r="AB39" i="40"/>
  <c r="J12" i="40"/>
  <c r="AC31" i="40"/>
  <c r="W31" i="40"/>
  <c r="AA31" i="35"/>
  <c r="S31" i="35"/>
  <c r="AZ345" i="3"/>
  <c r="AZ372" i="3"/>
  <c r="AZ347" i="3"/>
  <c r="AZ337" i="3"/>
  <c r="AZ376" i="3"/>
  <c r="AZ309" i="3"/>
  <c r="AZ549" i="3"/>
  <c r="H5" i="3"/>
  <c r="AZ515" i="3"/>
  <c r="AZ569" i="3"/>
  <c r="AZ516" i="3"/>
  <c r="AZ524" i="3"/>
  <c r="BL587" i="3"/>
  <c r="BL586" i="3"/>
  <c r="H9" i="33"/>
  <c r="F9" i="33"/>
  <c r="AA9" i="33" s="1"/>
  <c r="W27" i="35"/>
  <c r="J12" i="36"/>
  <c r="F12" i="36"/>
  <c r="H12" i="36"/>
  <c r="H34" i="36"/>
  <c r="J34" i="36"/>
  <c r="W34" i="36" s="1"/>
  <c r="J39" i="37"/>
  <c r="H39" i="37"/>
  <c r="F39" i="37"/>
  <c r="S39" i="37" s="1"/>
  <c r="H45" i="39"/>
  <c r="J45" i="39"/>
  <c r="W45" i="39" s="1"/>
  <c r="J38" i="40"/>
  <c r="F38" i="40"/>
  <c r="BL550" i="3"/>
  <c r="BL16" i="3"/>
  <c r="AZ16" i="3" s="1"/>
  <c r="AZ419" i="3"/>
  <c r="BA392" i="3"/>
  <c r="AZ392" i="3" s="1"/>
  <c r="G587" i="3"/>
  <c r="BA551" i="3"/>
  <c r="AZ551" i="3" s="1"/>
  <c r="BA550" i="3"/>
  <c r="AZ550" i="3" s="1"/>
  <c r="BL548" i="3"/>
  <c r="AZ548" i="3" s="1"/>
  <c r="G399" i="3"/>
  <c r="BA402" i="3"/>
  <c r="AZ402" i="3" s="1"/>
  <c r="BA403" i="3"/>
  <c r="G407" i="3"/>
  <c r="BL407" i="3"/>
  <c r="AZ407" i="3" s="1"/>
  <c r="BL410" i="3"/>
  <c r="G412" i="3"/>
  <c r="BL413" i="3"/>
  <c r="G416" i="3"/>
  <c r="BL417" i="3"/>
  <c r="BL418" i="3"/>
  <c r="BL428" i="3"/>
  <c r="BL429" i="3"/>
  <c r="BL433" i="3"/>
  <c r="BL434" i="3"/>
  <c r="G436" i="3"/>
  <c r="BA439" i="3"/>
  <c r="BA440" i="3"/>
  <c r="AZ440" i="3" s="1"/>
  <c r="BA443" i="3"/>
  <c r="AZ443" i="3" s="1"/>
  <c r="BA445" i="3"/>
  <c r="BA447" i="3"/>
  <c r="AZ447" i="3" s="1"/>
  <c r="BA451" i="3"/>
  <c r="BL455" i="3"/>
  <c r="G456" i="3"/>
  <c r="BL456" i="3"/>
  <c r="G466" i="3"/>
  <c r="G467" i="3"/>
  <c r="BL467" i="3"/>
  <c r="BL468" i="3"/>
  <c r="BL472" i="3"/>
  <c r="G473" i="3"/>
  <c r="BL473" i="3"/>
  <c r="AZ473" i="3" s="1"/>
  <c r="BL474" i="3"/>
  <c r="G475" i="3"/>
  <c r="BA485" i="3"/>
  <c r="G490" i="3"/>
  <c r="BL316" i="3"/>
  <c r="BL340" i="3"/>
  <c r="AZ340" i="3" s="1"/>
  <c r="BL585" i="3"/>
  <c r="G558" i="3"/>
  <c r="BA400" i="3"/>
  <c r="AZ400" i="3" s="1"/>
  <c r="BL401" i="3"/>
  <c r="BA406" i="3"/>
  <c r="AZ406" i="3" s="1"/>
  <c r="BL411" i="3"/>
  <c r="BA420" i="3"/>
  <c r="BA421" i="3"/>
  <c r="BA423" i="3"/>
  <c r="AZ423" i="3" s="1"/>
  <c r="BL430" i="3"/>
  <c r="G431" i="3"/>
  <c r="BL431" i="3"/>
  <c r="G433" i="3"/>
  <c r="G441" i="3"/>
  <c r="G448" i="3"/>
  <c r="AZ458" i="3"/>
  <c r="AZ462" i="3"/>
  <c r="G464" i="3"/>
  <c r="BL469" i="3"/>
  <c r="AZ469" i="3" s="1"/>
  <c r="G470" i="3"/>
  <c r="BL470" i="3"/>
  <c r="G472" i="3"/>
  <c r="G478" i="3"/>
  <c r="BA385" i="3"/>
  <c r="BA398" i="3"/>
  <c r="BA399" i="3"/>
  <c r="AZ399" i="3" s="1"/>
  <c r="BA401" i="3"/>
  <c r="AZ401" i="3" s="1"/>
  <c r="G404" i="3"/>
  <c r="BL404" i="3"/>
  <c r="AZ404" i="3" s="1"/>
  <c r="BL405" i="3"/>
  <c r="AZ405" i="3" s="1"/>
  <c r="BL408" i="3"/>
  <c r="BA413" i="3"/>
  <c r="BA414" i="3"/>
  <c r="BA415" i="3"/>
  <c r="AZ415" i="3" s="1"/>
  <c r="BA416" i="3"/>
  <c r="AZ416" i="3" s="1"/>
  <c r="BA418" i="3"/>
  <c r="AZ418" i="3" s="1"/>
  <c r="BA422" i="3"/>
  <c r="BA441" i="3"/>
  <c r="BA449" i="3"/>
  <c r="BL451" i="3"/>
  <c r="G452" i="3"/>
  <c r="BL452" i="3"/>
  <c r="G454" i="3"/>
  <c r="BA464" i="3"/>
  <c r="G477" i="3"/>
  <c r="G481" i="3"/>
  <c r="G492" i="3"/>
  <c r="BL245" i="3"/>
  <c r="AZ245" i="3" s="1"/>
  <c r="BA252" i="3"/>
  <c r="AZ252" i="3" s="1"/>
  <c r="BA257" i="3"/>
  <c r="AZ257" i="3" s="1"/>
  <c r="BA258" i="3"/>
  <c r="BA262" i="3"/>
  <c r="AZ262" i="3" s="1"/>
  <c r="BA265" i="3"/>
  <c r="AZ265" i="3" s="1"/>
  <c r="BL266" i="3"/>
  <c r="BL269" i="3"/>
  <c r="BL398" i="3"/>
  <c r="G402" i="3"/>
  <c r="BL403" i="3"/>
  <c r="G405" i="3"/>
  <c r="G406" i="3"/>
  <c r="BA408" i="3"/>
  <c r="BA409" i="3"/>
  <c r="AZ409" i="3" s="1"/>
  <c r="BA411" i="3"/>
  <c r="AZ411" i="3" s="1"/>
  <c r="BL414" i="3"/>
  <c r="BL415" i="3"/>
  <c r="BA417" i="3"/>
  <c r="AZ417" i="3" s="1"/>
  <c r="BL421" i="3"/>
  <c r="BL422" i="3"/>
  <c r="BL425" i="3"/>
  <c r="BL426" i="3"/>
  <c r="BA428" i="3"/>
  <c r="AZ428" i="3" s="1"/>
  <c r="BA429" i="3"/>
  <c r="AZ429" i="3" s="1"/>
  <c r="BA430" i="3"/>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A237" i="3"/>
  <c r="AZ237" i="3" s="1"/>
  <c r="BA240" i="3"/>
  <c r="AZ240" i="3" s="1"/>
  <c r="BA241" i="3"/>
  <c r="AZ241" i="3" s="1"/>
  <c r="BL241" i="3"/>
  <c r="BA255" i="3"/>
  <c r="BA256" i="3"/>
  <c r="BL256" i="3"/>
  <c r="BL259" i="3"/>
  <c r="BL264" i="3"/>
  <c r="BL267" i="3"/>
  <c r="BA425" i="3"/>
  <c r="AZ425" i="3" s="1"/>
  <c r="BA426" i="3"/>
  <c r="BA427" i="3"/>
  <c r="AZ427" i="3" s="1"/>
  <c r="BA433" i="3"/>
  <c r="AZ433" i="3" s="1"/>
  <c r="BA435" i="3"/>
  <c r="AZ435" i="3" s="1"/>
  <c r="BL437" i="3"/>
  <c r="AZ437" i="3" s="1"/>
  <c r="G439" i="3"/>
  <c r="BL441" i="3"/>
  <c r="BL442" i="3"/>
  <c r="BL444" i="3"/>
  <c r="AZ444" i="3" s="1"/>
  <c r="G446" i="3"/>
  <c r="BL448" i="3"/>
  <c r="AZ448" i="3" s="1"/>
  <c r="G450" i="3"/>
  <c r="BA454" i="3"/>
  <c r="AZ454" i="3" s="1"/>
  <c r="BA457" i="3"/>
  <c r="AZ457" i="3" s="1"/>
  <c r="BA459" i="3"/>
  <c r="AZ459" i="3" s="1"/>
  <c r="BA460" i="3"/>
  <c r="AZ460" i="3" s="1"/>
  <c r="BA461" i="3"/>
  <c r="AZ461" i="3" s="1"/>
  <c r="BL464" i="3"/>
  <c r="BL466" i="3"/>
  <c r="AZ466" i="3" s="1"/>
  <c r="G468"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A273" i="3"/>
  <c r="AZ273" i="3" s="1"/>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5" i="3"/>
  <c r="AZ25" i="3" s="1"/>
  <c r="BA26" i="3"/>
  <c r="BL28" i="3"/>
  <c r="BA29" i="3"/>
  <c r="G38" i="3"/>
  <c r="BA38" i="3"/>
  <c r="G47" i="3"/>
  <c r="BL48" i="3"/>
  <c r="BA55" i="3"/>
  <c r="AZ55" i="3" s="1"/>
  <c r="C44" i="71"/>
  <c r="D43" i="7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L52" i="3"/>
  <c r="BA53" i="3"/>
  <c r="BA54" i="3"/>
  <c r="C47" i="71"/>
  <c r="D47" i="71" s="1"/>
  <c r="D46" i="71"/>
  <c r="V24" i="71"/>
  <c r="E23" i="71"/>
  <c r="E22" i="71" s="1"/>
  <c r="E21" i="71" s="1"/>
  <c r="E20" i="71" s="1"/>
  <c r="BA277" i="3"/>
  <c r="AZ277" i="3" s="1"/>
  <c r="BL277" i="3"/>
  <c r="BA282" i="3"/>
  <c r="BL282" i="3"/>
  <c r="BA284" i="3"/>
  <c r="AZ284" i="3" s="1"/>
  <c r="BL290" i="3"/>
  <c r="BL291" i="3"/>
  <c r="AZ291" i="3" s="1"/>
  <c r="BL293" i="3"/>
  <c r="BL294" i="3"/>
  <c r="AZ294" i="3" s="1"/>
  <c r="BA297" i="3"/>
  <c r="BL297" i="3"/>
  <c r="BL300" i="3"/>
  <c r="BA302" i="3"/>
  <c r="AZ302" i="3" s="1"/>
  <c r="BA117" i="3"/>
  <c r="BA130" i="3"/>
  <c r="BL130" i="3"/>
  <c r="AZ137" i="3"/>
  <c r="AZ52" i="3"/>
  <c r="D31" i="71"/>
  <c r="C32" i="71"/>
  <c r="C52" i="71"/>
  <c r="D51" i="71"/>
  <c r="C55" i="71"/>
  <c r="D54" i="71"/>
  <c r="N67" i="71"/>
  <c r="B66" i="71"/>
  <c r="F66" i="71"/>
  <c r="Q67" i="7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BA33" i="3"/>
  <c r="AZ38" i="3"/>
  <c r="AZ64" i="3"/>
  <c r="S21" i="33"/>
  <c r="S21" i="37"/>
  <c r="B77" i="43"/>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G37" i="3"/>
  <c r="BL40" i="3"/>
  <c r="BL41" i="3"/>
  <c r="AZ41" i="3" s="1"/>
  <c r="BL45" i="3"/>
  <c r="BA48" i="3"/>
  <c r="BA49" i="3"/>
  <c r="BA51" i="3"/>
  <c r="G55" i="3"/>
  <c r="BL56" i="3"/>
  <c r="BA58" i="3"/>
  <c r="BL59" i="3"/>
  <c r="AZ59" i="3" s="1"/>
  <c r="BL60" i="3"/>
  <c r="BA61" i="3"/>
  <c r="AZ61" i="3" s="1"/>
  <c r="BA68" i="3"/>
  <c r="BA73" i="3"/>
  <c r="BA80" i="3"/>
  <c r="BL84" i="3"/>
  <c r="BA89" i="3"/>
  <c r="G103" i="3"/>
  <c r="BA103" i="3"/>
  <c r="AZ103" i="3" s="1"/>
  <c r="BA104" i="3"/>
  <c r="BA106" i="3"/>
  <c r="BL108" i="3"/>
  <c r="AZ108" i="3" s="1"/>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33" i="3"/>
  <c r="G34" i="3"/>
  <c r="BA37" i="3"/>
  <c r="G39" i="3"/>
  <c r="BL39" i="3"/>
  <c r="AZ39" i="3" s="1"/>
  <c r="G43" i="3"/>
  <c r="G44" i="3"/>
  <c r="BA45" i="3"/>
  <c r="AZ45" i="3" s="1"/>
  <c r="BA46" i="3"/>
  <c r="BL49" i="3"/>
  <c r="BL50" i="3"/>
  <c r="AZ50" i="3" s="1"/>
  <c r="BL51" i="3"/>
  <c r="G53" i="3"/>
  <c r="BL53" i="3"/>
  <c r="BA56" i="3"/>
  <c r="BA57" i="3"/>
  <c r="BL58" i="3"/>
  <c r="G60" i="3"/>
  <c r="BA60" i="3"/>
  <c r="BA63" i="3"/>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L94" i="3"/>
  <c r="AZ94" i="3" s="1"/>
  <c r="BA100" i="3"/>
  <c r="AZ100" i="3" s="1"/>
  <c r="BA102" i="3"/>
  <c r="AZ102" i="3" s="1"/>
  <c r="BL105" i="3"/>
  <c r="AZ105" i="3" s="1"/>
  <c r="G107" i="3"/>
  <c r="BA111" i="3"/>
  <c r="AZ111" i="3"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67"/>
  <c r="F71" i="67"/>
  <c r="C27" i="15"/>
  <c r="F65" i="15"/>
  <c r="B13" i="70"/>
  <c r="F68" i="67"/>
  <c r="F68" i="15"/>
  <c r="C36" i="68"/>
  <c r="D9" i="68"/>
  <c r="F27" i="69"/>
  <c r="C36" i="69"/>
  <c r="D9" i="69"/>
  <c r="M24" i="67"/>
  <c r="C16" i="15"/>
  <c r="D7" i="73"/>
  <c r="D3" i="73"/>
  <c r="F8" i="67"/>
  <c r="L47" i="67"/>
  <c r="D5" i="73"/>
  <c r="F38" i="67"/>
  <c r="M26" i="67"/>
  <c r="J15" i="67"/>
  <c r="M28" i="67"/>
  <c r="F9" i="67"/>
  <c r="M23" i="67"/>
  <c r="C76" i="67"/>
  <c r="C16" i="67"/>
  <c r="M29" i="67"/>
  <c r="M22" i="67"/>
  <c r="F37" i="67"/>
  <c r="F7" i="67"/>
  <c r="F36" i="67"/>
  <c r="F42" i="67"/>
  <c r="L48" i="67"/>
  <c r="D4" i="73"/>
  <c r="M8" i="67"/>
  <c r="M9" i="67"/>
  <c r="C30" i="68" l="1"/>
  <c r="C48" i="68"/>
  <c r="C30" i="11"/>
  <c r="N94" i="46"/>
  <c r="G26" i="43"/>
  <c r="K16" i="1"/>
  <c r="F26" i="43"/>
  <c r="E63" i="39"/>
  <c r="E59" i="40"/>
  <c r="F30" i="6"/>
  <c r="N370" i="46"/>
  <c r="E10" i="6"/>
  <c r="P6" i="1"/>
  <c r="C13" i="12" s="1"/>
  <c r="E11" i="6"/>
  <c r="E60" i="39" s="1"/>
  <c r="J26" i="43"/>
  <c r="E15" i="6"/>
  <c r="E64" i="39" s="1"/>
  <c r="E26" i="43"/>
  <c r="J7" i="36"/>
  <c r="F50" i="67"/>
  <c r="M7" i="67"/>
  <c r="J6" i="67" s="1"/>
  <c r="J18" i="67" s="1"/>
  <c r="F31" i="67"/>
  <c r="Q71" i="67"/>
  <c r="F51" i="67"/>
  <c r="C6" i="67"/>
  <c r="C32" i="67" s="1"/>
  <c r="F66" i="67"/>
  <c r="L58" i="67"/>
  <c r="Q73" i="67" s="1"/>
  <c r="N59" i="67"/>
  <c r="M59" i="67"/>
  <c r="L59" i="67"/>
  <c r="Q74" i="67" s="1"/>
  <c r="F65" i="67"/>
  <c r="F64" i="67"/>
  <c r="L56" i="67"/>
  <c r="J53" i="67"/>
  <c r="Q52" i="67" s="1"/>
  <c r="I54" i="67"/>
  <c r="J57" i="67"/>
  <c r="J55" i="67" s="1"/>
  <c r="J58" i="67" s="1"/>
  <c r="Q50" i="67" s="1"/>
  <c r="T28" i="71"/>
  <c r="D28" i="71"/>
  <c r="U28" i="71" s="1"/>
  <c r="C27" i="71"/>
  <c r="D79" i="71"/>
  <c r="C78" i="71"/>
  <c r="D78" i="71" s="1"/>
  <c r="AZ51" i="3"/>
  <c r="T52" i="71"/>
  <c r="D52" i="71"/>
  <c r="D44" i="71"/>
  <c r="T44" i="71"/>
  <c r="AZ464" i="3"/>
  <c r="AZ413" i="3"/>
  <c r="AZ421" i="3"/>
  <c r="AA38" i="40"/>
  <c r="S38" i="40"/>
  <c r="AB34" i="36"/>
  <c r="U34" i="36"/>
  <c r="W28" i="21"/>
  <c r="AC28" i="21"/>
  <c r="AA28" i="21"/>
  <c r="S28" i="21"/>
  <c r="U44" i="39"/>
  <c r="AB44" i="39"/>
  <c r="W14" i="21"/>
  <c r="AC14" i="21"/>
  <c r="AC24" i="36"/>
  <c r="W24" i="36"/>
  <c r="U27" i="33"/>
  <c r="AB27" i="33"/>
  <c r="AZ585" i="3"/>
  <c r="D83" i="71"/>
  <c r="C82" i="71"/>
  <c r="D82" i="71" s="1"/>
  <c r="O65" i="71"/>
  <c r="D66" i="71"/>
  <c r="O66" i="71"/>
  <c r="AZ58" i="3"/>
  <c r="AZ49" i="3"/>
  <c r="C36" i="71"/>
  <c r="D35" i="71"/>
  <c r="T32" i="71"/>
  <c r="D32" i="71"/>
  <c r="AC38" i="40"/>
  <c r="W38" i="40"/>
  <c r="AB39" i="37"/>
  <c r="U39" i="37"/>
  <c r="AB12" i="36"/>
  <c r="U12" i="36"/>
  <c r="AB30" i="21"/>
  <c r="U30" i="21"/>
  <c r="U14" i="21"/>
  <c r="AB14" i="21"/>
  <c r="AZ586" i="3"/>
  <c r="AZ66" i="3"/>
  <c r="C40" i="71"/>
  <c r="D39" i="71"/>
  <c r="C56" i="71"/>
  <c r="D55" i="71"/>
  <c r="AZ130" i="3"/>
  <c r="AZ282" i="3"/>
  <c r="AZ53" i="3"/>
  <c r="AZ249" i="3"/>
  <c r="AZ29" i="3"/>
  <c r="AZ21" i="3"/>
  <c r="AZ5" i="3" s="1"/>
  <c r="AZ229" i="3"/>
  <c r="AZ218" i="3"/>
  <c r="AZ256" i="3"/>
  <c r="AZ223" i="3"/>
  <c r="AZ441" i="3"/>
  <c r="AZ403" i="3"/>
  <c r="AC39" i="37"/>
  <c r="W39" i="37"/>
  <c r="AA12" i="36"/>
  <c r="S12" i="36"/>
  <c r="AB9" i="33"/>
  <c r="U9" i="33"/>
  <c r="W12" i="35"/>
  <c r="AC12" i="35"/>
  <c r="S26" i="33"/>
  <c r="AA26" i="33"/>
  <c r="S12" i="40"/>
  <c r="AA12" i="40"/>
  <c r="AA44" i="39"/>
  <c r="S44" i="39"/>
  <c r="W30" i="21"/>
  <c r="AC30" i="21"/>
  <c r="AA24" i="36"/>
  <c r="S24" i="36"/>
  <c r="AZ587" i="3"/>
  <c r="G5" i="3"/>
  <c r="B3" i="3" s="1"/>
  <c r="E539" i="3" s="1"/>
  <c r="AZ63" i="3"/>
  <c r="AZ57" i="3"/>
  <c r="C70" i="71"/>
  <c r="D70" i="71" s="1"/>
  <c r="D71" i="71"/>
  <c r="AZ121" i="3"/>
  <c r="AZ274" i="3"/>
  <c r="N65" i="71"/>
  <c r="N66" i="71"/>
  <c r="AZ297" i="3"/>
  <c r="AZ178" i="3"/>
  <c r="AZ118" i="3"/>
  <c r="AZ368" i="3"/>
  <c r="AZ430" i="3"/>
  <c r="AZ408" i="3"/>
  <c r="AZ422" i="3"/>
  <c r="AZ414" i="3"/>
  <c r="AZ398" i="3"/>
  <c r="AZ451" i="3"/>
  <c r="AB45" i="39"/>
  <c r="U45" i="39"/>
  <c r="W12" i="36"/>
  <c r="AC12" i="36"/>
  <c r="AC12" i="40"/>
  <c r="W12" i="40"/>
  <c r="AC26" i="33"/>
  <c r="W26" i="33"/>
  <c r="AB28" i="21"/>
  <c r="U28" i="21"/>
  <c r="W44" i="39"/>
  <c r="AC44" i="39"/>
  <c r="S30" i="21"/>
  <c r="AA30" i="21"/>
  <c r="AB24" i="36"/>
  <c r="U24" i="36"/>
  <c r="G16" i="1"/>
  <c r="F10" i="39" s="1"/>
  <c r="AA10" i="39" s="1"/>
  <c r="J7" i="37"/>
  <c r="K1" i="73"/>
  <c r="E199" i="3"/>
  <c r="E541" i="3"/>
  <c r="E435" i="3"/>
  <c r="E56" i="3"/>
  <c r="E192" i="3"/>
  <c r="E363" i="3"/>
  <c r="E76" i="3"/>
  <c r="E425" i="3"/>
  <c r="E103" i="3"/>
  <c r="E300" i="3"/>
  <c r="E310" i="3"/>
  <c r="E23" i="3"/>
  <c r="E144" i="3"/>
  <c r="E233" i="3"/>
  <c r="E381" i="3"/>
  <c r="E264" i="3"/>
  <c r="E309" i="3"/>
  <c r="E21" i="3"/>
  <c r="E332" i="3"/>
  <c r="AL6" i="3"/>
  <c r="E75" i="3"/>
  <c r="E129" i="3"/>
  <c r="E235" i="3"/>
  <c r="E522" i="3"/>
  <c r="E251" i="3"/>
  <c r="E102" i="3"/>
  <c r="E287" i="3"/>
  <c r="E22" i="3"/>
  <c r="E140" i="3"/>
  <c r="E173" i="3"/>
  <c r="E534" i="3"/>
  <c r="E405" i="3"/>
  <c r="E469" i="3"/>
  <c r="E408" i="3"/>
  <c r="E360" i="3"/>
  <c r="E497" i="3"/>
  <c r="E452" i="3"/>
  <c r="E420" i="3"/>
  <c r="E104" i="3"/>
  <c r="E11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C28" i="43" l="1"/>
  <c r="T11" i="43" s="1"/>
  <c r="V11" i="43" s="1"/>
  <c r="D26" i="43"/>
  <c r="C25" i="43" s="1"/>
  <c r="C49" i="67"/>
  <c r="F1" i="67"/>
  <c r="Q60" i="67"/>
  <c r="Q61" i="67"/>
  <c r="S10" i="39"/>
  <c r="H10" i="40"/>
  <c r="AB10" i="40" s="1"/>
  <c r="J10" i="40"/>
  <c r="AC10" i="40" s="1"/>
  <c r="E64" i="3"/>
  <c r="E389" i="3"/>
  <c r="E95" i="3"/>
  <c r="E554" i="3"/>
  <c r="E442" i="3"/>
  <c r="E536" i="3"/>
  <c r="H6" i="3"/>
  <c r="I3" i="6"/>
  <c r="R6" i="3"/>
  <c r="E510" i="3"/>
  <c r="E34" i="3"/>
  <c r="E18" i="3"/>
  <c r="E198" i="3"/>
  <c r="E63" i="3"/>
  <c r="E67" i="3"/>
  <c r="E267" i="3"/>
  <c r="E409" i="3"/>
  <c r="E241" i="3"/>
  <c r="E417" i="3"/>
  <c r="E449" i="3"/>
  <c r="E575" i="3"/>
  <c r="J5" i="67"/>
  <c r="J24" i="67" s="1"/>
  <c r="M17" i="67"/>
  <c r="F10" i="40"/>
  <c r="S10" i="40" s="1"/>
  <c r="H10" i="39"/>
  <c r="U10" i="39" s="1"/>
  <c r="J10" i="39"/>
  <c r="W10" i="39" s="1"/>
  <c r="F59" i="67"/>
  <c r="AY6" i="3"/>
  <c r="AY51" i="3" s="1"/>
  <c r="E3" i="6"/>
  <c r="C26" i="71"/>
  <c r="D26" i="71" s="1"/>
  <c r="D27" i="71"/>
  <c r="V36" i="36"/>
  <c r="I36" i="36" s="1"/>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D36" i="71"/>
  <c r="T36" i="71"/>
  <c r="E41" i="3"/>
  <c r="E470" i="3"/>
  <c r="E556" i="3"/>
  <c r="E512" i="3"/>
  <c r="T6" i="3"/>
  <c r="E197" i="3"/>
  <c r="E308" i="3"/>
  <c r="AF6" i="3"/>
  <c r="AC6" i="3" s="1"/>
  <c r="E86" i="3"/>
  <c r="E174" i="3"/>
  <c r="E482" i="3"/>
  <c r="E391" i="3"/>
  <c r="E494" i="3"/>
  <c r="E283" i="3"/>
  <c r="E68" i="3"/>
  <c r="E184" i="3"/>
  <c r="E84" i="3"/>
  <c r="E371" i="3"/>
  <c r="E160" i="3"/>
  <c r="E467" i="3"/>
  <c r="E59" i="3"/>
  <c r="E349" i="3"/>
  <c r="E258" i="3"/>
  <c r="E37" i="3"/>
  <c r="E491" i="3"/>
  <c r="AP6" i="3"/>
  <c r="E430" i="3"/>
  <c r="E502" i="3"/>
  <c r="E286"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66" i="3"/>
  <c r="AY34" i="3"/>
  <c r="AY23" i="3"/>
  <c r="AY176" i="3"/>
  <c r="AY144" i="3"/>
  <c r="AY155" i="3"/>
  <c r="AY115" i="3"/>
  <c r="AY95" i="3"/>
  <c r="AY59" i="3"/>
  <c r="AY188" i="3"/>
  <c r="AY152" i="3"/>
  <c r="AY131" i="3"/>
  <c r="AY276" i="3"/>
  <c r="AY111" i="3"/>
  <c r="AY58" i="3"/>
  <c r="AY297" i="3"/>
  <c r="AY253" i="3"/>
  <c r="AY268" i="3"/>
  <c r="AY225" i="3"/>
  <c r="AY382" i="3"/>
  <c r="AY371" i="3"/>
  <c r="AY335" i="3"/>
  <c r="AY303" i="3"/>
  <c r="AY103" i="3"/>
  <c r="AY50" i="3"/>
  <c r="AY196" i="3"/>
  <c r="AY160" i="3"/>
  <c r="AY289" i="3"/>
  <c r="AY74" i="3"/>
  <c r="AY183" i="3"/>
  <c r="AY261" i="3"/>
  <c r="AY204" i="3"/>
  <c r="AY284" i="3"/>
  <c r="AY209" i="3"/>
  <c r="AY363" i="3"/>
  <c r="AY319" i="3"/>
  <c r="AY473" i="3"/>
  <c r="AY470" i="3"/>
  <c r="AY460" i="3"/>
  <c r="AY441" i="3"/>
  <c r="AY409" i="3"/>
  <c r="AY529" i="3"/>
  <c r="AY26" i="3"/>
  <c r="AY180" i="3"/>
  <c r="AY300" i="3"/>
  <c r="AY260" i="3"/>
  <c r="AY228" i="3"/>
  <c r="AY217" i="3"/>
  <c r="AY372" i="3"/>
  <c r="AY358" i="3"/>
  <c r="AY327" i="3"/>
  <c r="AY310" i="3"/>
  <c r="AY465" i="3"/>
  <c r="AY463" i="3"/>
  <c r="AY420" i="3"/>
  <c r="AY433" i="3"/>
  <c r="AY401" i="3"/>
  <c r="AY549" i="3"/>
  <c r="BK6" i="3"/>
  <c r="AY544" i="3"/>
  <c r="AY533" i="3"/>
  <c r="AY541" i="3"/>
  <c r="BE6" i="3"/>
  <c r="AY97" i="3"/>
  <c r="AY108" i="3"/>
  <c r="AY92" i="3"/>
  <c r="AY61" i="3"/>
  <c r="AY45" i="3"/>
  <c r="AY76" i="3"/>
  <c r="AY44" i="3"/>
  <c r="AY28" i="3"/>
  <c r="AY33" i="3"/>
  <c r="AY190" i="3"/>
  <c r="AY201" i="3"/>
  <c r="AY185" i="3"/>
  <c r="AY154" i="3"/>
  <c r="AY138" i="3"/>
  <c r="AY165" i="3"/>
  <c r="AY133" i="3"/>
  <c r="AY118" i="3"/>
  <c r="AY125" i="3"/>
  <c r="AY283" i="3"/>
  <c r="AY294" i="3"/>
  <c r="AY278" i="3"/>
  <c r="AY247" i="3"/>
  <c r="AY231" i="3"/>
  <c r="AY262" i="3"/>
  <c r="AY230" i="3"/>
  <c r="AY214" i="3"/>
  <c r="AY219" i="3"/>
  <c r="AY397" i="3"/>
  <c r="AY381" i="3"/>
  <c r="AY374"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M27" i="15"/>
  <c r="M27" i="67"/>
  <c r="F41" i="15"/>
  <c r="C39" i="43" l="1"/>
  <c r="G39" i="43" s="1"/>
  <c r="I39" i="43" s="1"/>
  <c r="T2" i="43"/>
  <c r="V2" i="43" s="1"/>
  <c r="T8" i="43"/>
  <c r="V8" i="43" s="1"/>
  <c r="C42" i="43"/>
  <c r="E42" i="43" s="1"/>
  <c r="T7" i="43"/>
  <c r="V7" i="43" s="1"/>
  <c r="C37" i="43"/>
  <c r="G37" i="43" s="1"/>
  <c r="I37" i="43" s="1"/>
  <c r="T13" i="43"/>
  <c r="V13" i="43" s="1"/>
  <c r="C40" i="43"/>
  <c r="E40" i="43" s="1"/>
  <c r="T10" i="43"/>
  <c r="V10" i="43" s="1"/>
  <c r="T15" i="43"/>
  <c r="V15" i="43" s="1"/>
  <c r="T6" i="43"/>
  <c r="V6" i="43" s="1"/>
  <c r="T16" i="43"/>
  <c r="V16" i="43" s="1"/>
  <c r="C33" i="43"/>
  <c r="C34" i="43" s="1"/>
  <c r="E34" i="43" s="1"/>
  <c r="T3" i="43"/>
  <c r="V3" i="43" s="1"/>
  <c r="T12" i="43"/>
  <c r="V12" i="43" s="1"/>
  <c r="T9" i="43"/>
  <c r="V9" i="43" s="1"/>
  <c r="C41" i="43"/>
  <c r="G41" i="43" s="1"/>
  <c r="I41" i="43" s="1"/>
  <c r="T5" i="43"/>
  <c r="V5" i="43" s="1"/>
  <c r="T4" i="43"/>
  <c r="V4" i="43" s="1"/>
  <c r="T14" i="43"/>
  <c r="V14" i="43" s="1"/>
  <c r="C48" i="67"/>
  <c r="C60" i="67" s="1"/>
  <c r="F25" i="12"/>
  <c r="C26" i="12" s="1"/>
  <c r="D25" i="12" s="1"/>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37" i="43"/>
  <c r="G38" i="43"/>
  <c r="I38" i="43" s="1"/>
  <c r="E38" i="43"/>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D10" i="69"/>
  <c r="C34" i="69"/>
  <c r="F41" i="67"/>
  <c r="C17" i="67"/>
  <c r="C17" i="15"/>
  <c r="C14" i="67"/>
  <c r="E39" i="43" l="1"/>
  <c r="E33" i="43"/>
  <c r="G42" i="43"/>
  <c r="I42" i="43" s="1"/>
  <c r="E41" i="43"/>
  <c r="C66" i="67"/>
  <c r="G40" i="43"/>
  <c r="I40" i="43" s="1"/>
  <c r="F69" i="67"/>
  <c r="B29" i="1"/>
  <c r="C8" i="68" s="1"/>
  <c r="C5" i="68" s="1"/>
  <c r="C23" i="68" s="1"/>
  <c r="C44" i="11"/>
  <c r="D41" i="11" s="1"/>
  <c r="E53" i="34"/>
  <c r="F53" i="34" s="1"/>
  <c r="C26" i="11"/>
  <c r="D22" i="11" s="1"/>
  <c r="C26" i="68"/>
  <c r="D22" i="68" s="1"/>
  <c r="F41" i="68"/>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B2" i="43" s="1"/>
  <c r="C31" i="43"/>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B6" i="76"/>
  <c r="E6" i="76"/>
  <c r="B2" i="76" l="1"/>
  <c r="B3" i="43"/>
  <c r="E2" i="76"/>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3" i="76" l="1"/>
  <c r="C27" i="12"/>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19" i="9"/>
  <c r="C19" i="9"/>
  <c r="D2" i="37"/>
  <c r="D2" i="34"/>
  <c r="D2" i="35"/>
  <c r="D102" i="9" l="1"/>
  <c r="D21" i="9"/>
  <c r="D22" i="9"/>
  <c r="G19" i="9"/>
  <c r="G21" i="9" s="1"/>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11" i="1"/>
  <c r="C20" i="9"/>
  <c r="D20" i="9"/>
  <c r="AO9" i="1"/>
  <c r="AO8" i="1"/>
  <c r="AO6" i="1"/>
  <c r="AO7" i="1"/>
  <c r="D103" i="9" l="1"/>
  <c r="C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E97" i="9" l="1"/>
  <c r="E96" i="9"/>
  <c r="C96" i="9"/>
  <c r="C73" i="9"/>
  <c r="C78" i="9"/>
  <c r="B53" i="72"/>
  <c r="F5" i="52"/>
  <c r="F119" i="9"/>
  <c r="C86" i="9"/>
  <c r="C93" i="9"/>
  <c r="D9" i="52"/>
  <c r="D123" i="9"/>
  <c r="B32" i="72"/>
  <c r="D14" i="53"/>
  <c r="C80" i="9"/>
  <c r="E80" i="9"/>
  <c r="E81" i="9"/>
  <c r="D54" i="9"/>
  <c r="C68" i="9"/>
  <c r="B31" i="72"/>
  <c r="D15" i="53"/>
  <c r="B20" i="72"/>
  <c r="M55" i="9"/>
  <c r="C64" i="9"/>
  <c r="C63" i="9"/>
  <c r="C67" i="9"/>
  <c r="D59" i="9"/>
  <c r="C5" i="74"/>
  <c r="B51" i="72"/>
  <c r="F4" i="52"/>
  <c r="C105" i="9"/>
  <c r="I4" i="52"/>
  <c r="D122" i="9"/>
  <c r="D8" i="52"/>
  <c r="H4" i="52"/>
  <c r="C104" i="9"/>
  <c r="N58" i="9"/>
  <c r="P57" i="9"/>
  <c r="C72" i="9"/>
  <c r="C79" i="9"/>
  <c r="C81" i="9"/>
  <c r="D13" i="53"/>
  <c r="B30" i="72"/>
  <c r="M48" i="9"/>
  <c r="C85" i="9"/>
  <c r="C95" i="9"/>
  <c r="C97" i="9"/>
  <c r="D58" i="9"/>
  <c r="D56" i="9"/>
  <c r="M54" i="9"/>
  <c r="N61" i="9"/>
  <c r="D55" i="9"/>
  <c r="M53" i="9"/>
  <c r="N57" i="9"/>
  <c r="N59" i="9"/>
  <c r="N60" i="9"/>
  <c r="H107" i="9"/>
  <c r="H108" i="9"/>
  <c r="C6" i="74"/>
  <c r="D5" i="53"/>
  <c r="D6" i="53"/>
  <c r="B22" i="72"/>
  <c r="D53" i="9"/>
  <c r="H101" i="9"/>
  <c r="D45" i="9"/>
  <c r="D52" i="9"/>
  <c r="F118" i="9"/>
  <c r="G118" i="9"/>
  <c r="G4" i="52"/>
  <c r="B52" i="72"/>
  <c r="D4" i="52"/>
  <c r="B47" i="72"/>
  <c r="E4" i="52"/>
  <c r="B48" i="72"/>
  <c r="E118" i="9"/>
  <c r="D118" i="9"/>
  <c r="D119" i="9"/>
  <c r="D5" i="52"/>
  <c r="B49" i="72"/>
  <c r="H119" i="9"/>
  <c r="H5" i="52"/>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<sst xmlns="http://schemas.openxmlformats.org/spreadsheetml/2006/main" count="8380" uniqueCount="3645">
  <si>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</si>
  <si>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</si>
  <si>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</si>
  <si>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</si>
  <si>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</si>
  <si>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</si>
  <si>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</si>
  <si>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</si>
  <si>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</si>
  <si>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</si>
  <si>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</si>
  <si>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</si>
  <si>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</si>
  <si>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</si>
  <si>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</si>
  <si>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</si>
  <si>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</si>
  <si>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</si>
  <si>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</si>
  <si>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</si>
  <si>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</si>
  <si>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</si>
  <si>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</si>
  <si>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</si>
  <si>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</si>
  <si>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</si>
  <si>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</si>
  <si>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</si>
  <si>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</si>
  <si>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</si>
  <si>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</si>
  <si>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</si>
  <si>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</si>
  <si>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</si>
  <si>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</si>
  <si>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</si>
  <si>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</si>
  <si>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</si>
  <si>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</si>
  <si>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</si>
  <si>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</si>
  <si>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</si>
  <si>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</si>
  <si>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</si>
  <si>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</si>
  <si>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</si>
  <si>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</si>
  <si>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</si>
  <si>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</si>
  <si>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</si>
  <si>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</si>
  <si>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</si>
  <si>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</si>
  <si>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</si>
  <si>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</si>
  <si>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</si>
  <si>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</si>
  <si>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</si>
  <si>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</si>
  <si>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</si>
  <si>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</si>
  <si>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</si>
  <si>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</si>
  <si>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</si>
  <si>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</si>
  <si>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</si>
  <si>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</si>
  <si>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</si>
  <si>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</si>
  <si>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</si>
  <si>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</si>
  <si>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</si>
  <si>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</si>
  <si>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</si>
  <si>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</si>
  <si>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</si>
  <si>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</si>
  <si>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</si>
  <si>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</si>
  <si>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</si>
  <si>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</si>
  <si>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</si>
  <si>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</si>
  <si>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</si>
  <si>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</si>
  <si>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</si>
  <si>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</si>
  <si>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</si>
  <si>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</si>
  <si>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</si>
  <si>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</si>
  <si>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</si>
  <si>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</si>
  <si>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</si>
  <si>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</si>
  <si>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</si>
  <si>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</si>
  <si>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</si>
  <si>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</si>
  <si>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</si>
  <si>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</si>
  <si>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</si>
  <si>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</si>
  <si>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</si>
  <si>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</si>
  <si>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</si>
  <si>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</si>
  <si>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</si>
  <si>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</si>
  <si>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</si>
  <si>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</si>
  <si>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</si>
  <si>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</si>
  <si>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</si>
  <si>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</si>
  <si>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</si>
  <si>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</si>
  <si>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</si>
  <si>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</si>
  <si>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</si>
  <si>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</si>
  <si>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</si>
  <si>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</si>
  <si>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</si>
  <si>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</si>
  <si>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</si>
  <si>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</si>
  <si>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</si>
  <si>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</si>
  <si>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</si>
  <si>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</si>
  <si>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</si>
  <si>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</si>
  <si>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</si>
  <si>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</si>
  <si>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</si>
  <si>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</si>
  <si>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</si>
  <si>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</si>
  <si>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</si>
  <si>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</si>
  <si>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</si>
  <si>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</si>
  <si>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</si>
  <si>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</si>
  <si>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</si>
  <si>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</si>
  <si>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</si>
  <si>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</si>
  <si>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</si>
  <si>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</si>
  <si>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</si>
  <si>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</si>
  <si>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</si>
  <si>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</si>
  <si>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</si>
  <si>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</si>
  <si>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</si>
  <si>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</si>
  <si>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</si>
  <si>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</si>
  <si>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</si>
  <si>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</si>
  <si>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</si>
  <si>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</si>
  <si>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</si>
  <si>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</si>
  <si>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</si>
  <si>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</si>
  <si>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</si>
  <si>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</si>
  <si>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</si>
  <si>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</si>
  <si>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</si>
  <si>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</si>
  <si>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</si>
  <si>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</si>
  <si>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</si>
  <si>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</si>
  <si>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</si>
  <si>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</si>
  <si>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</si>
  <si>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</si>
  <si>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</si>
  <si>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</si>
  <si>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</si>
  <si>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</si>
  <si>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</si>
  <si>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</si>
  <si>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</si>
  <si>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</si>
  <si>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</si>
  <si>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</si>
  <si>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</si>
  <si>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</si>
  <si>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</si>
  <si>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</si>
  <si>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</si>
  <si>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</si>
  <si>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</si>
  <si>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</si>
  <si>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</si>
  <si>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</si>
  <si>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</si>
  <si>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</si>
  <si>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</si>
  <si>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</si>
  <si>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</si>
  <si>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</si>
  <si>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</si>
  <si>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</si>
  <si>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</si>
  <si>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</si>
  <si>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</si>
  <si>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</si>
  <si>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</si>
  <si>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</si>
  <si>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</si>
  <si>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</si>
  <si>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</si>
  <si>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</si>
  <si>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</si>
  <si>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</si>
  <si>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</si>
  <si>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</si>
  <si>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</si>
  <si>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</si>
  <si>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</si>
  <si>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</si>
  <si>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</si>
  <si>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</si>
  <si>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</si>
  <si>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</si>
  <si>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</si>
  <si>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</si>
  <si>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</si>
  <si>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</si>
  <si>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</si>
  <si>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</si>
  <si>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</si>
  <si>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</si>
  <si>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</si>
  <si>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</si>
  <si>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</si>
  <si>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</si>
  <si>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</si>
  <si>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</si>
  <si>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</si>
  <si>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</si>
  <si>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</si>
  <si>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</si>
  <si>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</si>
  <si>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</si>
  <si>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</si>
  <si>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</si>
  <si>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</si>
  <si>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</si>
  <si>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</si>
  <si>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</si>
  <si>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</si>
  <si>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</si>
  <si>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</si>
  <si>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</si>
  <si>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</si>
  <si>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</si>
  <si>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</si>
  <si>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</si>
  <si>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</si>
  <si>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</si>
  <si>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</si>
  <si>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</si>
  <si>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</si>
  <si>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</si>
  <si>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</si>
  <si>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</si>
  <si>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</si>
  <si>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</si>
  <si>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</si>
  <si>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</si>
  <si>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</si>
  <si>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</si>
  <si>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</si>
  <si>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</si>
  <si>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</si>
  <si>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</si>
  <si>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</si>
  <si>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</si>
  <si>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</si>
  <si>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</si>
  <si>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</si>
  <si>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</si>
  <si>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</si>
  <si>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</si>
  <si>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</si>
  <si>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</si>
  <si>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</si>
  <si>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</si>
  <si>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</si>
  <si>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</si>
  <si>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</si>
  <si>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</si>
  <si>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</si>
  <si>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</si>
  <si>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</si>
  <si>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</si>
  <si>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</si>
  <si>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</si>
  <si>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</si>
  <si>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</si>
  <si>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</si>
  <si>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</si>
  <si>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</si>
  <si>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</si>
  <si>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</si>
  <si>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</si>
  <si>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</si>
  <si>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</si>
  <si>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</si>
  <si>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</si>
  <si>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</si>
  <si>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</si>
  <si>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</si>
  <si>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</si>
  <si>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</si>
  <si>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</si>
  <si>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</si>
  <si>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</si>
  <si>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</si>
  <si>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</si>
  <si>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</si>
  <si>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</si>
  <si>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</si>
  <si>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</si>
  <si>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</si>
  <si>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</si>
  <si>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</si>
  <si>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</si>
  <si>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</si>
  <si>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</si>
  <si>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</si>
  <si>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</si>
  <si>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</si>
  <si>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</si>
  <si>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</si>
  <si>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</si>
  <si>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</si>
  <si>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</si>
  <si>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</si>
  <si>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</si>
  <si>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</si>
  <si>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</si>
  <si>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</si>
  <si>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</si>
  <si>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</si>
  <si>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</si>
  <si>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</si>
  <si>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</si>
  <si>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</si>
  <si>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</si>
  <si>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</si>
  <si>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</si>
  <si>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</si>
  <si>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</si>
  <si>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</si>
  <si>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</si>
  <si>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</si>
  <si>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</si>
  <si>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</si>
  <si>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</si>
  <si>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</si>
  <si>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</si>
  <si>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</si>
  <si>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</si>
  <si>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</si>
  <si>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</si>
  <si>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</si>
  <si>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</si>
  <si>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</si>
  <si>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</si>
  <si>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</si>
  <si>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</si>
  <si>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</si>
  <si>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</si>
  <si>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</si>
  <si>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</si>
  <si>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</si>
  <si>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</si>
  <si>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</si>
  <si>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</si>
  <si>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</si>
  <si>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</si>
  <si>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</si>
  <si>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</si>
  <si>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</si>
  <si>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</si>
  <si>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</si>
  <si>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</si>
  <si>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</si>
  <si>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</si>
  <si>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</si>
  <si>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</si>
  <si>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</si>
  <si>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</si>
  <si>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</si>
  <si>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</si>
  <si>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</si>
  <si>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</si>
  <si>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</si>
  <si>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</si>
  <si>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</si>
  <si>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</si>
  <si>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</si>
  <si>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</si>
  <si>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</si>
  <si>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</si>
  <si>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</si>
  <si>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</si>
  <si>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</si>
  <si>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</si>
  <si>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</si>
  <si>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</si>
  <si>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</si>
  <si>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</si>
  <si>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</si>
  <si>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</si>
  <si>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</si>
  <si>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</si>
  <si>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</si>
  <si>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</si>
  <si>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</si>
  <si>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</si>
  <si>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</si>
  <si>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</si>
  <si>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</si>
  <si>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</si>
  <si>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</si>
  <si>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</si>
  <si>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</si>
  <si>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</si>
  <si>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</si>
  <si>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</si>
  <si>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</si>
  <si>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</si>
  <si>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</si>
  <si>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</si>
  <si>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</si>
  <si>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</si>
  <si>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</si>
  <si>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</si>
  <si>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</si>
  <si>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</si>
  <si>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</si>
  <si>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</si>
  <si>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</si>
  <si>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</si>
  <si>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</si>
  <si>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</si>
  <si>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</si>
  <si>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</si>
  <si>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</si>
  <si>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</si>
  <si>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</si>
  <si>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</si>
  <si>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</si>
  <si>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</si>
  <si>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</si>
  <si>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</si>
  <si>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</si>
  <si>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</si>
  <si>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</si>
  <si>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</si>
  <si>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</si>
  <si>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</si>
  <si>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</si>
  <si>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</si>
  <si>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</si>
  <si>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</si>
  <si>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</si>
  <si>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</si>
  <si>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</si>
  <si>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</si>
  <si>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</si>
  <si>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</si>
  <si>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</si>
  <si>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</si>
  <si>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</si>
  <si>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</si>
  <si>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</si>
  <si>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</si>
  <si>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</si>
  <si>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</si>
  <si>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</si>
  <si>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</si>
  <si>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</si>
  <si>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</si>
  <si>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</si>
  <si>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</si>
  <si>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</si>
  <si>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</si>
  <si>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</si>
  <si>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</si>
  <si>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</si>
  <si>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</si>
  <si>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</si>
  <si>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</si>
  <si>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</si>
  <si>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</si>
  <si>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</si>
  <si>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</si>
  <si>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</si>
  <si>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</si>
  <si>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</si>
  <si>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</si>
  <si>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</si>
  <si>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</si>
  <si>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</si>
  <si>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</si>
  <si>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</si>
  <si>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</si>
  <si>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</si>
  <si>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</si>
  <si>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</si>
  <si>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</si>
  <si>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</si>
  <si>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</si>
  <si>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</si>
  <si>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</si>
  <si>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</si>
  <si>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</si>
  <si>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</si>
  <si>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</si>
  <si>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</si>
  <si>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</si>
  <si>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</si>
  <si>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</si>
  <si>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</si>
  <si>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</si>
  <si>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</si>
  <si>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</si>
  <si>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</si>
  <si>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</si>
  <si>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</si>
  <si>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</si>
  <si>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</si>
  <si>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</si>
  <si>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</si>
  <si>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</si>
  <si>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</si>
  <si>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</si>
  <si>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</si>
  <si>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</si>
  <si>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</si>
  <si>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</si>
  <si>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</si>
  <si>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</si>
  <si>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</si>
  <si>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</si>
  <si>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</si>
  <si>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</si>
  <si>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</si>
  <si>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</si>
  <si>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</si>
  <si>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</si>
  <si>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</si>
  <si>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</si>
  <si>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</si>
  <si>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</si>
  <si>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</si>
  <si>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</si>
  <si>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</si>
  <si>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</si>
  <si>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</si>
  <si>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</si>
  <si>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</si>
  <si>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</si>
  <si>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</si>
  <si>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</si>
  <si>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</si>
  <si>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</si>
  <si>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</si>
  <si>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</si>
  <si>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</si>
  <si>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</si>
  <si>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</si>
  <si>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</si>
  <si>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</si>
  <si>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</si>
  <si>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</si>
  <si>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</si>
  <si>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</si>
  <si>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</si>
  <si>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</si>
  <si>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</si>
  <si>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</si>
  <si>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</si>
  <si>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</si>
  <si>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</si>
  <si>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</si>
  <si>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</si>
  <si>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</si>
  <si>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</si>
  <si>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</si>
  <si>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</si>
  <si>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</si>
  <si>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</si>
  <si>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</si>
  <si>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</si>
  <si>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</si>
  <si>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</si>
  <si>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</si>
  <si>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</si>
  <si>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</si>
  <si>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</si>
  <si>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</si>
  <si>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</si>
  <si>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</si>
  <si>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</si>
  <si>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</si>
  <si>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</si>
  <si>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</si>
  <si>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</si>
  <si>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</si>
  <si>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</si>
  <si>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</si>
  <si>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</si>
  <si>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</si>
  <si>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</si>
  <si>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</si>
  <si>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</si>
  <si>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</si>
  <si>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</si>
  <si>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</si>
  <si>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</si>
  <si>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</si>
  <si>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</si>
  <si>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</si>
  <si>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</si>
  <si>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</si>
  <si>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</si>
  <si>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</si>
  <si>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</si>
  <si>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</si>
  <si>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</si>
  <si>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</si>
  <si>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</si>
  <si>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</si>
  <si>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</si>
  <si>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</si>
  <si>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</si>
  <si>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</si>
  <si>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</si>
  <si>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</si>
  <si>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</si>
  <si>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</si>
  <si>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</si>
  <si>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</si>
  <si>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</si>
  <si>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</si>
  <si>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</si>
  <si>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</si>
  <si>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</si>
  <si>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</si>
  <si>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</si>
  <si>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</si>
  <si>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</si>
  <si>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</si>
  <si>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</si>
  <si>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</si>
  <si>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</si>
  <si>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</si>
  <si>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</si>
  <si>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</si>
  <si>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</si>
  <si>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</si>
  <si>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</si>
  <si>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</si>
  <si>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</si>
  <si>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</si>
  <si>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</si>
  <si>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</si>
  <si>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</si>
  <si>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</si>
  <si>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</si>
  <si>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</si>
  <si>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</si>
  <si>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</si>
  <si>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</si>
  <si>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</si>
  <si>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</si>
  <si>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</si>
  <si>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</si>
  <si>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</si>
  <si>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</si>
  <si>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</si>
  <si>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</si>
  <si>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</si>
  <si>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</si>
  <si>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</si>
  <si>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</si>
  <si>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</si>
  <si>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</si>
  <si>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</si>
  <si>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</si>
  <si>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</si>
  <si>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</si>
  <si>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</si>
  <si>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</si>
  <si>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</si>
  <si>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</si>
  <si>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</si>
  <si>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</si>
  <si>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</si>
  <si>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</si>
  <si>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</si>
  <si>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</si>
  <si>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</si>
  <si>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</si>
  <si>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</si>
  <si>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</si>
  <si>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</si>
  <si>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</si>
  <si>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</si>
  <si>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</si>
  <si>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</si>
  <si>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</si>
  <si>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</si>
  <si>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</si>
  <si>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</si>
  <si>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</si>
  <si>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</si>
  <si>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</si>
  <si>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</si>
  <si>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</si>
  <si>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</si>
  <si>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</si>
  <si>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</si>
  <si>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</si>
  <si>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</si>
  <si>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</si>
  <si>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</si>
  <si>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</si>
  <si>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</si>
  <si>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</si>
  <si>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</si>
  <si>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</si>
  <si>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</si>
  <si>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</si>
  <si>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</si>
  <si>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</si>
  <si>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</si>
  <si>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</si>
  <si>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</si>
  <si>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</si>
  <si>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</si>
  <si>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</si>
  <si>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</si>
  <si>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</si>
  <si>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</si>
  <si>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</si>
  <si>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</si>
  <si>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</si>
  <si>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</si>
  <si>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</si>
  <si>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</si>
  <si>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</si>
  <si>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</si>
  <si>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</si>
  <si>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</si>
  <si>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</si>
  <si>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</si>
  <si>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</si>
  <si>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</si>
  <si>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</si>
  <si>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</si>
  <si>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</si>
  <si>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</si>
  <si>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</si>
  <si>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</si>
  <si>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</si>
  <si>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</si>
  <si>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</si>
  <si>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</si>
  <si>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</si>
  <si>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</si>
  <si>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</si>
  <si>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</si>
  <si>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</si>
  <si>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</si>
  <si>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</si>
  <si>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</si>
  <si>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</si>
  <si>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</si>
  <si>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</si>
  <si>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</si>
  <si>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</si>
  <si>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</si>
  <si>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</si>
  <si>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</si>
  <si>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</si>
  <si>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</si>
  <si>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</si>
  <si>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</si>
  <si>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</si>
  <si>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</si>
  <si>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</si>
  <si>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</si>
  <si>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</si>
  <si>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</si>
  <si>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</si>
  <si>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</si>
  <si>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</si>
  <si>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</si>
  <si>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</si>
  <si>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</si>
  <si>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</si>
  <si>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</si>
  <si>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</si>
  <si>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</si>
  <si>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</si>
  <si>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</si>
  <si>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</si>
  <si>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</si>
  <si>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</si>
  <si>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</si>
  <si>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</si>
  <si>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</si>
  <si>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</si>
  <si>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</si>
  <si>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</si>
  <si>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</si>
  <si>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</si>
  <si>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</si>
  <si>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</si>
  <si>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</si>
  <si>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</si>
  <si>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</si>
  <si>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</si>
  <si>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</si>
  <si>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</si>
  <si>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</si>
  <si>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</si>
  <si>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</si>
  <si>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</si>
  <si>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</si>
  <si>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</si>
  <si>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</si>
  <si>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</si>
  <si>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</si>
  <si>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</si>
  <si>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</si>
  <si>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</si>
  <si>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</si>
  <si>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</si>
  <si>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</si>
  <si>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</si>
  <si>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</si>
  <si>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</si>
  <si>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</si>
  <si>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</si>
  <si>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</si>
  <si>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</si>
  <si>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</si>
  <si>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</si>
  <si>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</si>
  <si>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</si>
  <si>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</si>
  <si>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</si>
  <si>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</si>
  <si>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</si>
  <si>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</si>
  <si>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</si>
  <si>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</si>
  <si>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</si>
  <si>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</si>
  <si>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</si>
  <si>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</si>
  <si>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</si>
  <si>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</si>
  <si>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</si>
  <si>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</si>
  <si>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</si>
  <si>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</si>
  <si>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</si>
  <si>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</si>
  <si>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</si>
  <si>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</si>
  <si>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</si>
  <si>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</si>
  <si>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</si>
  <si>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</si>
  <si>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</si>
  <si>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</si>
  <si>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</si>
  <si>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</si>
  <si>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</si>
  <si>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</si>
  <si>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</si>
  <si>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</si>
  <si>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</si>
  <si>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</si>
  <si>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</si>
  <si>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</si>
  <si>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</si>
  <si>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</si>
  <si>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</si>
  <si>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</si>
  <si>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</si>
  <si>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</si>
  <si>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</si>
  <si>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</si>
  <si>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</si>
  <si>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</si>
  <si>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</si>
  <si>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</si>
  <si>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</si>
  <si>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</si>
  <si>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</si>
  <si>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</si>
  <si>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</si>
  <si>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</si>
  <si>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</si>
  <si>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</si>
  <si>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</si>
  <si>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</si>
  <si>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</si>
  <si>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</si>
  <si>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</si>
  <si>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</si>
  <si>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</si>
  <si>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</si>
  <si>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</si>
  <si>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</si>
  <si>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</si>
  <si>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</si>
  <si>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</si>
  <si>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</si>
  <si>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</si>
  <si>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</si>
  <si>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</si>
  <si>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</si>
  <si>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</si>
  <si>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</si>
  <si>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</si>
  <si>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</si>
  <si>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</si>
  <si>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</si>
  <si>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</si>
  <si>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</si>
  <si>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</si>
  <si>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</si>
  <si>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</si>
  <si>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</si>
  <si>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</si>
  <si>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</si>
  <si>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</si>
  <si>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</si>
  <si>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</si>
  <si>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</si>
  <si>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</si>
  <si>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</si>
  <si>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</si>
  <si>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</si>
  <si>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</si>
  <si>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</si>
  <si>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</si>
  <si>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</si>
  <si>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</si>
  <si>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</si>
  <si>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</si>
  <si>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</si>
  <si>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</si>
  <si>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</si>
  <si>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</si>
  <si>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</si>
  <si>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</si>
  <si>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</si>
  <si>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</si>
  <si>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</si>
  <si>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</si>
  <si>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</si>
  <si>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</si>
  <si>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</si>
  <si>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</si>
  <si>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</si>
  <si>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</si>
  <si>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</si>
  <si>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</si>
  <si>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</si>
  <si>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</si>
  <si>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</si>
  <si>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</si>
  <si>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</si>
  <si>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</si>
  <si>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</si>
  <si>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</si>
  <si>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</si>
  <si>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</si>
  <si>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</si>
  <si>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</si>
  <si>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</si>
  <si>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</si>
  <si>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</si>
  <si>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</si>
  <si>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</si>
  <si>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</si>
  <si>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</si>
  <si>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</si>
  <si>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</si>
  <si>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</si>
  <si>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</si>
  <si>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</si>
  <si>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</si>
  <si>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</si>
  <si>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</si>
  <si>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</si>
  <si>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</si>
  <si>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</si>
  <si>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</si>
  <si>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</si>
  <si>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</si>
  <si>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</si>
  <si>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</si>
  <si>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</si>
  <si>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</si>
  <si>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</si>
  <si>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</si>
  <si>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</si>
  <si>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</si>
  <si>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</si>
  <si>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</si>
  <si>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</si>
  <si>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</si>
  <si>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</si>
  <si>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</si>
  <si>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</si>
  <si>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</si>
  <si>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</si>
  <si>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</si>
  <si>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</si>
  <si>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</si>
  <si>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</si>
  <si>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</si>
  <si>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</si>
  <si>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</si>
  <si>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</si>
  <si>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</si>
  <si>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</si>
  <si>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</si>
  <si>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</si>
  <si>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</si>
  <si>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</si>
  <si>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</si>
  <si>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</si>
  <si>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</si>
  <si>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</si>
  <si>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</si>
  <si>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</si>
  <si>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</si>
  <si>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</si>
  <si>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</si>
  <si>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</si>
  <si>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</si>
  <si>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</si>
  <si>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</si>
  <si>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</si>
  <si>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</si>
  <si>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</si>
  <si>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</si>
  <si>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</si>
  <si>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</si>
  <si>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</si>
  <si>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</si>
  <si>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</si>
  <si>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</si>
  <si>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</si>
  <si>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</si>
  <si>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</si>
  <si>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</si>
  <si>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</si>
  <si>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</si>
  <si>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</si>
  <si>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</si>
  <si>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</si>
  <si>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</si>
  <si>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</si>
  <si>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</si>
  <si>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</si>
  <si>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</si>
  <si>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</si>
  <si>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</si>
  <si>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</si>
  <si>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</si>
  <si>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</si>
  <si>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</si>
  <si>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</si>
  <si>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</si>
  <si>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</si>
  <si>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</si>
  <si>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</si>
  <si>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</si>
  <si>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</si>
  <si>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</si>
  <si>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</si>
  <si>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</si>
  <si>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</si>
  <si>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</si>
  <si>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</si>
  <si>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</si>
  <si>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</si>
  <si>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</si>
  <si>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</si>
  <si>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</si>
  <si>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</si>
  <si>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</si>
  <si>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</si>
  <si>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</si>
  <si>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</si>
  <si>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</si>
  <si>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</si>
  <si>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</si>
  <si>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</si>
  <si>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</si>
  <si>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</si>
  <si>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</si>
  <si>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</si>
  <si>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</si>
  <si>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</si>
  <si>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</si>
  <si>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</si>
  <si>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</si>
  <si>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</si>
  <si>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</si>
  <si>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</si>
  <si>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</si>
  <si>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</si>
  <si>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</si>
  <si>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</si>
  <si>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</si>
  <si>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</si>
  <si>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</si>
  <si>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</si>
  <si>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</si>
  <si>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</si>
  <si>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</si>
  <si>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</si>
  <si>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</si>
  <si>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</si>
  <si>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</si>
  <si>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</si>
  <si>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</si>
  <si>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</si>
  <si>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</si>
  <si>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</si>
  <si>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</si>
  <si>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</si>
  <si>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</si>
  <si>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</si>
  <si>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</si>
  <si>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</si>
  <si>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</si>
  <si>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</si>
  <si>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</si>
  <si>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</si>
  <si>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</si>
  <si>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</si>
  <si>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</si>
  <si>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</si>
  <si>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</si>
  <si>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</si>
  <si>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</si>
  <si>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</si>
  <si>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</si>
  <si>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</si>
  <si>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</si>
  <si>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</si>
  <si>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</si>
  <si>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</si>
  <si>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</si>
  <si>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</si>
  <si>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</si>
  <si>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</si>
  <si>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</si>
  <si>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</si>
  <si>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</si>
  <si>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</si>
  <si>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</si>
  <si>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</si>
  <si>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</si>
  <si>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</si>
  <si>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</si>
  <si>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</si>
  <si>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</si>
  <si>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</si>
  <si>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</si>
  <si>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</si>
  <si>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</si>
  <si>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</si>
  <si>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</si>
  <si>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</si>
  <si>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</si>
  <si>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</si>
  <si>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</si>
  <si>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</si>
  <si>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</si>
  <si>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</si>
  <si>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</si>
  <si>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</si>
  <si>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</si>
  <si>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</si>
  <si>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</si>
  <si>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</si>
  <si>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</si>
  <si>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</si>
  <si>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</si>
  <si>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</si>
  <si>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</si>
  <si>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</si>
  <si>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</si>
  <si>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</si>
  <si>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</si>
  <si>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</si>
  <si>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</si>
  <si>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</si>
  <si>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</si>
  <si>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</si>
  <si>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</si>
  <si>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</si>
  <si>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</si>
  <si>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</si>
  <si>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</si>
  <si>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</si>
  <si>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</si>
  <si>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</si>
  <si>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</si>
  <si>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</si>
  <si>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</si>
  <si>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</si>
  <si>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</si>
  <si>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</si>
  <si>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</si>
  <si>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</si>
  <si>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</si>
  <si>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</si>
  <si>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</si>
  <si>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</si>
  <si>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</si>
  <si>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</si>
  <si>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</si>
  <si>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</si>
  <si>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</si>
  <si>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</si>
  <si>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</si>
  <si>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</si>
  <si>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</si>
  <si>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</si>
  <si>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</si>
  <si>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</si>
  <si>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</si>
  <si>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</si>
  <si>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</si>
  <si>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</si>
  <si>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</si>
  <si>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</si>
  <si>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</si>
  <si>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</si>
  <si>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</si>
  <si>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</si>
  <si>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</si>
  <si>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</si>
  <si>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</si>
  <si>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</si>
  <si>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</si>
  <si>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</si>
  <si>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</si>
  <si>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</si>
  <si>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</si>
  <si>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</si>
  <si>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</si>
  <si>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</si>
  <si>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</si>
  <si>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</si>
  <si>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</si>
  <si>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</si>
  <si>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</si>
  <si>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</si>
  <si>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</si>
  <si>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</si>
  <si>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</si>
  <si>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</si>
  <si>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</si>
  <si>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</si>
  <si>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</si>
  <si>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</si>
  <si>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</si>
  <si>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</si>
  <si>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</si>
  <si>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</si>
  <si>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</si>
  <si>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</si>
  <si>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</si>
  <si>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</si>
  <si>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</si>
  <si>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</si>
  <si>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</si>
  <si>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</si>
  <si>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</si>
  <si>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</si>
  <si>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</si>
  <si>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</si>
  <si>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</si>
  <si>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</si>
  <si>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</si>
  <si>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</si>
  <si>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</si>
  <si>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</si>
  <si>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</si>
  <si>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</si>
  <si>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</si>
  <si>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</si>
  <si>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</si>
  <si>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</si>
  <si>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</si>
  <si>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</si>
  <si>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</si>
  <si>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</si>
  <si>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</si>
  <si>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</si>
  <si>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</si>
  <si>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</si>
  <si>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</si>
  <si>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</si>
  <si>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</si>
  <si>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</si>
  <si>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</si>
  <si>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</si>
  <si>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</si>
  <si>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</si>
  <si>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</si>
  <si>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</si>
  <si>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</si>
  <si>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</si>
  <si>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</si>
  <si>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</si>
  <si>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</si>
  <si>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</si>
  <si>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</si>
  <si>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</si>
  <si>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</si>
  <si>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</si>
  <si>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</si>
  <si>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</si>
  <si>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</si>
  <si>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</si>
  <si>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</si>
  <si>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</si>
  <si>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</si>
  <si>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</si>
  <si>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</si>
  <si>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</si>
  <si>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</si>
  <si>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</si>
  <si>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</si>
  <si>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</si>
  <si>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</si>
  <si>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</si>
  <si>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</si>
  <si>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</si>
  <si>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</si>
  <si>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</si>
  <si>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</si>
  <si>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</si>
  <si>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</si>
  <si>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</si>
  <si>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</si>
  <si>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</si>
  <si>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</si>
  <si>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</si>
  <si>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</si>
  <si>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</si>
  <si>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</si>
  <si>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</si>
  <si>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</si>
  <si>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</si>
  <si>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</si>
  <si>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</si>
  <si>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</si>
  <si>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</si>
  <si>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</si>
  <si>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</si>
  <si>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</si>
  <si>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</si>
  <si>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</si>
  <si>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</si>
  <si>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</si>
  <si>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</si>
  <si>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</si>
  <si>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</si>
  <si>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</si>
  <si>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</si>
  <si>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</si>
  <si>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</si>
  <si>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</si>
  <si>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</si>
  <si>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</si>
  <si>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</si>
  <si>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</si>
  <si>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</si>
  <si>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</si>
  <si>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</si>
  <si>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</si>
  <si>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</si>
  <si>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</si>
  <si>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</si>
  <si>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</si>
  <si>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</si>
  <si>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</si>
  <si>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</si>
  <si>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</si>
  <si>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</si>
  <si>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</si>
  <si>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</si>
  <si>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</si>
  <si>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</si>
  <si>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</si>
  <si>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</si>
  <si>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</si>
  <si>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</si>
  <si>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</si>
  <si>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</si>
  <si>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</si>
  <si>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</si>
  <si>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</si>
  <si>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</si>
  <si>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</si>
  <si>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</si>
  <si>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</si>
  <si>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</si>
  <si>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</si>
  <si>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</si>
  <si>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</si>
  <si>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</si>
  <si>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</si>
  <si>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</si>
  <si>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</si>
  <si>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</si>
  <si>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</si>
  <si>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</si>
  <si>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</si>
  <si>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</si>
  <si>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</si>
  <si>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</si>
  <si>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</si>
  <si>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</si>
  <si>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</si>
  <si>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</si>
  <si>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</si>
  <si>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</si>
  <si>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</si>
  <si>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</si>
  <si>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</si>
  <si>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</si>
  <si>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</si>
  <si>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</si>
  <si>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</si>
  <si>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</si>
  <si>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</si>
  <si>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</si>
  <si>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</si>
  <si>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</si>
  <si>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</si>
  <si>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</si>
  <si>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</si>
  <si>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</si>
  <si>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</si>
  <si>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</si>
  <si>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</si>
  <si>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</si>
  <si>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</si>
  <si>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</si>
  <si>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</si>
  <si>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</si>
  <si>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</si>
  <si>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</si>
  <si>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</si>
  <si>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</si>
  <si>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</si>
  <si>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</si>
  <si>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</si>
  <si>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</si>
  <si>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</si>
  <si>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</si>
  <si>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</si>
  <si>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</si>
  <si>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</si>
  <si>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</si>
  <si>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</si>
  <si>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</si>
  <si>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</si>
  <si>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</si>
  <si>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</si>
  <si>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</si>
  <si>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</si>
  <si>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</si>
  <si>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</si>
  <si>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</si>
  <si>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</si>
  <si>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</si>
  <si>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</si>
  <si>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</si>
  <si>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</si>
  <si>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</si>
  <si>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</si>
  <si>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</si>
  <si>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</si>
  <si>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</si>
  <si>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</si>
  <si>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</si>
  <si>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</si>
  <si>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</si>
  <si>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</si>
  <si>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</si>
  <si>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</si>
  <si>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</si>
  <si>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</si>
  <si>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</si>
  <si>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</si>
  <si>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</si>
  <si>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</si>
  <si>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</si>
  <si>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</si>
  <si>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</si>
  <si>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</si>
  <si>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</si>
  <si>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</si>
  <si>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</si>
  <si>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</si>
  <si>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</si>
  <si>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</si>
  <si>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</si>
  <si>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</si>
  <si>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</si>
  <si>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</si>
  <si>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</si>
  <si>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</si>
  <si>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</si>
  <si>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</si>
  <si>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</si>
  <si>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</si>
  <si>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</si>
  <si>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</si>
  <si>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</si>
  <si>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</si>
  <si>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</si>
  <si>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</si>
  <si>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</si>
  <si>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</si>
  <si>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</si>
  <si>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</si>
  <si>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</si>
  <si>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</si>
  <si>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</si>
  <si>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</si>
  <si>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</si>
  <si>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</si>
  <si>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</si>
  <si>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</si>
  <si>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</si>
  <si>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</si>
  <si>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</si>
  <si>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</si>
  <si>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</si>
  <si>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</si>
  <si>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</si>
  <si>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</si>
  <si>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</si>
  <si>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</si>
  <si>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</si>
  <si>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</si>
  <si>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</si>
  <si>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</si>
  <si>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</si>
  <si>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</si>
  <si>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</si>
  <si>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</si>
  <si>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</si>
  <si>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</si>
  <si>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</si>
  <si>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</si>
  <si>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</si>
  <si>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</si>
  <si>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</si>
  <si>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</si>
  <si>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</si>
  <si>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</si>
  <si>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</si>
  <si>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</si>
  <si>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</si>
  <si>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</si>
  <si>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</si>
  <si>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</si>
  <si>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</si>
  <si>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</si>
  <si>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</si>
  <si>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</si>
  <si>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</si>
  <si>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</si>
  <si>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</si>
  <si>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</si>
  <si>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</si>
  <si>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</si>
  <si>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</si>
  <si>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</si>
  <si>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</si>
  <si>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</si>
  <si>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</si>
  <si>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</si>
  <si>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</si>
  <si>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</si>
  <si>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</si>
  <si>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</si>
  <si>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</si>
  <si>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</si>
  <si>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</si>
  <si>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</si>
  <si>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</si>
  <si>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</si>
  <si>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</si>
  <si>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</si>
  <si>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</si>
  <si>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</si>
  <si>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</si>
  <si>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</si>
  <si>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</si>
  <si>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</si>
  <si>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</si>
  <si>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</si>
  <si>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</si>
  <si>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</si>
  <si>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</si>
  <si>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</si>
  <si>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</si>
  <si>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</si>
  <si>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</si>
  <si>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</si>
  <si>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</si>
  <si>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</si>
  <si>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</si>
  <si>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</si>
  <si>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</si>
  <si>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</si>
  <si>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</si>
  <si>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</si>
  <si>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</si>
  <si>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</si>
  <si>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</si>
  <si>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</si>
  <si>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</si>
  <si>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</si>
  <si>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</si>
  <si>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</si>
  <si>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</si>
  <si>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</si>
  <si>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</si>
  <si>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</si>
  <si>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</si>
  <si>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</si>
  <si>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</si>
  <si>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</si>
  <si>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</si>
  <si>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</si>
  <si>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</si>
  <si>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</si>
  <si>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</si>
  <si>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</si>
  <si>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</si>
  <si>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</si>
  <si>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</si>
  <si>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</si>
  <si>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</si>
  <si>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</si>
  <si>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</si>
  <si>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</si>
  <si>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</si>
  <si>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</si>
  <si>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</si>
  <si>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</si>
  <si>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</si>
  <si>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</si>
  <si>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</si>
  <si>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</si>
  <si>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</si>
  <si>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</si>
  <si>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</si>
  <si>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</si>
  <si>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</si>
  <si>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</si>
  <si>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</si>
  <si>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</si>
  <si>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</si>
  <si>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</si>
  <si>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</si>
  <si>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</si>
  <si>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</si>
  <si>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</si>
  <si>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</si>
  <si>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</si>
  <si>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</si>
  <si>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</si>
  <si>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</si>
  <si>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</si>
  <si>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</si>
  <si>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</si>
  <si>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</si>
  <si>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</si>
  <si>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</si>
  <si>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</si>
  <si>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</si>
  <si>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</si>
  <si>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</si>
  <si>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</si>
  <si>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</si>
  <si>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</si>
  <si>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</si>
  <si>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</si>
  <si>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</si>
  <si>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</si>
  <si>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</si>
  <si>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</si>
  <si>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</si>
  <si>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</si>
  <si>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</si>
  <si>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</si>
  <si>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</si>
  <si>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</si>
  <si>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</si>
  <si>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</si>
  <si>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</si>
  <si>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</si>
  <si>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</si>
  <si>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</si>
  <si>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</si>
  <si>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</si>
  <si>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</si>
  <si>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</si>
  <si>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</si>
  <si>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</si>
  <si>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</si>
  <si>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</si>
  <si>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</si>
  <si>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</si>
  <si>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</si>
  <si>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</si>
  <si>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</si>
  <si>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</si>
  <si>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</si>
  <si>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</si>
  <si>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</si>
  <si>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</si>
  <si>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</si>
  <si>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</si>
  <si>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</si>
  <si>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</si>
  <si>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</si>
  <si>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</si>
  <si>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</si>
  <si>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</si>
  <si>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</si>
  <si>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</si>
  <si>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</si>
  <si>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</si>
  <si>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</si>
  <si>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</si>
  <si>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</si>
  <si>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</si>
  <si>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</si>
  <si>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</si>
  <si>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</si>
  <si>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</si>
  <si>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</si>
  <si>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</si>
  <si>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</si>
  <si>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</si>
  <si>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</si>
  <si>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</si>
  <si>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</si>
  <si>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</si>
  <si>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</si>
  <si>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</si>
  <si>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</si>
  <si>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</si>
  <si>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</si>
  <si>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</si>
  <si>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</si>
  <si>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</si>
  <si>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</si>
  <si>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</si>
  <si>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</si>
  <si>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</si>
  <si>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</si>
  <si>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</si>
  <si>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</si>
  <si>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</si>
  <si>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</si>
  <si>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</si>
  <si>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</si>
  <si>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</si>
  <si>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</si>
  <si>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</si>
  <si>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</si>
  <si>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</si>
  <si>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</si>
  <si>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</si>
  <si>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</si>
  <si>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</si>
  <si>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</si>
  <si>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</si>
  <si>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</si>
  <si>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</si>
  <si>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</si>
  <si>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</si>
  <si>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</si>
  <si>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</si>
  <si>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</si>
  <si>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</si>
  <si>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</si>
  <si>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</si>
  <si>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</si>
  <si>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</si>
  <si>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</si>
  <si>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</si>
  <si>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</si>
  <si>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</si>
  <si>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</si>
  <si>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</si>
  <si>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</si>
  <si>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</si>
  <si>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</si>
  <si>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</si>
  <si>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</si>
  <si>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</si>
  <si>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</si>
  <si>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</si>
  <si>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</si>
  <si>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</si>
  <si>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</si>
  <si>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</si>
  <si>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</si>
  <si>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</si>
  <si>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</si>
  <si>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</si>
  <si>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</si>
  <si>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</si>
  <si>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</si>
  <si>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</si>
  <si>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</si>
  <si>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</si>
  <si>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</si>
  <si>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</si>
  <si>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</si>
  <si>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</si>
  <si>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</si>
  <si>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</si>
  <si>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</si>
  <si>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</si>
  <si>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</si>
  <si>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</si>
  <si>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</si>
  <si>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</si>
  <si>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</si>
  <si>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</si>
  <si>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</si>
  <si>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</si>
  <si>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</si>
  <si>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</si>
  <si>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</si>
  <si>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</si>
  <si>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</si>
  <si>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</si>
  <si>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</si>
  <si>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</si>
  <si>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</si>
  <si>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</si>
  <si>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</si>
  <si>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</si>
  <si>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</si>
  <si>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</si>
  <si>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</si>
  <si>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</si>
  <si>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</si>
  <si>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</si>
  <si>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</si>
  <si>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</si>
  <si>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</si>
  <si>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</si>
  <si>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</si>
  <si>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</si>
  <si>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</si>
  <si>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</si>
  <si>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</si>
  <si>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</si>
  <si>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</si>
  <si>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</si>
  <si>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</si>
  <si>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</si>
  <si>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</si>
  <si>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</si>
  <si>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</si>
  <si>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</si>
  <si>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</si>
  <si>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</si>
  <si>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</si>
  <si>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</si>
  <si>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</si>
  <si>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</si>
  <si>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</si>
  <si>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</si>
  <si>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</si>
  <si>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</si>
  <si>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</si>
  <si>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</si>
  <si>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</si>
  <si>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</si>
  <si>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</si>
  <si>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</si>
  <si>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</si>
  <si>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</si>
  <si>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</si>
  <si>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</si>
  <si>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</si>
  <si>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</si>
  <si>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</si>
  <si>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</si>
  <si>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</si>
  <si>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</si>
  <si>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</si>
  <si>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</si>
  <si>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</si>
  <si>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</si>
  <si>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</si>
  <si>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</si>
  <si>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</si>
  <si>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</si>
  <si>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</si>
  <si>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</si>
  <si>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</si>
  <si>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</si>
  <si>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</si>
  <si>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</si>
  <si>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</si>
  <si>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</si>
  <si>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</si>
  <si>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</si>
  <si>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</si>
  <si>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</si>
  <si>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</si>
  <si>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</si>
  <si>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</si>
  <si>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</si>
  <si>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</si>
  <si>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</si>
  <si>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</si>
  <si>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</si>
  <si>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</si>
  <si>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</si>
  <si>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</si>
  <si>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</si>
  <si>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</si>
  <si>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</si>
  <si>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</si>
  <si>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</si>
  <si>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</si>
  <si>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</si>
  <si>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</si>
  <si>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</si>
  <si>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</si>
  <si>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</si>
  <si>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</si>
  <si>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</si>
  <si>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</si>
  <si>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</si>
  <si>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</si>
  <si>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</si>
  <si>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</si>
  <si>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</si>
  <si>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</si>
  <si>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</si>
  <si>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</si>
  <si>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</si>
  <si>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</si>
  <si>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</si>
  <si>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</si>
  <si>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</si>
  <si>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</si>
  <si>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</si>
  <si>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</si>
  <si>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</si>
  <si>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</si>
  <si>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</si>
  <si>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</si>
  <si>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</si>
  <si>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</si>
  <si>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</si>
  <si>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</si>
  <si>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</si>
  <si>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</si>
  <si>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</si>
  <si>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</si>
  <si>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</si>
  <si>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</si>
  <si>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</si>
  <si>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</si>
  <si>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</si>
  <si>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</si>
  <si>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</si>
  <si>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</si>
  <si>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</si>
  <si>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</si>
  <si>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</si>
  <si>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</si>
  <si>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</si>
  <si>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</si>
  <si>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</si>
  <si>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</si>
  <si>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</si>
  <si>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</si>
  <si>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</si>
  <si>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</si>
  <si>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</si>
  <si>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</si>
  <si>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</si>
  <si>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</si>
  <si>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</si>
  <si>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</si>
  <si>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</si>
  <si>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</si>
  <si>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</si>
  <si>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</si>
  <si>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</si>
  <si>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</si>
  <si>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</si>
  <si>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</si>
  <si>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</si>
  <si>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</si>
  <si>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</si>
  <si>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</si>
  <si>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</si>
  <si>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</si>
  <si>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</si>
  <si>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</si>
  <si>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</si>
  <si>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</si>
  <si>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</si>
  <si>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</si>
  <si>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</si>
  <si>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</si>
  <si>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</si>
  <si>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</si>
  <si>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</si>
  <si>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</si>
  <si>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</si>
  <si>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</si>
  <si>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</si>
  <si>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</si>
  <si>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</si>
  <si>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</si>
  <si>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</si>
  <si>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</si>
  <si>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</si>
  <si>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</si>
  <si>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</si>
  <si>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</si>
  <si>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</si>
  <si>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</si>
  <si>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</si>
  <si>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</si>
  <si>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</si>
  <si>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</si>
  <si>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</si>
  <si>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</si>
  <si>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</si>
  <si>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</si>
  <si>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</si>
  <si>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</si>
  <si>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</si>
  <si>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</si>
  <si>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</si>
  <si>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</si>
  <si>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</si>
  <si>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</si>
  <si>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</si>
  <si>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</si>
  <si>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</si>
  <si>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</si>
  <si>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</si>
  <si>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</si>
  <si>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</si>
  <si>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</si>
  <si>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</si>
  <si>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</si>
  <si>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</si>
  <si>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</si>
  <si>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</si>
  <si>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</si>
  <si>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</si>
  <si>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</si>
  <si>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</si>
  <si>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</si>
  <si>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</si>
  <si>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</si>
  <si>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</si>
  <si>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</si>
  <si>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</si>
  <si>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</si>
  <si>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</si>
  <si>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</si>
  <si>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</si>
  <si>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</si>
  <si>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</si>
  <si>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</si>
  <si>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</si>
  <si>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</si>
  <si>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</si>
  <si>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</si>
  <si>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</si>
  <si>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</si>
  <si>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</si>
  <si>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</si>
  <si>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</si>
  <si>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</si>
  <si>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</si>
  <si>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</si>
  <si>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</si>
  <si>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</si>
  <si>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</si>
  <si>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</si>
  <si>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</si>
  <si>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</si>
  <si>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</si>
  <si>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</si>
  <si>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</si>
  <si>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</si>
  <si>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</si>
  <si>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</si>
  <si>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</si>
  <si>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</si>
  <si>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</si>
  <si>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</si>
  <si>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</si>
  <si>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</si>
  <si>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</si>
  <si>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</si>
  <si>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</si>
  <si>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</si>
  <si>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</si>
  <si>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</si>
  <si>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</si>
  <si>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</si>
  <si>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</si>
  <si>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</si>
  <si>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</si>
  <si>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</si>
  <si>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</si>
  <si>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</si>
  <si>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</si>
  <si>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</si>
  <si>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</si>
  <si>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</si>
  <si>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</si>
  <si>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</si>
  <si>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</si>
  <si>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</si>
  <si>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</si>
  <si>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</si>
  <si>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</si>
  <si>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</si>
  <si>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</si>
  <si>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</si>
  <si>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</si>
  <si>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</si>
  <si>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</si>
  <si>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</si>
  <si>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</si>
  <si>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</si>
  <si>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</si>
  <si>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</si>
  <si>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</si>
  <si>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</si>
  <si>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</si>
  <si>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</si>
  <si>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</si>
  <si>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</si>
  <si>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</si>
  <si>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</si>
  <si>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</si>
  <si>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</si>
  <si>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</si>
  <si>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</si>
  <si>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</si>
  <si>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</si>
  <si>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</si>
  <si>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</si>
  <si>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</si>
  <si>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</si>
  <si>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</si>
  <si>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</si>
  <si>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</si>
  <si>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</si>
  <si>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</si>
  <si>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</si>
  <si>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</si>
  <si>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</si>
  <si>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</si>
  <si>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</si>
  <si>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</si>
  <si>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</si>
  <si>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</si>
  <si>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</si>
  <si>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</si>
  <si>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</si>
  <si>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</si>
  <si>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</si>
  <si>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</si>
  <si>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</si>
  <si>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</si>
  <si>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</si>
  <si>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</si>
  <si>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</si>
  <si>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</si>
  <si>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</si>
  <si>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</si>
  <si>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</si>
  <si>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</si>
  <si>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</si>
  <si>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</si>
  <si>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</si>
  <si>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</si>
  <si>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</si>
  <si>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</si>
  <si>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</si>
  <si>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</si>
  <si>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</si>
  <si>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</si>
  <si>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</si>
  <si>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</si>
  <si>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</si>
  <si>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</si>
  <si>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</si>
  <si>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</si>
  <si>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</si>
  <si>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</si>
  <si>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</si>
  <si>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</si>
  <si>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</si>
  <si>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</si>
  <si>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</si>
  <si>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</si>
  <si>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</si>
  <si>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</si>
  <si>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</si>
  <si>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</si>
  <si>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</si>
  <si>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</si>
  <si>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</si>
  <si>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</si>
  <si>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</si>
  <si>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</si>
  <si>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</si>
  <si>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</si>
  <si>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</si>
  <si>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</si>
  <si>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</si>
  <si>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</si>
  <si>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</si>
  <si>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</si>
  <si>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</si>
  <si>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</si>
  <si>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</si>
  <si>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</si>
  <si>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</si>
  <si>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</si>
  <si>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</si>
  <si>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</si>
  <si>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</si>
  <si>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</si>
  <si>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</si>
  <si>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</si>
  <si>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</si>
  <si>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</si>
  <si>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</si>
  <si>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</si>
  <si>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</si>
  <si>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</si>
  <si>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</si>
  <si>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</si>
  <si>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</si>
  <si>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</si>
  <si>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</si>
  <si>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</si>
  <si>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</si>
  <si>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</si>
  <si>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</si>
  <si>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</si>
  <si>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</si>
  <si>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</si>
  <si>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</si>
  <si>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</si>
  <si>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</si>
  <si>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</si>
  <si>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</si>
  <si>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</si>
  <si>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</si>
  <si>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</si>
  <si>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</si>
  <si>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</si>
  <si>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</si>
  <si>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</si>
  <si>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</si>
  <si>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</si>
  <si>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</si>
  <si>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</si>
  <si>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</si>
  <si>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</si>
  <si>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</si>
  <si>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</si>
  <si>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</si>
  <si>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</si>
  <si>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</si>
  <si>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</si>
  <si>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</si>
  <si>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</si>
  <si>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</si>
  <si>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</si>
  <si>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</si>
  <si>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</si>
  <si>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</si>
  <si>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</si>
  <si>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</si>
  <si>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</si>
  <si>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</si>
  <si>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</si>
  <si>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</si>
  <si>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</si>
  <si>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</si>
  <si>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</si>
  <si>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</si>
  <si>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</si>
  <si>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</si>
  <si>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</si>
  <si>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</si>
  <si>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</si>
  <si>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</si>
  <si>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</si>
  <si>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</si>
  <si>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</si>
  <si>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</si>
  <si>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</si>
  <si>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</si>
  <si>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</si>
  <si>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</si>
  <si>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</si>
  <si>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</si>
  <si>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</si>
  <si>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</si>
  <si>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</si>
  <si>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</si>
  <si>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</si>
  <si>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</si>
  <si>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</si>
  <si>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</si>
  <si>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</si>
  <si>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</si>
  <si>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</si>
  <si>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</si>
  <si>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</si>
  <si>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</si>
  <si>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</si>
  <si>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</si>
  <si>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</si>
  <si>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</si>
  <si>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</si>
  <si>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</si>
  <si>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</si>
  <si>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</si>
  <si>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</si>
  <si>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</si>
  <si>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</si>
  <si>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</si>
  <si>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</si>
  <si>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</si>
  <si>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</si>
  <si>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</si>
  <si>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</si>
  <si>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</si>
  <si>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</si>
  <si>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</si>
  <si>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</si>
  <si>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</si>
  <si>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</si>
  <si>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</si>
  <si>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</si>
  <si>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</si>
  <si>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</si>
  <si>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</si>
  <si>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</si>
  <si>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</si>
  <si>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</si>
  <si>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</si>
  <si>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</si>
  <si>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</si>
  <si>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</si>
  <si>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</si>
  <si>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</si>
  <si>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</si>
  <si>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</si>
  <si>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</si>
  <si>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</si>
  <si>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</si>
  <si>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</si>
  <si>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</si>
  <si>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</si>
  <si>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</si>
  <si>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</si>
  <si>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</si>
  <si>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</si>
  <si>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</si>
  <si>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</si>
  <si>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</si>
  <si>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</si>
  <si>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</si>
  <si>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</si>
  <si>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</si>
  <si>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</si>
  <si>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</si>
  <si>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</si>
  <si>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</si>
  <si>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</si>
  <si>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</si>
  <si>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</si>
  <si>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</si>
  <si>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</si>
  <si>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</si>
  <si>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</si>
  <si>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</si>
  <si>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</si>
  <si>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</si>
  <si>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</si>
  <si>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</si>
  <si>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</si>
  <si>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</si>
  <si>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</si>
  <si>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</si>
  <si>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</si>
  <si>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</si>
  <si>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</si>
  <si>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</si>
  <si>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</si>
  <si>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</si>
  <si>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</si>
  <si>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</si>
  <si>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</si>
  <si>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</si>
  <si>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</si>
  <si>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</si>
  <si>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</si>
  <si>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</si>
  <si>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</si>
  <si>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</si>
  <si>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</si>
  <si>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</si>
  <si>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</si>
  <si>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</si>
  <si>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</si>
  <si>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</si>
  <si>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</si>
  <si>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</si>
  <si>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</si>
  <si>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</si>
  <si>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</si>
  <si>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</si>
  <si>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</si>
  <si>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</si>
  <si>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</si>
  <si>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</si>
  <si>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</si>
  <si>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</si>
  <si>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</si>
  <si>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</si>
  <si>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</si>
  <si>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</si>
  <si>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</si>
  <si>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</si>
  <si>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</si>
  <si>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</si>
  <si>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</si>
  <si>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</si>
  <si>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</si>
  <si>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</si>
  <si>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</si>
  <si>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</si>
  <si>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</si>
  <si>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</si>
  <si>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</si>
  <si>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</si>
  <si>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</si>
  <si>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</si>
  <si>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</si>
  <si>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</si>
  <si>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</si>
  <si>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</si>
  <si>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</si>
  <si>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</si>
  <si>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</si>
  <si>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</si>
  <si>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</si>
  <si>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</si>
  <si>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</si>
  <si>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</si>
  <si>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</si>
  <si>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</si>
  <si>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</si>
  <si>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</si>
  <si>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</si>
  <si>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</si>
  <si>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</si>
  <si>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</si>
  <si>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</si>
  <si>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</si>
  <si>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</si>
  <si>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</si>
  <si>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</si>
  <si>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</si>
  <si>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</si>
  <si>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</si>
  <si>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</si>
  <si>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</si>
  <si>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</si>
  <si>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</si>
  <si>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</si>
  <si>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</si>
  <si>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</si>
  <si>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</si>
  <si>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</si>
  <si>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</si>
  <si>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</si>
  <si>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</si>
  <si>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</si>
  <si>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</si>
  <si>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</si>
  <si>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</si>
  <si>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</si>
  <si>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</si>
  <si>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</si>
  <si>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</si>
  <si>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</si>
  <si>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</si>
  <si>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</si>
  <si>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</si>
  <si>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</si>
  <si>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</si>
  <si>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</si>
  <si>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</si>
  <si>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</si>
  <si>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</si>
  <si>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</si>
  <si>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</si>
  <si>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</si>
  <si>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</si>
  <si>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</si>
  <si>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</si>
  <si>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</si>
  <si>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</si>
  <si>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</si>
  <si>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</si>
  <si>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</si>
  <si>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</si>
  <si>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</si>
  <si>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</si>
  <si>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</si>
  <si>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</si>
  <si>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</si>
  <si>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</si>
  <si>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</si>
  <si>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</si>
  <si>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</si>
  <si>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</si>
  <si>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</si>
  <si>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</si>
  <si>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</si>
  <si>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</si>
  <si>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</si>
  <si>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</si>
  <si>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</si>
  <si>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</si>
  <si>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</si>
  <si>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</si>
  <si>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</si>
  <si>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</si>
  <si>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</si>
  <si>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</si>
  <si>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</si>
  <si>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</si>
  <si>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</si>
  <si>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</si>
  <si>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</si>
  <si>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</si>
  <si>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</si>
  <si>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</si>
  <si>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</si>
  <si>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</si>
  <si>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</si>
  <si>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</si>
  <si>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</si>
  <si>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</si>
  <si>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</si>
  <si>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</si>
  <si>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</si>
  <si>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</si>
  <si>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</si>
  <si>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</si>
  <si>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</si>
  <si>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</si>
  <si>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</si>
  <si>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</si>
  <si>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</si>
  <si>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</si>
  <si>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</si>
  <si>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</si>
  <si>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</si>
  <si>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</si>
  <si>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</si>
  <si>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</si>
  <si>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</si>
  <si>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</si>
  <si>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</si>
  <si>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</si>
  <si>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</si>
  <si>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</si>
  <si>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</si>
  <si>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</si>
  <si>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</si>
  <si>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</si>
  <si>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</si>
  <si>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</si>
  <si>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</si>
  <si>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</si>
  <si>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</si>
  <si>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</si>
  <si>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</si>
  <si>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</si>
  <si>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</si>
  <si>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</si>
  <si>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</si>
  <si>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</si>
  <si>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</si>
  <si>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</si>
  <si>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</si>
  <si>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</si>
  <si>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</si>
  <si>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</si>
  <si>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</si>
  <si>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</si>
  <si>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</si>
  <si>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</si>
  <si>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</si>
  <si>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</si>
  <si>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</si>
  <si>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</si>
  <si>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</si>
  <si>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</si>
  <si>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</si>
  <si>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</si>
  <si>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</si>
  <si>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</si>
  <si>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</si>
  <si>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</si>
  <si>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</si>
  <si>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</si>
  <si>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</si>
  <si>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</si>
  <si>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</si>
  <si>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</si>
  <si>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</si>
  <si>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</si>
  <si>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</si>
  <si>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</si>
  <si>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</si>
  <si>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</si>
  <si>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</si>
  <si>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</si>
  <si>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</si>
  <si>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</si>
  <si>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</si>
  <si>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</si>
  <si>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</si>
  <si>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</si>
  <si>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</si>
  <si>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</si>
  <si>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</si>
  <si>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</si>
  <si>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</si>
  <si>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</si>
  <si>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</si>
  <si>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</si>
  <si>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</si>
  <si>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</si>
  <si>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</si>
  <si>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</si>
  <si>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</si>
  <si>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</si>
  <si>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</si>
  <si>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</si>
  <si>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</si>
  <si>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</si>
  <si>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</si>
  <si>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</si>
  <si>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</si>
  <si>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</si>
  <si>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</si>
  <si>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</si>
  <si>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</si>
  <si>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</si>
  <si>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</si>
  <si>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</si>
  <si>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</si>
  <si>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</si>
  <si>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</si>
  <si>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</si>
  <si>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</si>
  <si>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</si>
  <si>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</si>
  <si>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</si>
  <si>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</si>
  <si>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</si>
  <si>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</si>
  <si>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</si>
  <si>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</si>
  <si>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</si>
  <si>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</si>
  <si>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</si>
  <si>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</si>
  <si>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</si>
  <si>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</si>
  <si>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</si>
  <si>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</si>
  <si>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</si>
  <si>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</si>
  <si>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</si>
  <si>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</si>
  <si>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</si>
  <si>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</si>
  <si>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</si>
  <si>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</si>
  <si>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</si>
  <si>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</si>
  <si>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</si>
  <si>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</si>
  <si>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</si>
  <si>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</si>
  <si>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</si>
  <si>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</si>
  <si>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</si>
  <si>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</si>
  <si>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</si>
  <si>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</si>
  <si>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</si>
  <si>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</si>
  <si>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</si>
  <si>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</si>
  <si>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</si>
  <si>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</si>
  <si>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</si>
  <si>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</si>
  <si>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</si>
  <si>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</si>
  <si>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</si>
  <si>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</si>
  <si>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</si>
  <si>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</si>
  <si>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</si>
  <si>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</si>
  <si>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</si>
  <si>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</si>
  <si>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</si>
  <si>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</si>
  <si>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</si>
  <si>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</si>
  <si>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</si>
  <si>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</si>
  <si>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</si>
  <si>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</si>
  <si>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</si>
  <si>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</si>
  <si>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</si>
  <si>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</si>
  <si>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</si>
  <si>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</si>
  <si>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</si>
  <si>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</si>
  <si>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</si>
  <si>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</si>
  <si>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</si>
  <si>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</si>
  <si>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</si>
  <si>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</si>
  <si>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</si>
  <si>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</si>
  <si>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</si>
  <si>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</si>
  <si>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</si>
  <si>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</si>
  <si>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</si>
  <si>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</si>
  <si>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</si>
  <si>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</si>
  <si>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</si>
  <si>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</si>
  <si>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</si>
  <si>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</si>
  <si>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</si>
  <si>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</si>
  <si>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</si>
  <si>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</si>
  <si>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</si>
  <si>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</si>
  <si>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</si>
  <si>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</si>
  <si>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</si>
  <si>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</si>
  <si>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</si>
  <si>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</si>
  <si>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</si>
  <si>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</si>
  <si>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</si>
  <si>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</si>
  <si>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</si>
  <si>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</si>
  <si>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</si>
  <si>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</si>
  <si>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</si>
  <si>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</si>
  <si>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</si>
  <si>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</si>
  <si>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</si>
  <si>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</si>
  <si>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</si>
  <si>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</si>
  <si>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</si>
  <si>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</si>
  <si>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</si>
  <si>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</si>
  <si>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</si>
  <si>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</si>
  <si>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</si>
  <si>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</si>
  <si>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</si>
  <si>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</si>
  <si>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</si>
  <si>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</si>
  <si>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</si>
  <si>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</si>
  <si>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</si>
  <si>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</si>
  <si>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</si>
  <si>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</si>
  <si>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</si>
  <si>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</si>
  <si>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</si>
  <si>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</si>
  <si>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</si>
  <si>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</si>
  <si>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</si>
  <si>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</si>
  <si>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</si>
  <si>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</si>
  <si>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</si>
  <si>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</si>
  <si>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</si>
  <si>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</si>
  <si>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</si>
  <si>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</si>
  <si>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</si>
  <si>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</si>
  <si>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</si>
  <si>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</si>
  <si>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</si>
  <si>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</si>
  <si>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</si>
  <si>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</si>
  <si>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</si>
  <si>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</si>
  <si>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</si>
  <si>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</si>
  <si>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</si>
  <si>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</si>
  <si>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</si>
  <si>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</si>
  <si>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</si>
  <si>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</si>
  <si>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</si>
  <si>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</si>
  <si>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</si>
  <si>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</si>
  <si>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</si>
  <si>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</si>
  <si>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</si>
  <si>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</si>
  <si>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</si>
  <si>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</si>
  <si>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</si>
  <si>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</si>
  <si>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</si>
  <si>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</si>
  <si>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</si>
  <si>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</si>
  <si>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</si>
  <si>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</si>
  <si>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</si>
  <si>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</si>
  <si>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</si>
  <si>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</si>
  <si>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</si>
  <si>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</si>
  <si>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</si>
  <si>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</si>
  <si>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</si>
  <si>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</si>
  <si>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</si>
  <si>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</si>
  <si>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</si>
  <si>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</si>
  <si>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</si>
  <si>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</si>
  <si>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</si>
  <si>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</si>
  <si>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</si>
  <si>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</si>
  <si>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</si>
  <si>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</si>
  <si>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</si>
  <si>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</si>
  <si>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</si>
  <si>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</si>
  <si>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</si>
  <si>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</si>
  <si>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</si>
  <si>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</si>
  <si>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</si>
  <si>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</si>
  <si>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</si>
  <si>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</si>
  <si>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</si>
  <si>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</si>
  <si>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</si>
  <si>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</si>
  <si>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</si>
  <si>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</si>
  <si>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</si>
  <si>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</si>
  <si>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</si>
  <si>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</si>
  <si>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</si>
  <si>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</si>
  <si>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</si>
  <si>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</si>
  <si>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</si>
  <si>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</si>
  <si>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</si>
  <si>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</si>
  <si>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</si>
  <si>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</si>
  <si>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</si>
  <si>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</si>
  <si>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</si>
  <si>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</si>
  <si>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</si>
  <si>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</si>
  <si>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</si>
  <si>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</si>
  <si>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</si>
  <si>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</si>
  <si>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</si>
  <si>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</si>
  <si>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</si>
  <si>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</si>
  <si>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</si>
  <si>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</si>
  <si>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</si>
  <si>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</si>
  <si>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</si>
  <si>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</si>
  <si>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</si>
  <si>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</si>
  <si>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</si>
  <si>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</si>
  <si>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</si>
  <si>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</si>
  <si>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</si>
  <si>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</si>
  <si>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</si>
  <si>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</si>
  <si>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</si>
  <si>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</si>
  <si>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</si>
  <si>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</si>
  <si>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</si>
  <si>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</si>
  <si>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</si>
  <si>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</si>
  <si>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</si>
  <si>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</si>
  <si>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</si>
  <si>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</si>
  <si>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</si>
  <si>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</si>
  <si>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</si>
  <si>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</si>
  <si>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</si>
  <si>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</si>
  <si>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</si>
  <si>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</si>
  <si>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</si>
  <si>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</si>
  <si>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</si>
  <si>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</si>
  <si>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</si>
  <si>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</si>
  <si>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</si>
  <si>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</si>
  <si>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</si>
  <si>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</si>
  <si>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</si>
  <si>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</si>
  <si>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</si>
  <si>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</si>
  <si>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</si>
  <si>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</si>
  <si>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</si>
  <si>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</si>
  <si>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</si>
  <si>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</si>
  <si>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</si>
  <si>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</si>
  <si>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</si>
  <si>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</si>
  <si>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</si>
  <si>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</si>
  <si>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</si>
  <si>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</si>
  <si>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</si>
  <si>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</si>
  <si>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</si>
  <si>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</si>
  <si>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</si>
  <si>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</si>
  <si>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</si>
  <si>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</si>
  <si>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</si>
  <si>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</si>
  <si>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</si>
  <si>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</si>
  <si>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</si>
  <si>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</si>
  <si>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</si>
  <si>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</si>
  <si>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</si>
  <si>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</si>
  <si>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</si>
  <si>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</si>
  <si>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</si>
  <si>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</si>
  <si>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</si>
  <si>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</si>
  <si>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</si>
  <si>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</si>
  <si>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</si>
  <si>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</si>
  <si>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</si>
  <si>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</si>
  <si>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</si>
  <si>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</si>
  <si>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</si>
  <si>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</si>
  <si>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</si>
  <si>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</si>
  <si>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</si>
  <si>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</si>
  <si>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</si>
  <si>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</si>
  <si>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</si>
  <si>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</si>
  <si>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</si>
  <si>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</si>
  <si>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</si>
  <si>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</si>
  <si>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</si>
  <si>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</si>
  <si>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</si>
  <si>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</si>
  <si>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</si>
  <si>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</si>
  <si>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</si>
  <si>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</si>
  <si>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</si>
  <si>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</si>
  <si>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</si>
  <si>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</si>
  <si>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</si>
  <si>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</si>
  <si>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</si>
  <si>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</si>
  <si>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</si>
  <si>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</si>
  <si>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</si>
  <si>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</si>
  <si>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</si>
  <si>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</si>
  <si>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</si>
  <si>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</si>
  <si>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</si>
  <si>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</si>
  <si>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</si>
  <si>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</si>
  <si>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</si>
  <si>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</si>
  <si>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</si>
  <si>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</si>
  <si>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</si>
  <si>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</si>
  <si>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</si>
  <si>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</si>
  <si>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</si>
  <si>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</si>
  <si>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</si>
  <si>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</si>
  <si>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</si>
  <si>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</si>
  <si>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</si>
  <si>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</si>
  <si>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</si>
  <si>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</si>
  <si>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</si>
  <si>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</si>
  <si>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</si>
  <si>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</si>
  <si>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</si>
  <si>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</si>
  <si>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</si>
  <si>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</si>
  <si>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</si>
  <si>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</si>
  <si>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</si>
  <si>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</si>
  <si>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</si>
  <si>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</si>
  <si>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</si>
  <si>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</si>
  <si>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</si>
  <si>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</si>
  <si>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</si>
  <si>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</si>
  <si>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</si>
  <si>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</si>
  <si>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</si>
  <si>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</si>
  <si>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</si>
  <si>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</si>
  <si>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</si>
  <si>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</si>
  <si>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</si>
  <si>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</si>
  <si>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</si>
  <si>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</si>
  <si>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</si>
  <si>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</si>
  <si>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</si>
  <si>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</si>
  <si>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</si>
  <si>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</si>
  <si>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</si>
  <si>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</si>
  <si>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</si>
  <si>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</si>
  <si>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</si>
  <si>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</si>
  <si>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</si>
  <si>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</si>
  <si>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</si>
  <si>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</si>
  <si>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</si>
  <si>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</si>
  <si>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</si>
  <si>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</si>
  <si>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</si>
  <si>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</si>
  <si>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</si>
  <si>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</si>
  <si>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</si>
  <si>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</si>
  <si>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</si>
  <si>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</si>
  <si>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</si>
  <si>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</si>
  <si>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</si>
  <si>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</si>
  <si>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</si>
  <si>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</si>
  <si>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</si>
  <si>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</si>
  <si>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</si>
  <si>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</si>
  <si>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</si>
  <si>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</si>
  <si>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</si>
  <si>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</si>
  <si>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</si>
  <si>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</si>
  <si>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</si>
  <si>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</si>
  <si>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</si>
  <si>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</si>
  <si>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</si>
  <si>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</si>
  <si>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</si>
  <si>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</si>
  <si>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</si>
  <si>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</si>
  <si>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</si>
  <si>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</si>
  <si>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</si>
  <si>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</si>
  <si>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</si>
  <si>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</si>
  <si>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</si>
  <si>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</si>
  <si>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</si>
  <si>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</si>
  <si>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</si>
  <si>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</si>
  <si>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</si>
  <si>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</si>
  <si>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</si>
  <si>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</si>
  <si>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</si>
  <si>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</si>
  <si>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</si>
  <si>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</si>
  <si>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</si>
  <si>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</si>
  <si>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</si>
  <si>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</si>
  <si>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</si>
  <si>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</si>
  <si>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</si>
  <si>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</si>
  <si>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</si>
  <si>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</si>
  <si>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</si>
  <si>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</si>
  <si>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</si>
  <si>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</si>
  <si>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</si>
  <si>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</si>
  <si>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</si>
  <si>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</si>
  <si>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</si>
  <si>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</si>
  <si>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</si>
  <si>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</si>
  <si>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</si>
  <si>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</si>
  <si>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</si>
  <si>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</si>
  <si>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</si>
  <si>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</si>
  <si>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</si>
  <si>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</si>
  <si>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</si>
  <si>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</si>
  <si>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</si>
  <si>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</si>
  <si>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</si>
  <si>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</si>
  <si>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</si>
  <si>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</si>
  <si>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</si>
  <si>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</si>
  <si>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</si>
  <si>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</si>
  <si>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</si>
  <si>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</si>
  <si>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</si>
  <si>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</si>
  <si>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</si>
  <si>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</si>
  <si>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</si>
  <si>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</si>
  <si>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</si>
  <si>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</si>
  <si>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</si>
  <si>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</si>
  <si>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</si>
  <si>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</si>
  <si>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</si>
  <si>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</si>
  <si>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</si>
  <si>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</si>
  <si>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</si>
  <si>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</si>
  <si>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</si>
  <si>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</si>
  <si>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</si>
  <si>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</si>
  <si>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</si>
  <si>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</si>
  <si>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</si>
  <si>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</si>
  <si>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</si>
  <si>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</si>
  <si>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</si>
  <si>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</si>
  <si>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</si>
  <si>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</si>
  <si>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</si>
  <si>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</si>
  <si>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</si>
  <si>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</si>
  <si>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</si>
  <si>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</si>
  <si>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</si>
  <si>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</si>
  <si>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</si>
  <si>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</si>
  <si>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</si>
  <si>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</si>
  <si>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</si>
  <si>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</si>
  <si>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</si>
  <si>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</si>
  <si>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</si>
  <si>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</si>
  <si>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</si>
  <si>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</si>
  <si>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</si>
  <si>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</si>
  <si>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</si>
  <si>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</si>
  <si>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</si>
  <si>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</si>
  <si>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</si>
  <si>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</si>
  <si>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</si>
  <si>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</si>
  <si>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</si>
  <si>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</si>
  <si>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</si>
  <si>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</si>
  <si>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</si>
  <si>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</si>
  <si>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</si>
  <si>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</si>
  <si>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</si>
  <si>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</si>
  <si>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</si>
  <si>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</si>
  <si>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</si>
  <si>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</si>
  <si>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</si>
  <si>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</si>
  <si>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</si>
  <si>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</si>
  <si>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</si>
  <si>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</si>
  <si>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</si>
  <si>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</si>
  <si>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</si>
  <si>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</si>
  <si>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</si>
  <si>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</si>
  <si>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</si>
  <si>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</si>
  <si>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</si>
  <si>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</si>
  <si>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</si>
  <si>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</si>
  <si>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</si>
  <si>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</si>
  <si>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</si>
  <si>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</si>
  <si>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</si>
  <si>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</si>
  <si>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</si>
  <si>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</si>
  <si>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</si>
  <si>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</si>
  <si>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</si>
  <si>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</si>
  <si>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</si>
  <si>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</si>
  <si>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</si>
  <si>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</si>
  <si>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</si>
  <si>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</si>
  <si>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</si>
  <si>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</si>
  <si>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</si>
  <si>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</si>
  <si>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</si>
  <si>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</si>
  <si>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</si>
  <si>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</si>
  <si>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</si>
  <si>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</si>
  <si>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</si>
  <si>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</si>
  <si>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</si>
  <si>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</si>
  <si>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</si>
  <si>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估价对象</t>
  </si>
  <si>
    <r>
      <rPr>
        <sz val="10"/>
        <rFont val="仿宋_GB2312"/>
        <family val="3"/>
        <charset val="134"/>
      </rPr>
      <t>项目</t>
    </r>
  </si>
  <si>
    <t>估价对象</t>
    <phoneticPr fontId="135" type="noConversion"/>
  </si>
  <si>
    <r>
      <rPr>
        <sz val="10"/>
        <rFont val="仿宋_GB2312"/>
        <family val="3"/>
        <charset val="134"/>
      </rPr>
      <t>可比实例</t>
    </r>
    <r>
      <rPr>
        <sz val="10"/>
        <rFont val="Arial"/>
        <family val="2"/>
      </rPr>
      <t>1</t>
    </r>
    <phoneticPr fontId="135" type="noConversion"/>
  </si>
  <si>
    <r>
      <rPr>
        <sz val="10"/>
        <rFont val="仿宋_GB2312"/>
        <family val="3"/>
        <charset val="134"/>
      </rPr>
      <t>可比实例</t>
    </r>
    <r>
      <rPr>
        <sz val="10"/>
        <rFont val="Arial"/>
        <family val="2"/>
      </rPr>
      <t>2</t>
    </r>
    <phoneticPr fontId="135" type="noConversion"/>
  </si>
  <si>
    <r>
      <rPr>
        <sz val="10"/>
        <rFont val="仿宋_GB2312"/>
        <family val="3"/>
        <charset val="134"/>
      </rPr>
      <t>可比实例</t>
    </r>
    <r>
      <rPr>
        <sz val="10"/>
        <rFont val="Arial"/>
        <family val="2"/>
      </rPr>
      <t>3</t>
    </r>
    <phoneticPr fontId="135" type="noConversion"/>
  </si>
  <si>
    <r>
      <rPr>
        <sz val="10"/>
        <rFont val="仿宋_GB2312"/>
        <family val="3"/>
        <charset val="134"/>
      </rPr>
      <t>小区名称</t>
    </r>
  </si>
  <si>
    <t>科荟雅苑</t>
    <rPh sb="0" eb="1">
      <t>xing hong ya yaun</t>
    </rPh>
    <phoneticPr fontId="135" type="noConversion"/>
  </si>
  <si>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</si>
  <si>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</si>
  <si>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</si>
  <si>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t>道路通达度</t>
  </si>
  <si>
    <t>＜0.5km有主干道</t>
  </si>
  <si>
    <t>[0.5,1)km有主干道</t>
  </si>
  <si>
    <t>＜0.5km有次干道</t>
  </si>
  <si>
    <t>[0.5,1)km有次干道</t>
  </si>
  <si>
    <t>≥1km有次干道</t>
  </si>
  <si>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</si>
  <si>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</si>
  <si>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</si>
  <si>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35" type="noConversion"/>
  </si>
  <si>
    <t>估价对象周边1公里有世嘉光织谷东区、世嘉光织谷西区、雁栖一品园、优品园、育龙铭居等社区，居住区成熟度一般。</t>
    <phoneticPr fontId="135" type="noConversion"/>
  </si>
  <si>
    <t>估价对象周边1公里有科荟雅苑、世嘉光织谷西区、雁栖一品园、优品园、育龙铭居等社区，居住区成熟度一般。</t>
    <phoneticPr fontId="135" type="noConversion"/>
  </si>
  <si>
    <t>估价对象周边1公里有世嘉光织谷东区、科荟雅苑、雁栖一品园、优品园、育龙铭居等社区，居住区成熟度一般。</t>
    <phoneticPr fontId="135" type="noConversion"/>
  </si>
  <si>
    <t>估价对象周边1公里有世嘉光织谷东区、世嘉光织谷西区、科荟雅苑、优品园、育龙铭居等社区，居住区成熟度一般。</t>
    <phoneticPr fontId="135" type="noConversion"/>
  </si>
  <si>
    <t>距离轨道交通站点距离</t>
  </si>
  <si>
    <t>＜0.5km</t>
  </si>
  <si>
    <t>[0.5,1)km</t>
  </si>
  <si>
    <t>[1,1.5)km</t>
  </si>
  <si>
    <t>[1.5,2)km</t>
  </si>
  <si>
    <t>≥2km</t>
  </si>
  <si>
    <t>道路通达度</t>
    <phoneticPr fontId="135" type="noConversion"/>
  </si>
  <si>
    <t>周边500米内有城市次干道——雁栖镇六路</t>
    <phoneticPr fontId="135" type="noConversion"/>
  </si>
  <si>
    <t>周边500米内有城市次干道——雁栖中心路</t>
    <phoneticPr fontId="135" type="noConversion"/>
  </si>
  <si>
    <t>周边500米内有城市次干道——雁栖镇四路</t>
    <phoneticPr fontId="135" type="noConversion"/>
  </si>
  <si>
    <t>距离轨道交通站点距离</t>
    <phoneticPr fontId="135" type="noConversion"/>
  </si>
  <si>
    <t>周边无地铁线路</t>
    <phoneticPr fontId="135" type="noConversion"/>
  </si>
  <si>
    <t>距离公交站点距离</t>
  </si>
  <si>
    <t>距离公交站点距离</t>
    <phoneticPr fontId="135" type="noConversion"/>
  </si>
  <si>
    <t>周边500米内有H20路、H69路、H79路、H85路等公交线路途径并设立站点</t>
    <phoneticPr fontId="135" type="noConversion"/>
  </si>
  <si>
    <t>自然环境</t>
    <phoneticPr fontId="135" type="noConversion"/>
  </si>
  <si>
    <t>估价对象周边2公里内有雁栖河、怀柔雁栖精神文明建设主题公园等自然景观，自然与人文环境一般。周边5km内无污染源。</t>
    <phoneticPr fontId="135" type="noConversion"/>
  </si>
  <si>
    <t>公共配套设施</t>
    <phoneticPr fontId="135" type="noConversion"/>
  </si>
  <si>
    <t>好</t>
    <phoneticPr fontId="135" type="noConversion"/>
  </si>
  <si>
    <t>较好</t>
    <phoneticPr fontId="135" type="noConversion"/>
  </si>
  <si>
    <t>一般</t>
    <phoneticPr fontId="135" type="noConversion"/>
  </si>
  <si>
    <t>较差</t>
    <phoneticPr fontId="135" type="noConversion"/>
  </si>
  <si>
    <t>差</t>
    <phoneticPr fontId="135" type="noConversion"/>
  </si>
  <si>
    <t>公共配套</t>
    <phoneticPr fontId="135" type="noConversion"/>
  </si>
  <si>
    <t>估价对象所在区域周边2公里范围内有物美超市、慈善超市等商业场所；中关村第一小学（怀柔分校）、北京第三实验学校等教育机构；北京汇都中医医院、雁栖医院等医疗机构；有华夏银行、北京怀柔融兴村镇银行等金融网点，公共配套设施状况一般。</t>
    <phoneticPr fontId="135" type="noConversion"/>
  </si>
  <si>
    <t>楼层</t>
    <phoneticPr fontId="135" type="noConversion"/>
  </si>
  <si>
    <t>高楼层</t>
    <phoneticPr fontId="135" type="noConversion"/>
  </si>
  <si>
    <t>朝向</t>
    <phoneticPr fontId="135" type="noConversion"/>
  </si>
  <si>
    <t>南</t>
    <phoneticPr fontId="135" type="noConversion"/>
  </si>
  <si>
    <r>
      <rPr>
        <sz val="11"/>
        <color theme="1"/>
        <rFont val="仿宋_GB2312"/>
        <family val="3"/>
        <charset val="134"/>
      </rPr>
      <t>实物状况</t>
    </r>
  </si>
  <si>
    <t>物业外观</t>
    <phoneticPr fontId="135" type="noConversion"/>
  </si>
  <si>
    <t>公共区域装修</t>
    <phoneticPr fontId="135" type="noConversion"/>
  </si>
  <si>
    <t>精装修</t>
    <phoneticPr fontId="135" type="noConversion"/>
  </si>
  <si>
    <t>室内装饰装修</t>
    <phoneticPr fontId="135" type="noConversion"/>
  </si>
  <si>
    <t>普通装修</t>
    <phoneticPr fontId="135" type="noConversion"/>
  </si>
  <si>
    <t>设施设备</t>
    <phoneticPr fontId="248" type="noConversion"/>
  </si>
  <si>
    <t>有燃气</t>
    <phoneticPr fontId="248" type="noConversion"/>
  </si>
  <si>
    <t>综合管理服务设施</t>
    <phoneticPr fontId="135" type="noConversion"/>
  </si>
  <si>
    <t>有快递柜、垃圾分类收集点</t>
    <rPh sb="0" eb="1">
      <t>er</t>
    </rPh>
    <phoneticPr fontId="135" type="noConversion"/>
  </si>
  <si>
    <t>户型布局</t>
    <phoneticPr fontId="135" type="noConversion"/>
  </si>
  <si>
    <t>开间</t>
    <phoneticPr fontId="135" type="noConversion"/>
  </si>
  <si>
    <t>户型结构</t>
    <phoneticPr fontId="135" type="noConversion"/>
  </si>
  <si>
    <t>平层</t>
    <phoneticPr fontId="248" type="noConversion"/>
  </si>
  <si>
    <t>建筑面积</t>
    <phoneticPr fontId="248" type="noConversion"/>
  </si>
  <si>
    <t>家具家电</t>
    <phoneticPr fontId="135" type="noConversion"/>
  </si>
  <si>
    <t>配备家具、家电齐全；功能正常，质量有保证，较好</t>
    <phoneticPr fontId="135" type="noConversion"/>
  </si>
  <si>
    <t>权益状况</t>
    <phoneticPr fontId="135" type="noConversion"/>
  </si>
  <si>
    <t>服务及管理水平</t>
    <phoneticPr fontId="135" type="noConversion"/>
  </si>
  <si>
    <t>专业物业管理，封闭式管理</t>
    <phoneticPr fontId="135" type="noConversion"/>
  </si>
  <si>
    <t>普通物业管理</t>
    <phoneticPr fontId="135" type="noConversion"/>
  </si>
  <si>
    <t>水电气费执行标准</t>
    <phoneticPr fontId="135" type="noConversion"/>
  </si>
  <si>
    <t>民水民电</t>
    <phoneticPr fontId="135" type="noConversion"/>
  </si>
  <si>
    <t>loft</t>
    <phoneticPr fontId="135" type="noConversion"/>
  </si>
  <si>
    <t>平层</t>
    <phoneticPr fontId="135" type="noConversion"/>
  </si>
  <si>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</si>
  <si>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</si>
  <si>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</si>
  <si>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</si>
  <si>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</si>
  <si>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租赁税费</t>
    <phoneticPr fontId="135" type="noConversion"/>
  </si>
  <si>
    <t>0-60</t>
    <phoneticPr fontId="135" type="noConversion"/>
  </si>
  <si>
    <t>60-70</t>
    <phoneticPr fontId="135" type="noConversion"/>
  </si>
  <si>
    <t>70-80</t>
    <phoneticPr fontId="135" type="noConversion"/>
  </si>
  <si>
    <t>85-90</t>
    <phoneticPr fontId="135" type="noConversion"/>
  </si>
  <si>
    <t>90+</t>
    <phoneticPr fontId="135" type="noConversion"/>
  </si>
  <si>
    <t>0-50</t>
    <phoneticPr fontId="135" type="noConversion"/>
  </si>
  <si>
    <t>50-65</t>
    <phoneticPr fontId="135" type="noConversion"/>
  </si>
  <si>
    <t>65-80</t>
    <phoneticPr fontId="135" type="noConversion"/>
  </si>
  <si>
    <t>80+</t>
    <phoneticPr fontId="135" type="noConversion"/>
  </si>
  <si>
    <t>南北</t>
    <phoneticPr fontId="135" type="noConversion"/>
  </si>
  <si>
    <t>东南</t>
    <phoneticPr fontId="135" type="noConversion"/>
  </si>
  <si>
    <t>西南</t>
    <phoneticPr fontId="135" type="noConversion"/>
  </si>
  <si>
    <t>东西</t>
    <phoneticPr fontId="135" type="noConversion"/>
  </si>
  <si>
    <t>东</t>
    <phoneticPr fontId="135" type="noConversion"/>
  </si>
  <si>
    <t>西</t>
    <phoneticPr fontId="135" type="noConversion"/>
  </si>
  <si>
    <t>东北</t>
    <phoneticPr fontId="135" type="noConversion"/>
  </si>
  <si>
    <t>西北</t>
    <phoneticPr fontId="135" type="noConversion"/>
  </si>
  <si>
    <t>北</t>
    <phoneticPr fontId="135" type="noConversion"/>
  </si>
  <si>
    <t>家具家电齐全</t>
    <phoneticPr fontId="135" type="noConversion"/>
  </si>
  <si>
    <t>无家具家电</t>
    <phoneticPr fontId="135" type="noConversion"/>
  </si>
  <si>
    <t>一居、二居</t>
    <phoneticPr fontId="135" type="noConversion"/>
  </si>
  <si>
    <t>三居四居</t>
    <phoneticPr fontId="135" type="noConversion"/>
  </si>
  <si>
    <t>五居六居</t>
    <phoneticPr fontId="135" type="noConversion"/>
  </si>
  <si>
    <t>翡翠华府</t>
    <phoneticPr fontId="135" type="noConversion"/>
  </si>
  <si>
    <t>3室</t>
    <phoneticPr fontId="135" type="noConversion"/>
  </si>
  <si>
    <t>世嘉光织谷东区</t>
    <phoneticPr fontId="135" type="noConversion"/>
  </si>
  <si>
    <t>2室</t>
    <phoneticPr fontId="135" type="noConversion"/>
  </si>
  <si>
    <t>世嘉光织谷西区</t>
    <phoneticPr fontId="135" type="noConversion"/>
  </si>
  <si>
    <t>东南北</t>
    <phoneticPr fontId="135" type="noConversion"/>
  </si>
  <si>
    <t>4室</t>
    <phoneticPr fontId="135" type="noConversion"/>
  </si>
  <si>
    <t>复式</t>
    <phoneticPr fontId="135" type="noConversion"/>
  </si>
  <si>
    <t>雁栖一品园</t>
    <phoneticPr fontId="135" type="noConversion"/>
  </si>
  <si>
    <t>1室</t>
    <phoneticPr fontId="135" type="noConversion"/>
  </si>
  <si>
    <t>优品园</t>
    <phoneticPr fontId="135" type="noConversion"/>
  </si>
  <si>
    <t>国际科技创新中心建设_首都之窗_北京市人民政府门户网站</t>
  </si>
  <si>
    <r>
      <rPr>
        <b/>
        <sz val="20"/>
        <rFont val="宋体"/>
        <family val="3"/>
        <charset val="134"/>
      </rPr>
      <t>科荟雅园项目保100套障性租赁住房房源源使用情况明细</t>
    </r>
    <r>
      <rPr>
        <b/>
        <sz val="20"/>
        <rFont val="宋体"/>
        <family val="3"/>
        <charset val="134"/>
      </rPr>
      <t>台账</t>
    </r>
  </si>
  <si>
    <t>填表单位：北京怀柔科学城置业有限公司</t>
  </si>
  <si>
    <t>填表日期：2025年10月17日</t>
  </si>
  <si>
    <t>序号</t>
  </si>
  <si>
    <t>楼号</t>
  </si>
  <si>
    <t>单元</t>
  </si>
  <si>
    <t>房号</t>
  </si>
  <si>
    <t>租赁面积</t>
  </si>
  <si>
    <t>户型</t>
  </si>
  <si>
    <t>承租人</t>
  </si>
  <si>
    <t>联系电话</t>
  </si>
  <si>
    <t>承租人工作单位</t>
  </si>
  <si>
    <t>租赁合同起止日期</t>
  </si>
  <si>
    <t>备注</t>
  </si>
  <si>
    <t>两居</t>
  </si>
  <si>
    <t>三居</t>
  </si>
  <si>
    <t>张志斌</t>
  </si>
  <si>
    <t>北京大学物理学院轻元素量子材料交叉平台</t>
  </si>
  <si>
    <t>2025.1.1-2027.12.31</t>
  </si>
  <si>
    <t>已入住</t>
  </si>
  <si>
    <t>何辉</t>
  </si>
  <si>
    <t>启元实验室</t>
  </si>
  <si>
    <t>已预订</t>
  </si>
  <si>
    <t>科服</t>
  </si>
  <si>
    <t>李藤</t>
  </si>
  <si>
    <t>孙育杰</t>
  </si>
  <si>
    <t>北京大学未来技术学院国家生物医学成像科学中心多模态跨尺度生物医学成像设施</t>
  </si>
  <si>
    <t>2025.1.1-2025.12.31</t>
  </si>
  <si>
    <t>杜章磊</t>
  </si>
  <si>
    <t>李宁宁</t>
  </si>
  <si>
    <t>2025.9.1-2025.12.31</t>
  </si>
  <si>
    <t>郑雯</t>
  </si>
  <si>
    <t>2025.5.1-2025.12.31</t>
  </si>
  <si>
    <t>赵珊</t>
  </si>
  <si>
    <t>邬一谦</t>
  </si>
  <si>
    <t>孙赫</t>
  </si>
  <si>
    <t>牛佳浩</t>
  </si>
  <si>
    <t>李健</t>
  </si>
  <si>
    <t>北京激光加速创新中心（北京锐德康科技有限公司）</t>
  </si>
  <si>
    <t>2025.3.25-2026.3.24</t>
  </si>
  <si>
    <t>常浩</t>
  </si>
  <si>
    <t>2025.4.1-2025.12.31</t>
  </si>
  <si>
    <t>杨岑</t>
  </si>
  <si>
    <t>王玥</t>
  </si>
  <si>
    <t>任君</t>
  </si>
  <si>
    <t>赵春竹</t>
  </si>
  <si>
    <t>唐水晶</t>
  </si>
  <si>
    <t>熊汗青</t>
  </si>
  <si>
    <t>那帅</t>
  </si>
  <si>
    <t>张金博</t>
  </si>
  <si>
    <t>刘晋伟</t>
  </si>
  <si>
    <t>张一帆/张一</t>
  </si>
  <si>
    <t>18749856864/18612219313</t>
  </si>
  <si>
    <t>姜志奇、宋星</t>
  </si>
  <si>
    <t>13811306200、13910123637</t>
  </si>
  <si>
    <t>北京怀柔科学城生命科学产业创新研究院</t>
  </si>
  <si>
    <t>成瑶</t>
  </si>
  <si>
    <t>纪学杨</t>
  </si>
  <si>
    <t>张泉峰</t>
  </si>
  <si>
    <t>邵欣/闫晓旭</t>
  </si>
  <si>
    <t>17852097373/1813105432</t>
  </si>
  <si>
    <t>马淇</t>
  </si>
  <si>
    <t>庞大为</t>
  </si>
  <si>
    <t>宋坤</t>
  </si>
  <si>
    <t>刘丽君</t>
  </si>
  <si>
    <t>侯学谦、李凤娟</t>
  </si>
  <si>
    <t>13801003396、13439250796</t>
  </si>
  <si>
    <t>黄韶君、刘振明</t>
  </si>
  <si>
    <t>18510001479、13311134423</t>
  </si>
  <si>
    <t>祝利红</t>
  </si>
  <si>
    <t>国标（北京）检验认证有限公司（组织部）</t>
  </si>
  <si>
    <t>王雪连/任静</t>
  </si>
  <si>
    <t>18810099846/15732141907</t>
  </si>
  <si>
    <t>马雷、王文耀</t>
  </si>
  <si>
    <t>13588195555/18810530740</t>
  </si>
  <si>
    <t>李昂</t>
  </si>
  <si>
    <t>刘贝</t>
  </si>
  <si>
    <t>武晓宇</t>
  </si>
  <si>
    <t>合计</t>
  </si>
  <si>
    <t>注：100套房源中，已入住32套，已预定16套。空置房源52套。</t>
  </si>
  <si>
    <t>地上</t>
  </si>
  <si>
    <t>是</t>
  </si>
  <si>
    <t>住宅</t>
    <phoneticPr fontId="8" type="noConversion"/>
  </si>
  <si>
    <t>成新度</t>
  </si>
  <si>
    <t>收益法 (元)</t>
  </si>
  <si>
    <t>押一</t>
  </si>
  <si>
    <t>钢混</t>
  </si>
  <si>
    <t>非生产用房</t>
  </si>
  <si>
    <t>自定义容积率</t>
  </si>
  <si>
    <t>无</t>
  </si>
  <si>
    <t>有</t>
  </si>
  <si>
    <t>1000米以外</t>
  </si>
  <si>
    <t>与级别开发程度不一致</t>
  </si>
  <si>
    <t>通路</t>
  </si>
  <si>
    <t>通电</t>
  </si>
  <si>
    <t>通讯</t>
  </si>
  <si>
    <t>通上水</t>
  </si>
  <si>
    <t>通下水</t>
  </si>
  <si>
    <t>通热</t>
  </si>
  <si>
    <t>燃气</t>
  </si>
  <si>
    <t>平整</t>
  </si>
  <si>
    <t>按公示增长率计算</t>
  </si>
  <si>
    <t>中心城区以外</t>
  </si>
  <si>
    <t>一般</t>
  </si>
  <si>
    <t>较好</t>
  </si>
  <si>
    <t>好</t>
  </si>
  <si>
    <t>已包含在土地取得成本中</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</si>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</sst>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0.5"/>
      <name val="宋体"/>
      <family val="3"/>
      <charset val="134"/>
    </font>
    <font>
      <sz val="10"/>
      <name val="仿宋_GB2312"/>
      <family val="3"/>
      <charset val="134"/>
    </font>
    <font>
      <sz val="11"/>
      <color rgb="FFFF0000"/>
      <name val="宋体"/>
      <family val="2"/>
      <scheme val="minor"/>
    </font>
    <font>
      <sz val="11"/>
      <color theme="1"/>
      <name val="仿宋_GB2312"/>
      <family val="3"/>
      <charset val="134"/>
    </font>
    <font>
      <u/>
      <sz val="11"/>
      <color theme="10"/>
      <name val="宋体"/>
      <family val="2"/>
      <scheme val="minor"/>
    </font>
    <font>
      <b/>
      <sz val="20"/>
      <name val="宋体"/>
      <family val="3"/>
      <charset val="134"/>
      <scheme val="minor"/>
    </font>
    <font>
      <b/>
      <sz val="20"/>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0" tint="-4.9989318521683403E-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0" fontId="37" fillId="0" borderId="0"/>
    <xf numFmtId="0" fontId="276" fillId="0" borderId="0" applyNumberFormat="0" applyFill="0" applyBorder="0" applyAlignment="0" applyProtection="0"/>
  </cellStyleXfs>
  <cellXfs count="356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272" fillId="0" borderId="0" xfId="19" applyFont="1" applyAlignment="1">
      <alignment horizontal="center"/>
    </xf>
    <xf numFmtId="0" fontId="1" fillId="0" borderId="0" xfId="19"/>
    <xf numFmtId="0" fontId="273" fillId="0" borderId="1" xfId="20" applyFont="1" applyBorder="1" applyAlignment="1">
      <alignment horizontal="center" vertical="center" wrapText="1"/>
    </xf>
    <xf numFmtId="0" fontId="54" fillId="0" borderId="1" xfId="20" applyFont="1" applyBorder="1" applyAlignment="1">
      <alignment horizontal="center" vertical="center" wrapText="1"/>
    </xf>
    <xf numFmtId="183" fontId="54" fillId="0" borderId="1" xfId="20" applyNumberFormat="1" applyFont="1" applyBorder="1" applyAlignment="1">
      <alignment horizontal="center" vertical="center" wrapText="1"/>
    </xf>
    <xf numFmtId="0" fontId="54" fillId="0" borderId="1" xfId="20" applyFont="1" applyBorder="1" applyAlignment="1">
      <alignment horizontal="center" vertical="center"/>
    </xf>
    <xf numFmtId="0" fontId="1" fillId="22" borderId="0" xfId="19" applyFill="1"/>
    <xf numFmtId="0" fontId="274" fillId="0" borderId="0" xfId="19" applyFont="1"/>
    <xf numFmtId="0" fontId="273" fillId="0" borderId="15" xfId="20" applyFont="1" applyBorder="1" applyAlignment="1">
      <alignment horizontal="center" vertical="center" wrapText="1"/>
    </xf>
    <xf numFmtId="9" fontId="273" fillId="0" borderId="1" xfId="20" applyNumberFormat="1" applyFont="1" applyBorder="1" applyAlignment="1">
      <alignment horizontal="center" vertical="center" wrapText="1"/>
    </xf>
    <xf numFmtId="0" fontId="114" fillId="0" borderId="1" xfId="20" applyFont="1" applyBorder="1" applyAlignment="1">
      <alignment horizontal="center" vertical="center" wrapText="1"/>
    </xf>
    <xf numFmtId="181" fontId="273" fillId="0" borderId="1" xfId="20" applyNumberFormat="1" applyFont="1" applyBorder="1" applyAlignment="1">
      <alignment horizontal="center" vertical="center" wrapText="1"/>
    </xf>
    <xf numFmtId="0" fontId="111" fillId="0" borderId="1" xfId="20" applyFont="1" applyBorder="1" applyAlignment="1">
      <alignment horizontal="center" vertical="center" wrapText="1"/>
    </xf>
    <xf numFmtId="0" fontId="100" fillId="0" borderId="1" xfId="20" applyFont="1" applyBorder="1" applyAlignment="1">
      <alignment horizontal="center" vertical="center" wrapText="1"/>
    </xf>
    <xf numFmtId="49" fontId="273" fillId="0" borderId="1" xfId="20" applyNumberFormat="1" applyFont="1" applyBorder="1" applyAlignment="1">
      <alignment horizontal="center" vertical="center" wrapText="1"/>
    </xf>
    <xf numFmtId="0" fontId="114" fillId="7" borderId="1" xfId="20" applyFont="1" applyFill="1" applyBorder="1" applyAlignment="1">
      <alignment horizontal="center" vertical="center" wrapText="1"/>
    </xf>
    <xf numFmtId="0" fontId="54" fillId="7" borderId="1" xfId="20" applyFont="1" applyFill="1" applyBorder="1" applyAlignment="1">
      <alignment horizontal="center" vertical="center" wrapText="1"/>
    </xf>
    <xf numFmtId="49" fontId="273" fillId="7" borderId="1" xfId="20" applyNumberFormat="1" applyFont="1" applyFill="1" applyBorder="1" applyAlignment="1">
      <alignment horizontal="center" vertical="center" wrapText="1"/>
    </xf>
    <xf numFmtId="0" fontId="99" fillId="0" borderId="35" xfId="19" applyFont="1" applyBorder="1" applyAlignment="1">
      <alignment vertical="center"/>
    </xf>
    <xf numFmtId="0" fontId="1" fillId="0" borderId="0" xfId="19" applyAlignment="1">
      <alignment vertical="center"/>
    </xf>
    <xf numFmtId="0" fontId="1" fillId="10" borderId="0" xfId="19" applyFill="1" applyAlignment="1">
      <alignment vertical="center"/>
    </xf>
    <xf numFmtId="0" fontId="96" fillId="0" borderId="0" xfId="19" applyFont="1" applyAlignment="1">
      <alignment vertical="center"/>
    </xf>
    <xf numFmtId="2" fontId="1" fillId="0" borderId="0" xfId="19" applyNumberFormat="1"/>
    <xf numFmtId="0" fontId="276" fillId="0" borderId="0" xfId="21"/>
    <xf numFmtId="0" fontId="1" fillId="5" borderId="0" xfId="19" applyFill="1"/>
    <xf numFmtId="49" fontId="1" fillId="0" borderId="0" xfId="19" applyNumberFormat="1"/>
    <xf numFmtId="0" fontId="194" fillId="0" borderId="0" xfId="19" applyFont="1" applyAlignment="1">
      <alignment vertical="center"/>
    </xf>
    <xf numFmtId="0" fontId="194" fillId="0" borderId="13" xfId="19" applyFont="1" applyBorder="1" applyAlignment="1">
      <alignment horizontal="center" vertical="center"/>
    </xf>
    <xf numFmtId="0" fontId="148" fillId="0" borderId="1" xfId="19" applyFont="1" applyBorder="1" applyAlignment="1">
      <alignment horizontal="center" vertical="center"/>
    </xf>
    <xf numFmtId="0" fontId="148" fillId="0" borderId="1" xfId="19" applyFont="1" applyBorder="1" applyAlignment="1">
      <alignment vertical="center"/>
    </xf>
    <xf numFmtId="0" fontId="148" fillId="23" borderId="1" xfId="19" applyFont="1" applyFill="1" applyBorder="1" applyAlignment="1">
      <alignment horizontal="center" vertical="center"/>
    </xf>
    <xf numFmtId="0" fontId="37" fillId="23" borderId="1" xfId="19" applyFont="1" applyFill="1" applyBorder="1" applyAlignment="1">
      <alignment horizontal="center" vertical="center"/>
    </xf>
    <xf numFmtId="12" fontId="37" fillId="23" borderId="1" xfId="19" applyNumberFormat="1" applyFont="1" applyFill="1" applyBorder="1" applyAlignment="1">
      <alignment horizontal="center" vertical="center" wrapText="1"/>
    </xf>
    <xf numFmtId="0" fontId="148" fillId="24" borderId="1" xfId="19" applyFont="1" applyFill="1" applyBorder="1" applyAlignment="1">
      <alignment horizontal="center" vertical="center"/>
    </xf>
    <xf numFmtId="0" fontId="195" fillId="0" borderId="1" xfId="19" applyFont="1" applyBorder="1" applyAlignment="1">
      <alignment horizontal="center" vertical="center"/>
    </xf>
    <xf numFmtId="0" fontId="1" fillId="0" borderId="1" xfId="19" applyBorder="1" applyAlignment="1">
      <alignment horizontal="center" vertical="center"/>
    </xf>
    <xf numFmtId="0" fontId="1" fillId="0" borderId="1" xfId="19" applyBorder="1" applyAlignment="1">
      <alignment vertical="center"/>
    </xf>
    <xf numFmtId="0" fontId="1" fillId="0" borderId="0" xfId="19" applyAlignment="1">
      <alignment horizontal="center" vertical="center"/>
    </xf>
    <xf numFmtId="2" fontId="1" fillId="0" borderId="0" xfId="19" applyNumberFormat="1" applyAlignment="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272" fillId="0" borderId="0" xfId="19" applyFont="1" applyAlignment="1">
      <alignment horizontal="center"/>
    </xf>
    <xf numFmtId="0" fontId="54" fillId="0" borderId="5" xfId="20" applyFont="1" applyBorder="1" applyAlignment="1">
      <alignment horizontal="center" vertical="center" wrapText="1"/>
    </xf>
    <xf numFmtId="0" fontId="54" fillId="0" borderId="3" xfId="20" applyFont="1" applyBorder="1" applyAlignment="1">
      <alignment horizontal="center" vertical="center" wrapText="1"/>
    </xf>
    <xf numFmtId="0" fontId="273" fillId="0" borderId="1" xfId="20" applyFont="1" applyBorder="1" applyAlignment="1">
      <alignment horizontal="center" vertical="center" wrapText="1"/>
    </xf>
    <xf numFmtId="0" fontId="54" fillId="0" borderId="1" xfId="20" applyFont="1" applyBorder="1" applyAlignment="1">
      <alignment horizontal="center" vertical="center" wrapText="1"/>
    </xf>
    <xf numFmtId="2" fontId="20" fillId="0" borderId="5" xfId="20" applyNumberFormat="1" applyFont="1" applyBorder="1" applyAlignment="1">
      <alignment horizontal="center" vertical="center" wrapText="1"/>
    </xf>
    <xf numFmtId="0" fontId="273" fillId="0" borderId="5" xfId="20" applyFont="1" applyBorder="1" applyAlignment="1">
      <alignment horizontal="center" vertical="center" wrapText="1"/>
    </xf>
    <xf numFmtId="0" fontId="20" fillId="0" borderId="5" xfId="20" applyFont="1" applyBorder="1" applyAlignment="1">
      <alignment horizontal="center" vertical="center" wrapText="1"/>
    </xf>
    <xf numFmtId="0" fontId="99" fillId="0" borderId="13" xfId="19" applyFont="1" applyBorder="1" applyAlignment="1">
      <alignment horizontal="center" vertical="center"/>
    </xf>
    <xf numFmtId="0" fontId="99" fillId="0" borderId="15" xfId="19" applyFont="1" applyBorder="1" applyAlignment="1">
      <alignment horizontal="center" vertical="center"/>
    </xf>
    <xf numFmtId="0" fontId="99" fillId="0" borderId="2" xfId="19" applyFont="1" applyBorder="1" applyAlignment="1">
      <alignment horizontal="center" vertical="center"/>
    </xf>
    <xf numFmtId="0" fontId="115" fillId="0" borderId="1" xfId="19" applyFont="1" applyBorder="1" applyAlignment="1">
      <alignment horizontal="center" vertical="center"/>
    </xf>
    <xf numFmtId="0" fontId="99" fillId="0" borderId="1" xfId="19" applyFont="1" applyBorder="1" applyAlignment="1">
      <alignment horizontal="center" vertical="center"/>
    </xf>
    <xf numFmtId="179" fontId="54" fillId="0" borderId="1" xfId="20" applyNumberFormat="1" applyFont="1" applyBorder="1" applyAlignment="1">
      <alignment horizontal="center" vertical="center" wrapText="1"/>
    </xf>
    <xf numFmtId="179" fontId="54" fillId="0" borderId="5" xfId="20" applyNumberFormat="1" applyFont="1" applyBorder="1" applyAlignment="1">
      <alignment horizontal="center" vertical="center" wrapText="1"/>
    </xf>
    <xf numFmtId="179" fontId="54" fillId="0" borderId="3" xfId="20" applyNumberFormat="1" applyFont="1" applyBorder="1" applyAlignment="1">
      <alignment horizontal="center" vertical="center" wrapText="1"/>
    </xf>
    <xf numFmtId="0" fontId="54" fillId="0" borderId="1" xfId="20" applyFont="1" applyBorder="1" applyAlignment="1">
      <alignment vertical="center" wrapText="1"/>
    </xf>
    <xf numFmtId="4" fontId="54" fillId="0" borderId="1" xfId="20" applyNumberFormat="1" applyFont="1" applyBorder="1" applyAlignment="1">
      <alignment horizontal="center" vertical="center" wrapText="1"/>
    </xf>
    <xf numFmtId="4" fontId="54" fillId="0" borderId="5" xfId="20" applyNumberFormat="1" applyFont="1" applyBorder="1" applyAlignment="1">
      <alignment horizontal="center" vertical="center" wrapText="1"/>
    </xf>
    <xf numFmtId="4" fontId="54" fillId="0" borderId="3" xfId="20" applyNumberFormat="1" applyFont="1" applyBorder="1" applyAlignment="1">
      <alignment horizontal="center" vertical="center" wrapText="1"/>
    </xf>
    <xf numFmtId="0" fontId="277" fillId="0" borderId="0" xfId="19" applyFont="1" applyAlignment="1">
      <alignment horizontal="center" vertical="center"/>
    </xf>
    <xf numFmtId="0" fontId="194" fillId="0" borderId="0" xfId="19" applyFont="1" applyAlignment="1">
      <alignment horizontal="left" vertical="center"/>
    </xf>
    <xf numFmtId="0" fontId="1" fillId="0" borderId="0" xfId="19" applyAlignment="1">
      <alignment horizontal="left"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2">
    <cellStyle name="百分比" xfId="17" builtinId="5"/>
    <cellStyle name="百分比 2" xfId="14" xr:uid="{00000000-0005-0000-0000-000001000000}"/>
    <cellStyle name="常规" xfId="0" builtinId="0"/>
    <cellStyle name="常规 10" xfId="19" xr:uid="{26C88364-E634-4822-8834-4B7737852938}"/>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3 3" xfId="20" xr:uid="{448583CE-C61E-49E8-81D6-E3451ADA4417}"/>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1" builtinId="8"/>
  </cellStyles>
  <dxfs count="16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24</xdr:col>
      <xdr:colOff>311727</xdr:colOff>
      <xdr:row>15</xdr:row>
      <xdr:rowOff>86054</xdr:rowOff>
    </xdr:from>
    <xdr:to>
      <xdr:col>31</xdr:col>
      <xdr:colOff>96002</xdr:colOff>
      <xdr:row>28</xdr:row>
      <xdr:rowOff>166366</xdr:rowOff>
    </xdr:to>
    <xdr:pic>
      <xdr:nvPicPr>
        <xdr:cNvPr id="2" name="图片 1">
          <a:extLst>
            <a:ext uri="{FF2B5EF4-FFF2-40B4-BE49-F238E27FC236}">
              <a16:creationId xmlns:a16="http://schemas.microsoft.com/office/drawing/2014/main" id="{32D6A15C-555F-4282-A713-6D6ECB50FAB4}"/>
            </a:ext>
          </a:extLst>
        </xdr:cNvPr>
        <xdr:cNvPicPr>
          <a:picLocks noChangeAspect="1"/>
        </xdr:cNvPicPr>
      </xdr:nvPicPr>
      <xdr:blipFill>
        <a:blip xmlns:r="http://schemas.openxmlformats.org/officeDocument/2006/relationships" r:embed="rId1"/>
        <a:stretch>
          <a:fillRect/>
        </a:stretch>
      </xdr:blipFill>
      <xdr:spPr>
        <a:xfrm>
          <a:off x="23019327" y="6439229"/>
          <a:ext cx="4518200" cy="3472079"/>
        </a:xfrm>
        <a:prstGeom prst="rect">
          <a:avLst/>
        </a:prstGeom>
      </xdr:spPr>
    </xdr:pic>
    <xdr:clientData/>
  </xdr:twoCellAnchor>
  <xdr:twoCellAnchor editAs="oneCell">
    <xdr:from>
      <xdr:col>24</xdr:col>
      <xdr:colOff>365917</xdr:colOff>
      <xdr:row>31</xdr:row>
      <xdr:rowOff>8658</xdr:rowOff>
    </xdr:from>
    <xdr:to>
      <xdr:col>31</xdr:col>
      <xdr:colOff>94285</xdr:colOff>
      <xdr:row>45</xdr:row>
      <xdr:rowOff>142319</xdr:rowOff>
    </xdr:to>
    <xdr:pic>
      <xdr:nvPicPr>
        <xdr:cNvPr id="3" name="图片 2">
          <a:extLst>
            <a:ext uri="{FF2B5EF4-FFF2-40B4-BE49-F238E27FC236}">
              <a16:creationId xmlns:a16="http://schemas.microsoft.com/office/drawing/2014/main" id="{DE0066AE-554D-4D22-9EA4-E51D402C141C}"/>
            </a:ext>
          </a:extLst>
        </xdr:cNvPr>
        <xdr:cNvPicPr>
          <a:picLocks noChangeAspect="1"/>
        </xdr:cNvPicPr>
      </xdr:nvPicPr>
      <xdr:blipFill>
        <a:blip xmlns:r="http://schemas.openxmlformats.org/officeDocument/2006/relationships" r:embed="rId2"/>
        <a:stretch>
          <a:fillRect/>
        </a:stretch>
      </xdr:blipFill>
      <xdr:spPr>
        <a:xfrm>
          <a:off x="23073517" y="10305183"/>
          <a:ext cx="4462293" cy="2546084"/>
        </a:xfrm>
        <a:prstGeom prst="rect">
          <a:avLst/>
        </a:prstGeom>
      </xdr:spPr>
    </xdr:pic>
    <xdr:clientData/>
  </xdr:twoCellAnchor>
  <xdr:twoCellAnchor editAs="oneCell">
    <xdr:from>
      <xdr:col>24</xdr:col>
      <xdr:colOff>181840</xdr:colOff>
      <xdr:row>42</xdr:row>
      <xdr:rowOff>43295</xdr:rowOff>
    </xdr:from>
    <xdr:to>
      <xdr:col>35</xdr:col>
      <xdr:colOff>342816</xdr:colOff>
      <xdr:row>49</xdr:row>
      <xdr:rowOff>69117</xdr:rowOff>
    </xdr:to>
    <xdr:pic>
      <xdr:nvPicPr>
        <xdr:cNvPr id="4" name="图片 3">
          <a:extLst>
            <a:ext uri="{FF2B5EF4-FFF2-40B4-BE49-F238E27FC236}">
              <a16:creationId xmlns:a16="http://schemas.microsoft.com/office/drawing/2014/main" id="{63497607-AEB6-47B7-B009-FB665152004A}"/>
            </a:ext>
          </a:extLst>
        </xdr:cNvPr>
        <xdr:cNvPicPr>
          <a:picLocks noChangeAspect="1"/>
        </xdr:cNvPicPr>
      </xdr:nvPicPr>
      <xdr:blipFill>
        <a:blip xmlns:r="http://schemas.openxmlformats.org/officeDocument/2006/relationships" r:embed="rId3"/>
        <a:stretch>
          <a:fillRect/>
        </a:stretch>
      </xdr:blipFill>
      <xdr:spPr>
        <a:xfrm>
          <a:off x="22889440" y="12330545"/>
          <a:ext cx="7600001" cy="1232033"/>
        </a:xfrm>
        <a:prstGeom prst="rect">
          <a:avLst/>
        </a:prstGeom>
      </xdr:spPr>
    </xdr:pic>
    <xdr:clientData/>
  </xdr:twoCellAnchor>
  <xdr:twoCellAnchor editAs="oneCell">
    <xdr:from>
      <xdr:col>24</xdr:col>
      <xdr:colOff>259772</xdr:colOff>
      <xdr:row>48</xdr:row>
      <xdr:rowOff>173181</xdr:rowOff>
    </xdr:from>
    <xdr:to>
      <xdr:col>35</xdr:col>
      <xdr:colOff>439796</xdr:colOff>
      <xdr:row>55</xdr:row>
      <xdr:rowOff>132337</xdr:rowOff>
    </xdr:to>
    <xdr:pic>
      <xdr:nvPicPr>
        <xdr:cNvPr id="5" name="图片 4">
          <a:extLst>
            <a:ext uri="{FF2B5EF4-FFF2-40B4-BE49-F238E27FC236}">
              <a16:creationId xmlns:a16="http://schemas.microsoft.com/office/drawing/2014/main" id="{1AC42471-9F91-4B07-83CC-D98DE59D3510}"/>
            </a:ext>
          </a:extLst>
        </xdr:cNvPr>
        <xdr:cNvPicPr>
          <a:picLocks noChangeAspect="1"/>
        </xdr:cNvPicPr>
      </xdr:nvPicPr>
      <xdr:blipFill>
        <a:blip xmlns:r="http://schemas.openxmlformats.org/officeDocument/2006/relationships" r:embed="rId4"/>
        <a:stretch>
          <a:fillRect/>
        </a:stretch>
      </xdr:blipFill>
      <xdr:spPr>
        <a:xfrm>
          <a:off x="22967372" y="13546281"/>
          <a:ext cx="7619049" cy="1165368"/>
        </a:xfrm>
        <a:prstGeom prst="rect">
          <a:avLst/>
        </a:prstGeom>
      </xdr:spPr>
    </xdr:pic>
    <xdr:clientData/>
  </xdr:twoCellAnchor>
  <xdr:twoCellAnchor editAs="oneCell">
    <xdr:from>
      <xdr:col>24</xdr:col>
      <xdr:colOff>233796</xdr:colOff>
      <xdr:row>53</xdr:row>
      <xdr:rowOff>173182</xdr:rowOff>
    </xdr:from>
    <xdr:to>
      <xdr:col>35</xdr:col>
      <xdr:colOff>423344</xdr:colOff>
      <xdr:row>61</xdr:row>
      <xdr:rowOff>102013</xdr:rowOff>
    </xdr:to>
    <xdr:pic>
      <xdr:nvPicPr>
        <xdr:cNvPr id="6" name="图片 5">
          <a:extLst>
            <a:ext uri="{FF2B5EF4-FFF2-40B4-BE49-F238E27FC236}">
              <a16:creationId xmlns:a16="http://schemas.microsoft.com/office/drawing/2014/main" id="{C8340FAA-23FA-4805-B1B2-9098B9875916}"/>
            </a:ext>
          </a:extLst>
        </xdr:cNvPr>
        <xdr:cNvPicPr>
          <a:picLocks noChangeAspect="1"/>
        </xdr:cNvPicPr>
      </xdr:nvPicPr>
      <xdr:blipFill>
        <a:blip xmlns:r="http://schemas.openxmlformats.org/officeDocument/2006/relationships" r:embed="rId5"/>
        <a:stretch>
          <a:fillRect/>
        </a:stretch>
      </xdr:blipFill>
      <xdr:spPr>
        <a:xfrm>
          <a:off x="22941396" y="14451157"/>
          <a:ext cx="7628573" cy="1307359"/>
        </a:xfrm>
        <a:prstGeom prst="rect">
          <a:avLst/>
        </a:prstGeom>
      </xdr:spPr>
    </xdr:pic>
    <xdr:clientData/>
  </xdr:twoCellAnchor>
  <xdr:twoCellAnchor editAs="oneCell">
    <xdr:from>
      <xdr:col>23</xdr:col>
      <xdr:colOff>632112</xdr:colOff>
      <xdr:row>59</xdr:row>
      <xdr:rowOff>103909</xdr:rowOff>
    </xdr:from>
    <xdr:to>
      <xdr:col>35</xdr:col>
      <xdr:colOff>508155</xdr:colOff>
      <xdr:row>67</xdr:row>
      <xdr:rowOff>42264</xdr:rowOff>
    </xdr:to>
    <xdr:pic>
      <xdr:nvPicPr>
        <xdr:cNvPr id="7" name="图片 6">
          <a:extLst>
            <a:ext uri="{FF2B5EF4-FFF2-40B4-BE49-F238E27FC236}">
              <a16:creationId xmlns:a16="http://schemas.microsoft.com/office/drawing/2014/main" id="{69116E62-EE06-4451-9144-593BFBC8046F}"/>
            </a:ext>
          </a:extLst>
        </xdr:cNvPr>
        <xdr:cNvPicPr>
          <a:picLocks noChangeAspect="1"/>
        </xdr:cNvPicPr>
      </xdr:nvPicPr>
      <xdr:blipFill>
        <a:blip xmlns:r="http://schemas.openxmlformats.org/officeDocument/2006/relationships" r:embed="rId6"/>
        <a:stretch>
          <a:fillRect/>
        </a:stretch>
      </xdr:blipFill>
      <xdr:spPr>
        <a:xfrm>
          <a:off x="22663437" y="15467734"/>
          <a:ext cx="7991343" cy="1317749"/>
        </a:xfrm>
        <a:prstGeom prst="rect">
          <a:avLst/>
        </a:prstGeom>
      </xdr:spPr>
    </xdr:pic>
    <xdr:clientData/>
  </xdr:twoCellAnchor>
  <xdr:twoCellAnchor editAs="oneCell">
    <xdr:from>
      <xdr:col>24</xdr:col>
      <xdr:colOff>82859</xdr:colOff>
      <xdr:row>66</xdr:row>
      <xdr:rowOff>60614</xdr:rowOff>
    </xdr:from>
    <xdr:to>
      <xdr:col>31</xdr:col>
      <xdr:colOff>477879</xdr:colOff>
      <xdr:row>90</xdr:row>
      <xdr:rowOff>69350</xdr:rowOff>
    </xdr:to>
    <xdr:pic>
      <xdr:nvPicPr>
        <xdr:cNvPr id="8" name="图片 7">
          <a:extLst>
            <a:ext uri="{FF2B5EF4-FFF2-40B4-BE49-F238E27FC236}">
              <a16:creationId xmlns:a16="http://schemas.microsoft.com/office/drawing/2014/main" id="{3CC8CF39-F3B1-4BDE-AD44-D142A04EF313}"/>
            </a:ext>
          </a:extLst>
        </xdr:cNvPr>
        <xdr:cNvPicPr>
          <a:picLocks noChangeAspect="1"/>
        </xdr:cNvPicPr>
      </xdr:nvPicPr>
      <xdr:blipFill>
        <a:blip xmlns:r="http://schemas.openxmlformats.org/officeDocument/2006/relationships" r:embed="rId7"/>
        <a:stretch>
          <a:fillRect/>
        </a:stretch>
      </xdr:blipFill>
      <xdr:spPr>
        <a:xfrm>
          <a:off x="22790459" y="16691264"/>
          <a:ext cx="5128945" cy="41451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269143</xdr:colOff>
      <xdr:row>0</xdr:row>
      <xdr:rowOff>0</xdr:rowOff>
    </xdr:from>
    <xdr:to>
      <xdr:col>30</xdr:col>
      <xdr:colOff>293986</xdr:colOff>
      <xdr:row>18</xdr:row>
      <xdr:rowOff>75662</xdr:rowOff>
    </xdr:to>
    <xdr:pic>
      <xdr:nvPicPr>
        <xdr:cNvPr id="2" name="图片 1">
          <a:extLst>
            <a:ext uri="{FF2B5EF4-FFF2-40B4-BE49-F238E27FC236}">
              <a16:creationId xmlns:a16="http://schemas.microsoft.com/office/drawing/2014/main" id="{E9A9C311-3FD7-480D-88C2-81AAC4B163C9}"/>
            </a:ext>
          </a:extLst>
        </xdr:cNvPr>
        <xdr:cNvPicPr>
          <a:picLocks noChangeAspect="1"/>
        </xdr:cNvPicPr>
      </xdr:nvPicPr>
      <xdr:blipFill>
        <a:blip xmlns:r="http://schemas.openxmlformats.org/officeDocument/2006/relationships" r:embed="rId1"/>
        <a:stretch>
          <a:fillRect/>
        </a:stretch>
      </xdr:blipFill>
      <xdr:spPr>
        <a:xfrm>
          <a:off x="13766068" y="0"/>
          <a:ext cx="7568643" cy="3161762"/>
        </a:xfrm>
        <a:prstGeom prst="rect">
          <a:avLst/>
        </a:prstGeom>
      </xdr:spPr>
    </xdr:pic>
    <xdr:clientData/>
  </xdr:twoCellAnchor>
  <xdr:twoCellAnchor editAs="oneCell">
    <xdr:from>
      <xdr:col>19</xdr:col>
      <xdr:colOff>561975</xdr:colOff>
      <xdr:row>15</xdr:row>
      <xdr:rowOff>141410</xdr:rowOff>
    </xdr:from>
    <xdr:to>
      <xdr:col>30</xdr:col>
      <xdr:colOff>265484</xdr:colOff>
      <xdr:row>47</xdr:row>
      <xdr:rowOff>141955</xdr:rowOff>
    </xdr:to>
    <xdr:pic>
      <xdr:nvPicPr>
        <xdr:cNvPr id="3" name="图片 2">
          <a:extLst>
            <a:ext uri="{FF2B5EF4-FFF2-40B4-BE49-F238E27FC236}">
              <a16:creationId xmlns:a16="http://schemas.microsoft.com/office/drawing/2014/main" id="{BCD52282-FA82-4ADA-919D-DD9AE5998DC5}"/>
            </a:ext>
          </a:extLst>
        </xdr:cNvPr>
        <xdr:cNvPicPr>
          <a:picLocks noChangeAspect="1"/>
        </xdr:cNvPicPr>
      </xdr:nvPicPr>
      <xdr:blipFill>
        <a:blip xmlns:r="http://schemas.openxmlformats.org/officeDocument/2006/relationships" r:embed="rId2"/>
        <a:stretch>
          <a:fillRect/>
        </a:stretch>
      </xdr:blipFill>
      <xdr:spPr>
        <a:xfrm>
          <a:off x="14058900" y="2856035"/>
          <a:ext cx="7247309" cy="5486945"/>
        </a:xfrm>
        <a:prstGeom prst="rect">
          <a:avLst/>
        </a:prstGeom>
      </xdr:spPr>
    </xdr:pic>
    <xdr:clientData/>
  </xdr:twoCellAnchor>
  <xdr:twoCellAnchor editAs="oneCell">
    <xdr:from>
      <xdr:col>19</xdr:col>
      <xdr:colOff>653863</xdr:colOff>
      <xdr:row>44</xdr:row>
      <xdr:rowOff>85724</xdr:rowOff>
    </xdr:from>
    <xdr:to>
      <xdr:col>30</xdr:col>
      <xdr:colOff>84539</xdr:colOff>
      <xdr:row>84</xdr:row>
      <xdr:rowOff>132175</xdr:rowOff>
    </xdr:to>
    <xdr:pic>
      <xdr:nvPicPr>
        <xdr:cNvPr id="4" name="图片 3">
          <a:extLst>
            <a:ext uri="{FF2B5EF4-FFF2-40B4-BE49-F238E27FC236}">
              <a16:creationId xmlns:a16="http://schemas.microsoft.com/office/drawing/2014/main" id="{7D6109DD-9F6D-4CB7-AC6E-86A01C9BDF25}"/>
            </a:ext>
          </a:extLst>
        </xdr:cNvPr>
        <xdr:cNvPicPr>
          <a:picLocks noChangeAspect="1"/>
        </xdr:cNvPicPr>
      </xdr:nvPicPr>
      <xdr:blipFill>
        <a:blip xmlns:r="http://schemas.openxmlformats.org/officeDocument/2006/relationships" r:embed="rId3"/>
        <a:stretch>
          <a:fillRect/>
        </a:stretch>
      </xdr:blipFill>
      <xdr:spPr>
        <a:xfrm>
          <a:off x="14150788" y="8048624"/>
          <a:ext cx="6974476" cy="6904451"/>
        </a:xfrm>
        <a:prstGeom prst="rect">
          <a:avLst/>
        </a:prstGeom>
      </xdr:spPr>
    </xdr:pic>
    <xdr:clientData/>
  </xdr:twoCellAnchor>
  <xdr:twoCellAnchor editAs="oneCell">
    <xdr:from>
      <xdr:col>20</xdr:col>
      <xdr:colOff>247649</xdr:colOff>
      <xdr:row>63</xdr:row>
      <xdr:rowOff>103796</xdr:rowOff>
    </xdr:from>
    <xdr:to>
      <xdr:col>31</xdr:col>
      <xdr:colOff>674710</xdr:colOff>
      <xdr:row>84</xdr:row>
      <xdr:rowOff>161207</xdr:rowOff>
    </xdr:to>
    <xdr:pic>
      <xdr:nvPicPr>
        <xdr:cNvPr id="5" name="图片 4">
          <a:extLst>
            <a:ext uri="{FF2B5EF4-FFF2-40B4-BE49-F238E27FC236}">
              <a16:creationId xmlns:a16="http://schemas.microsoft.com/office/drawing/2014/main" id="{4F36F170-3472-4C3B-A250-787F7BB1325A}"/>
            </a:ext>
          </a:extLst>
        </xdr:cNvPr>
        <xdr:cNvPicPr>
          <a:picLocks noChangeAspect="1"/>
        </xdr:cNvPicPr>
      </xdr:nvPicPr>
      <xdr:blipFill>
        <a:blip xmlns:r="http://schemas.openxmlformats.org/officeDocument/2006/relationships" r:embed="rId4"/>
        <a:stretch>
          <a:fillRect/>
        </a:stretch>
      </xdr:blipFill>
      <xdr:spPr>
        <a:xfrm>
          <a:off x="14430374" y="11505221"/>
          <a:ext cx="7970861" cy="3657861"/>
        </a:xfrm>
        <a:prstGeom prst="rect">
          <a:avLst/>
        </a:prstGeom>
      </xdr:spPr>
    </xdr:pic>
    <xdr:clientData/>
  </xdr:twoCellAnchor>
  <xdr:twoCellAnchor editAs="oneCell">
    <xdr:from>
      <xdr:col>20</xdr:col>
      <xdr:colOff>95250</xdr:colOff>
      <xdr:row>87</xdr:row>
      <xdr:rowOff>85725</xdr:rowOff>
    </xdr:from>
    <xdr:to>
      <xdr:col>34</xdr:col>
      <xdr:colOff>84526</xdr:colOff>
      <xdr:row>109</xdr:row>
      <xdr:rowOff>132873</xdr:rowOff>
    </xdr:to>
    <xdr:pic>
      <xdr:nvPicPr>
        <xdr:cNvPr id="6" name="图片 5">
          <a:extLst>
            <a:ext uri="{FF2B5EF4-FFF2-40B4-BE49-F238E27FC236}">
              <a16:creationId xmlns:a16="http://schemas.microsoft.com/office/drawing/2014/main" id="{8D1592D6-9F51-4439-954E-9C20742D589B}"/>
            </a:ext>
          </a:extLst>
        </xdr:cNvPr>
        <xdr:cNvPicPr>
          <a:picLocks noChangeAspect="1"/>
        </xdr:cNvPicPr>
      </xdr:nvPicPr>
      <xdr:blipFill>
        <a:blip xmlns:r="http://schemas.openxmlformats.org/officeDocument/2006/relationships" r:embed="rId5"/>
        <a:stretch>
          <a:fillRect/>
        </a:stretch>
      </xdr:blipFill>
      <xdr:spPr>
        <a:xfrm>
          <a:off x="14277975" y="15830550"/>
          <a:ext cx="9590476" cy="3819048"/>
        </a:xfrm>
        <a:prstGeom prst="rect">
          <a:avLst/>
        </a:prstGeom>
      </xdr:spPr>
    </xdr:pic>
    <xdr:clientData/>
  </xdr:twoCellAnchor>
  <xdr:twoCellAnchor editAs="oneCell">
    <xdr:from>
      <xdr:col>12</xdr:col>
      <xdr:colOff>219075</xdr:colOff>
      <xdr:row>2</xdr:row>
      <xdr:rowOff>57010</xdr:rowOff>
    </xdr:from>
    <xdr:to>
      <xdr:col>19</xdr:col>
      <xdr:colOff>398756</xdr:colOff>
      <xdr:row>18</xdr:row>
      <xdr:rowOff>104050</xdr:rowOff>
    </xdr:to>
    <xdr:pic>
      <xdr:nvPicPr>
        <xdr:cNvPr id="7" name="图片 6">
          <a:extLst>
            <a:ext uri="{FF2B5EF4-FFF2-40B4-BE49-F238E27FC236}">
              <a16:creationId xmlns:a16="http://schemas.microsoft.com/office/drawing/2014/main" id="{AD66CF99-351B-4C97-8F39-5392BC1CFAC1}"/>
            </a:ext>
          </a:extLst>
        </xdr:cNvPr>
        <xdr:cNvPicPr>
          <a:picLocks noChangeAspect="1"/>
        </xdr:cNvPicPr>
      </xdr:nvPicPr>
      <xdr:blipFill>
        <a:blip xmlns:r="http://schemas.openxmlformats.org/officeDocument/2006/relationships" r:embed="rId6"/>
        <a:stretch>
          <a:fillRect/>
        </a:stretch>
      </xdr:blipFill>
      <xdr:spPr>
        <a:xfrm>
          <a:off x="8915400" y="418960"/>
          <a:ext cx="4980281" cy="2790240"/>
        </a:xfrm>
        <a:prstGeom prst="rect">
          <a:avLst/>
        </a:prstGeom>
      </xdr:spPr>
    </xdr:pic>
    <xdr:clientData/>
  </xdr:twoCellAnchor>
  <xdr:twoCellAnchor editAs="oneCell">
    <xdr:from>
      <xdr:col>11</xdr:col>
      <xdr:colOff>581025</xdr:colOff>
      <xdr:row>17</xdr:row>
      <xdr:rowOff>175600</xdr:rowOff>
    </xdr:from>
    <xdr:to>
      <xdr:col>19</xdr:col>
      <xdr:colOff>657225</xdr:colOff>
      <xdr:row>34</xdr:row>
      <xdr:rowOff>57787</xdr:rowOff>
    </xdr:to>
    <xdr:pic>
      <xdr:nvPicPr>
        <xdr:cNvPr id="8" name="图片 7">
          <a:extLst>
            <a:ext uri="{FF2B5EF4-FFF2-40B4-BE49-F238E27FC236}">
              <a16:creationId xmlns:a16="http://schemas.microsoft.com/office/drawing/2014/main" id="{C934B3E8-A709-4DCD-A504-32564FBFD450}"/>
            </a:ext>
          </a:extLst>
        </xdr:cNvPr>
        <xdr:cNvPicPr>
          <a:picLocks noChangeAspect="1"/>
        </xdr:cNvPicPr>
      </xdr:nvPicPr>
      <xdr:blipFill>
        <a:blip xmlns:r="http://schemas.openxmlformats.org/officeDocument/2006/relationships" r:embed="rId7"/>
        <a:stretch>
          <a:fillRect/>
        </a:stretch>
      </xdr:blipFill>
      <xdr:spPr>
        <a:xfrm>
          <a:off x="8591550" y="3252175"/>
          <a:ext cx="5562600" cy="2796837"/>
        </a:xfrm>
        <a:prstGeom prst="rect">
          <a:avLst/>
        </a:prstGeom>
      </xdr:spPr>
    </xdr:pic>
    <xdr:clientData/>
  </xdr:twoCellAnchor>
  <xdr:twoCellAnchor editAs="oneCell">
    <xdr:from>
      <xdr:col>11</xdr:col>
      <xdr:colOff>428625</xdr:colOff>
      <xdr:row>33</xdr:row>
      <xdr:rowOff>52897</xdr:rowOff>
    </xdr:from>
    <xdr:to>
      <xdr:col>19</xdr:col>
      <xdr:colOff>638175</xdr:colOff>
      <xdr:row>52</xdr:row>
      <xdr:rowOff>170725</xdr:rowOff>
    </xdr:to>
    <xdr:pic>
      <xdr:nvPicPr>
        <xdr:cNvPr id="9" name="图片 8">
          <a:extLst>
            <a:ext uri="{FF2B5EF4-FFF2-40B4-BE49-F238E27FC236}">
              <a16:creationId xmlns:a16="http://schemas.microsoft.com/office/drawing/2014/main" id="{4062B244-5D23-4301-8EFB-5C4688492457}"/>
            </a:ext>
          </a:extLst>
        </xdr:cNvPr>
        <xdr:cNvPicPr>
          <a:picLocks noChangeAspect="1"/>
        </xdr:cNvPicPr>
      </xdr:nvPicPr>
      <xdr:blipFill>
        <a:blip xmlns:r="http://schemas.openxmlformats.org/officeDocument/2006/relationships" r:embed="rId8"/>
        <a:stretch>
          <a:fillRect/>
        </a:stretch>
      </xdr:blipFill>
      <xdr:spPr>
        <a:xfrm>
          <a:off x="8439150" y="6025072"/>
          <a:ext cx="5695950" cy="3375378"/>
        </a:xfrm>
        <a:prstGeom prst="rect">
          <a:avLst/>
        </a:prstGeom>
      </xdr:spPr>
    </xdr:pic>
    <xdr:clientData/>
  </xdr:twoCellAnchor>
  <xdr:twoCellAnchor editAs="oneCell">
    <xdr:from>
      <xdr:col>1</xdr:col>
      <xdr:colOff>95250</xdr:colOff>
      <xdr:row>27</xdr:row>
      <xdr:rowOff>123825</xdr:rowOff>
    </xdr:from>
    <xdr:to>
      <xdr:col>9</xdr:col>
      <xdr:colOff>37363</xdr:colOff>
      <xdr:row>54</xdr:row>
      <xdr:rowOff>151818</xdr:rowOff>
    </xdr:to>
    <xdr:pic>
      <xdr:nvPicPr>
        <xdr:cNvPr id="10" name="图片 9">
          <a:extLst>
            <a:ext uri="{FF2B5EF4-FFF2-40B4-BE49-F238E27FC236}">
              <a16:creationId xmlns:a16="http://schemas.microsoft.com/office/drawing/2014/main" id="{9313F199-8722-B87D-20B0-99DB99C32208}"/>
            </a:ext>
          </a:extLst>
        </xdr:cNvPr>
        <xdr:cNvPicPr>
          <a:picLocks noChangeAspect="1"/>
        </xdr:cNvPicPr>
      </xdr:nvPicPr>
      <xdr:blipFill>
        <a:blip xmlns:r="http://schemas.openxmlformats.org/officeDocument/2006/relationships" r:embed="rId9"/>
        <a:stretch>
          <a:fillRect/>
        </a:stretch>
      </xdr:blipFill>
      <xdr:spPr>
        <a:xfrm>
          <a:off x="781050" y="4752975"/>
          <a:ext cx="5895238" cy="4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2025-1-0238&#20132;&#21709;&#24742;\&#27979;&#31639;-&#20132;&#21709;&#24742;.xlsx" TargetMode="External"/><Relationship Id="rId1" Type="http://schemas.openxmlformats.org/officeDocument/2006/relationships/externalLinkPath" Target="/2025-1-0238&#20132;&#21709;&#24742;/&#27979;&#31639;-&#20132;&#21709;&#247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成本（静态） (2)"/>
      <sheetName val="成本（静态）新"/>
      <sheetName val="比较法-家庭式公寓"/>
      <sheetName val="结果表-交响悦"/>
      <sheetName val="比较法-蓝领"/>
      <sheetName val="林肯公寓"/>
      <sheetName val="君安公寓"/>
      <sheetName val="易居公寓"/>
      <sheetName val="中指数据"/>
      <sheetName val="城研数据"/>
      <sheetName val="2024年结果表"/>
      <sheetName val="结果对比"/>
      <sheetName val="比较法-车位"/>
      <sheetName val="市场数据"/>
      <sheetName val="中指-北七家"/>
      <sheetName val="中指-昌平"/>
      <sheetName val="城研"/>
      <sheetName val="6号楼"/>
      <sheetName val="5号楼"/>
      <sheetName val="4号楼"/>
      <sheetName val="车位案例"/>
      <sheetName val="2号楼"/>
      <sheetName val="比较法-白领"/>
      <sheetName val="比较法-套间"/>
      <sheetName val="房源表"/>
      <sheetName val="案例"/>
      <sheetName val="Sheet1"/>
      <sheetName val="系统读取表"/>
      <sheetName val="明细表330"/>
    </sheetNames>
    <sheetDataSet>
      <sheetData sheetId="0" refreshError="1"/>
      <sheetData sheetId="1" refreshError="1"/>
      <sheetData sheetId="2" refreshError="1"/>
      <sheetData sheetId="3" refreshError="1"/>
      <sheetData sheetId="4">
        <row r="9">
          <cell r="M9">
            <v>1</v>
          </cell>
        </row>
        <row r="13">
          <cell r="M13">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beijing.gov.cn/ywdt/zwzt/gjkczx/"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估价对象为房地产，为所有。根据《国有土地使用证》[]，估价对象（分摊）出让国有建设用地使用权面积为0平方米，建筑面积为8908平方米。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估价对象为房地产,属开发建设的，该项目尚在开发建设中。根据《国有土地使用证》[]，估价对象（分摊）出让国有建设用地使用权面积为0平方米，规划建筑面积为8908平方米。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2025年12月31日</v>
      </c>
    </row>
    <row r="13" spans="1:2">
      <c r="A13" s="1119" t="s">
        <v>529</v>
      </c>
      <c r="B13" s="112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本次评估采用的主估价方法为收益法和收益法。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8908.0000000000018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447" t="s">
        <v>385</v>
      </c>
      <c r="C54" s="1445" t="s">
        <v>583</v>
      </c>
    </row>
    <row r="55" spans="1:4">
      <c r="A55" s="3249"/>
      <c r="B55" s="1447" t="s">
        <v>386</v>
      </c>
      <c r="C55" s="1445" t="s">
        <v>584</v>
      </c>
    </row>
    <row r="56" spans="1:4">
      <c r="A56" s="3249"/>
      <c r="B56" s="1447" t="s">
        <v>387</v>
      </c>
      <c r="C56" s="1445" t="s">
        <v>588</v>
      </c>
    </row>
    <row r="57" spans="1:4">
      <c r="A57" s="324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50" t="s">
        <v>2580</v>
      </c>
      <c r="J2" s="3250"/>
      <c r="K2" s="3250"/>
      <c r="L2" s="3250"/>
      <c r="M2" s="3250"/>
      <c r="N2" s="3250"/>
      <c r="O2" s="3250"/>
      <c r="P2" s="3250"/>
      <c r="Q2" s="3250"/>
      <c r="R2" s="3250"/>
    </row>
    <row r="3" spans="1:18">
      <c r="A3" s="2763" t="s">
        <v>2501</v>
      </c>
      <c r="B3" s="2764">
        <f>项目基本情况!D3</f>
        <v>46022</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0.96</v>
      </c>
      <c r="D5" s="2768">
        <f>IF(ISERROR(ROUND(POWER(1+E5,A5-C5)*(POWER(1+E5,C5)-1)/(POWER(1+E5,A5)-1),3)),0,ROUND(POWER(1+E5,A5-C5)*(POWER(1+E5,C5)-1)/(POWER(1+E5,A5)-1),4))</f>
        <v>4.6699999999999998E-2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10.97</v>
      </c>
      <c r="D6" s="2768">
        <f>IF(ISERROR(ROUND(POWER(1+E6,A6-C6)*(POWER(1+E6,C6)-1)/(POWER(1+E6,A6)-1),3)),0,ROUND(POWER(1+E6,A6-C6)*(POWER(1+E6,C6)-1)/(POWER(1+E6,A6)-1),4))</f>
        <v>0.40689999999999998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30.98</v>
      </c>
      <c r="D7" s="2768">
        <f>IF(ISERROR(ROUND(POWER(1+E7,A7-C7)*(POWER(1+E7,C7)-1)/(POWER(1+E7,A7)-1),3)),0,ROUND(POWER(1+E7,A7-C7)*(POWER(1+E7,C7)-1)/(POWER(1+E7,A7)-1),4))</f>
        <v>0.75160000000000005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38" sqref="D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58" t="str">
        <f>IF(B10="北京市","北京市",C10)&amp;F10&amp;IF(结果表!G1="在建","出让国有建设用地使用权及在建建筑物",IF(结果表!G1="土地","出让国有建设用地使用权",))&amp;B9&amp;"预评估"</f>
        <v>预评估</v>
      </c>
      <c r="C1" s="3259"/>
      <c r="D1" s="3259"/>
      <c r="E1" s="3259"/>
      <c r="F1" s="3259"/>
      <c r="G1" s="3259"/>
      <c r="H1" s="3259"/>
      <c r="I1" s="326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46022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61" t="s">
        <v>2177</v>
      </c>
      <c r="E8" s="2202"/>
      <c r="F8" s="2203"/>
      <c r="G8" s="2442"/>
      <c r="H8" s="2442"/>
      <c r="I8" s="2442"/>
      <c r="J8" s="2245"/>
      <c r="K8" s="2400"/>
      <c r="L8" s="2399"/>
      <c r="M8" s="2399"/>
      <c r="N8" s="2245"/>
      <c r="O8" s="1670"/>
      <c r="P8" s="2245"/>
      <c r="Q8" s="2245"/>
      <c r="R8" s="2245"/>
    </row>
    <row r="9" spans="1:30" ht="13.5" thickBot="1">
      <c r="A9" s="2204" t="s">
        <v>2178</v>
      </c>
      <c r="B9" s="2205"/>
      <c r="C9" s="2206"/>
      <c r="D9" s="3262"/>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v>69103</v>
      </c>
      <c r="D13" s="803"/>
      <c r="E13" s="803">
        <v>61798</v>
      </c>
      <c r="F13" s="803"/>
      <c r="G13" s="803"/>
      <c r="H13" s="803"/>
      <c r="I13" s="803"/>
      <c r="J13" s="2803"/>
      <c r="K13" s="2399"/>
      <c r="L13" s="2399"/>
      <c r="M13" s="2245"/>
      <c r="N13" s="1670"/>
      <c r="O13" s="2245"/>
      <c r="P13" s="2245"/>
      <c r="Q13" s="2245"/>
      <c r="AD13" s="1618"/>
    </row>
    <row r="14" spans="1:30">
      <c r="A14" s="1018"/>
      <c r="B14" s="2218" t="s">
        <v>2191</v>
      </c>
      <c r="C14" s="2219">
        <v>70</v>
      </c>
      <c r="D14" s="2219"/>
      <c r="E14" s="2219">
        <v>50</v>
      </c>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63.23</v>
      </c>
      <c r="D15" s="2221" t="str">
        <f>IF(A13="出让",IF(D13="","",ROUNDDOWN(MIN((D13-$D$3)/365,D14),2)),D14)</f>
        <v/>
      </c>
      <c r="E15" s="2221">
        <f>IF(A13="出让",IF(E13="","",ROUNDDOWN(MIN((E13-$D$3)/365,E14),2)),E14)</f>
        <v>43.22</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68"/>
      <c r="C16" s="3269"/>
      <c r="D16" s="3270"/>
      <c r="E16" s="2222" t="s">
        <v>2194</v>
      </c>
      <c r="F16" s="3271"/>
      <c r="G16" s="3272"/>
      <c r="H16" s="3272"/>
      <c r="I16" s="3273"/>
      <c r="J16" s="2245"/>
      <c r="K16" s="2403"/>
      <c r="L16" s="1670"/>
      <c r="M16" s="1670"/>
      <c r="N16" s="2245"/>
      <c r="O16" s="1670"/>
      <c r="P16" s="2245"/>
      <c r="Q16" s="2245"/>
      <c r="R16" s="2245"/>
    </row>
    <row r="17" spans="1:28">
      <c r="A17" s="305" t="s">
        <v>2195</v>
      </c>
      <c r="B17" s="294" t="s">
        <v>2196</v>
      </c>
      <c r="C17" s="8">
        <f>'数据-汇总表'!E3</f>
        <v>8908.0000000000018</v>
      </c>
      <c r="D17" s="1256" t="s">
        <v>2197</v>
      </c>
      <c r="E17" s="3274" t="s">
        <v>2198</v>
      </c>
      <c r="F17" s="3275"/>
      <c r="G17" s="3275"/>
      <c r="H17" s="3275"/>
      <c r="I17" s="3276"/>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77" t="s">
        <v>2202</v>
      </c>
      <c r="F18" s="3278"/>
      <c r="G18" s="3278"/>
      <c r="H18" s="3278"/>
      <c r="I18" s="327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64" t="s">
        <v>2206</v>
      </c>
      <c r="C20" s="3265"/>
      <c r="D20" s="3266" t="s">
        <v>2207</v>
      </c>
      <c r="E20" s="3267"/>
      <c r="F20" s="2430" t="s">
        <v>1056</v>
      </c>
      <c r="G20" s="2442"/>
      <c r="H20" s="2442"/>
      <c r="I20" s="2442"/>
      <c r="J20" s="2245"/>
      <c r="K20" s="326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6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6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5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5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5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53"/>
      <c r="B30" s="294" t="s">
        <v>2218</v>
      </c>
      <c r="C30" s="3254"/>
      <c r="D30" s="3255"/>
      <c r="E30" s="2442"/>
      <c r="F30" s="2442"/>
      <c r="G30" s="2442"/>
      <c r="H30" s="2442"/>
      <c r="I30" s="2442"/>
      <c r="J30" s="2245"/>
      <c r="K30" s="2402"/>
      <c r="L30" s="2399"/>
      <c r="M30" s="2399"/>
      <c r="N30" s="2245"/>
      <c r="O30" s="1670"/>
      <c r="P30" s="2245"/>
      <c r="Q30" s="2245"/>
      <c r="R30" s="2245"/>
      <c r="S30" s="2245"/>
      <c r="T30" s="2245"/>
      <c r="U30" s="2245"/>
      <c r="V30" s="2245"/>
    </row>
    <row r="31" spans="1:28">
      <c r="A31" s="325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51" t="s">
        <v>2228</v>
      </c>
      <c r="T34" s="315" t="str">
        <f>NUMBERSTRING(7-K34,1)&amp;"通"</f>
        <v>七通</v>
      </c>
      <c r="U34" s="2245"/>
      <c r="V34" s="2245"/>
    </row>
    <row r="35" spans="1:30">
      <c r="A35" s="2236"/>
      <c r="B35" s="3251" t="s">
        <v>2229</v>
      </c>
      <c r="C35" s="3251"/>
      <c r="D35" s="3251"/>
      <c r="E35" s="325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t="s">
        <v>306</v>
      </c>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t="s">
        <v>2962</v>
      </c>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8908.0000000000018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8908.0000000000018</v>
      </c>
      <c r="H5" s="13">
        <f t="shared" ref="H5:AT5" si="0">SUM(H13:H656)</f>
        <v>8908.0000000000018</v>
      </c>
      <c r="I5" s="13">
        <f t="shared" si="0"/>
        <v>8908.0000000000018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8908.0000000000018</v>
      </c>
      <c r="BA5" s="15">
        <f t="shared" si="1"/>
        <v>8908.0000000000018</v>
      </c>
      <c r="BB5" s="15">
        <f t="shared" si="1"/>
        <v>8908.0000000000018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3617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3618</v>
      </c>
      <c r="E13" s="13">
        <f>IF($C$3="是",ROUND($A$3*G13/$B$3,2),ROUND($A$3*(G13-AT13)/$B$3,2))</f>
        <v>0</v>
      </c>
      <c r="F13" s="29"/>
      <c r="G13" s="30">
        <f>H13+AC13+AT13</f>
        <v>8908.0000000000018</v>
      </c>
      <c r="H13" s="17">
        <f>SUMIF(I$12:AB$12,"总值",I13:AB13)</f>
        <v>8908.0000000000018</v>
      </c>
      <c r="I13" s="1514">
        <f>房源表!N4</f>
        <v>8908.0000000000018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8908.0000000000018</v>
      </c>
      <c r="BA13" s="13">
        <f>SUM(BB13:BK13)</f>
        <v>8908.0000000000018</v>
      </c>
      <c r="BB13" s="13">
        <f>IF($D13="是",I13-J13,0)</f>
        <v>8908.0000000000018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89" t="s">
        <v>1131</v>
      </c>
      <c r="B2" s="3289"/>
      <c r="C2" s="3289"/>
      <c r="D2" s="748" t="s">
        <v>1107</v>
      </c>
      <c r="E2" s="1523" t="s">
        <v>1108</v>
      </c>
      <c r="F2" s="2439"/>
      <c r="G2" s="2432"/>
      <c r="H2" s="2433"/>
      <c r="I2" s="2146" t="s">
        <v>1132</v>
      </c>
      <c r="J2" s="2439"/>
      <c r="K2" s="2439"/>
      <c r="L2" s="2439"/>
      <c r="M2" s="2439"/>
      <c r="N2" s="2440"/>
      <c r="O2" s="2439"/>
      <c r="P2" s="2439"/>
    </row>
    <row r="3" spans="1:16" ht="15.75" thickBot="1">
      <c r="A3" s="3290" t="s">
        <v>1105</v>
      </c>
      <c r="B3" s="3290"/>
      <c r="C3" s="3290"/>
      <c r="D3" s="41">
        <f>'数据-基础表'!AY6</f>
        <v>0</v>
      </c>
      <c r="E3" s="41">
        <f>'数据-基础表'!AZ5</f>
        <v>8908.0000000000018</v>
      </c>
      <c r="F3" s="2439"/>
      <c r="G3" s="42"/>
      <c r="H3" s="43" t="s">
        <v>1106</v>
      </c>
      <c r="I3" s="802" t="e">
        <f>ROUND('数据-基础表'!B3/'数据-基础表'!A3,2)</f>
        <v>#DIV/0!</v>
      </c>
      <c r="J3" s="2439"/>
      <c r="K3" s="2439"/>
      <c r="L3" s="2439"/>
      <c r="M3" s="2439"/>
      <c r="N3" s="2440"/>
      <c r="O3" s="2439"/>
      <c r="P3" s="2439"/>
    </row>
    <row r="4" spans="1:16" ht="15">
      <c r="A4" s="3291"/>
      <c r="B4" s="3292"/>
      <c r="C4" s="329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94" t="s">
        <v>1110</v>
      </c>
      <c r="C5" s="3294"/>
      <c r="D5" s="43">
        <f>ROUND($D$3*E5/$E$3,2)</f>
        <v>0</v>
      </c>
      <c r="E5" s="44">
        <f>SUMIF('数据-基础表'!$11:$11,"住宅",'数据-基础表'!$5:$5)</f>
        <v>8908.0000000000018</v>
      </c>
      <c r="F5" s="2439"/>
      <c r="G5" s="42"/>
      <c r="H5" s="43" t="s">
        <v>1106</v>
      </c>
      <c r="I5" s="802" t="e">
        <f>ROUND(E31/D31,2)</f>
        <v>#DIV/0!</v>
      </c>
      <c r="J5" s="2439"/>
      <c r="K5" s="2439"/>
      <c r="L5" s="2439"/>
      <c r="M5" s="2439"/>
      <c r="N5" s="2439"/>
      <c r="O5" s="2439"/>
      <c r="P5" s="2439"/>
    </row>
    <row r="6" spans="1:16" ht="15" thickBot="1">
      <c r="A6" s="1527"/>
      <c r="B6" s="3294" t="s">
        <v>1111</v>
      </c>
      <c r="C6" s="3294"/>
      <c r="D6" s="43">
        <f>ROUND($D$3*E6/$E$3,2)</f>
        <v>0</v>
      </c>
      <c r="E6" s="44">
        <f>E3-E5</f>
        <v>0</v>
      </c>
      <c r="F6" s="2439"/>
      <c r="G6" s="1529" t="s">
        <v>1112</v>
      </c>
      <c r="H6" s="45" t="s">
        <v>1113</v>
      </c>
      <c r="I6" s="2435" t="e">
        <f>ROUND(F31/D31,2)</f>
        <v>#DIV/0!</v>
      </c>
      <c r="J6" s="2439"/>
      <c r="K6" s="2439"/>
      <c r="L6" s="2439"/>
      <c r="M6" s="2439"/>
      <c r="N6" s="2439"/>
      <c r="O6" s="2439"/>
      <c r="P6" s="2439"/>
    </row>
    <row r="7" spans="1:16" ht="15.75" thickBot="1">
      <c r="A7" s="3286"/>
      <c r="B7" s="3287"/>
      <c r="C7" s="3288"/>
      <c r="D7" s="1524" t="s">
        <v>1107</v>
      </c>
      <c r="E7" s="1528" t="s">
        <v>1114</v>
      </c>
      <c r="F7" s="2439"/>
      <c r="G7" s="2436" t="s">
        <v>1115</v>
      </c>
      <c r="H7" s="95"/>
      <c r="I7" s="2437">
        <v>1.5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8908.0000000000018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8908.0000000000018</v>
      </c>
      <c r="F16" s="2439"/>
      <c r="G16" s="2439"/>
      <c r="H16" s="1531" t="s">
        <v>1135</v>
      </c>
      <c r="I16" s="1532"/>
      <c r="J16" s="1071"/>
      <c r="K16" s="3283" t="s">
        <v>1135</v>
      </c>
      <c r="L16" s="3284"/>
      <c r="M16" s="3284"/>
      <c r="N16" s="3284"/>
      <c r="O16" s="3284"/>
      <c r="P16" s="3285"/>
    </row>
    <row r="17" spans="1:19" ht="15">
      <c r="A17" s="1533" t="s">
        <v>1136</v>
      </c>
      <c r="B17" s="1534" t="s">
        <v>1137</v>
      </c>
      <c r="C17" s="1535" t="s">
        <v>1138</v>
      </c>
      <c r="D17" s="1536" t="s">
        <v>1126</v>
      </c>
      <c r="E17" s="1537" t="s">
        <v>1127</v>
      </c>
      <c r="F17" s="1538"/>
      <c r="G17" s="1539"/>
      <c r="H17" s="1540" t="s">
        <v>1139</v>
      </c>
      <c r="I17" s="1541" t="s">
        <v>1124</v>
      </c>
      <c r="J17" s="1071"/>
      <c r="K17" s="3280" t="s">
        <v>1140</v>
      </c>
      <c r="L17" s="3281"/>
      <c r="M17" s="3282"/>
      <c r="N17" s="3280" t="s">
        <v>1141</v>
      </c>
      <c r="O17" s="3281"/>
      <c r="P17" s="328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3619</v>
      </c>
      <c r="D19" s="43">
        <f>ROUND($D$3*E19/$E$3,2)</f>
        <v>0</v>
      </c>
      <c r="E19" s="51">
        <f t="shared" ref="E19:E26" si="1">SUM(F19:G19)</f>
        <v>8908.0000000000018</v>
      </c>
      <c r="F19" s="2558">
        <f>'数据-基础表'!I13</f>
        <v>8908.0000000000018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8908.0000000000018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8908.0000000000018</v>
      </c>
      <c r="F27" s="1072">
        <f>IF(SUM(F19:F26)=E8,SUM(F19:F26),"地上面积有误")</f>
        <v>8908.0000000000018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8908.0000000000018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8908.0000000000018</v>
      </c>
      <c r="F31" s="644">
        <f>F27+F30</f>
        <v>8908.0000000000018</v>
      </c>
      <c r="G31" s="645">
        <f>G27+G30</f>
        <v>0</v>
      </c>
      <c r="H31" s="2439"/>
      <c r="I31" s="2439"/>
      <c r="J31" s="2439"/>
      <c r="K31" s="2439"/>
      <c r="L31" s="2439"/>
      <c r="M31" s="2439"/>
      <c r="N31" s="2439"/>
      <c r="O31" s="2439"/>
      <c r="P31" s="2439"/>
    </row>
    <row r="32" spans="1:19">
      <c r="A32" s="1526"/>
      <c r="B32" s="1526" t="s">
        <v>1159</v>
      </c>
      <c r="C32" s="1526"/>
      <c r="D32" s="1526"/>
      <c r="E32" s="990">
        <f>SUMIF(C19:C26,"*住宅*",E19:E26)</f>
        <v>8908.0000000000018</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I22" sqref="AI2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46022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3620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3402</v>
      </c>
      <c r="D6" s="805">
        <f>SUMIF(项目基本情况!C$12:I$12,C6,项目基本情况!C$14:I$14)</f>
        <v>70</v>
      </c>
      <c r="E6" s="804">
        <f>IF(B6="","",SUMIF(项目基本情况!C$12:I$12,C6,项目基本情况!C$13:I$13))</f>
        <v>69103</v>
      </c>
      <c r="F6" s="61">
        <f>SUMIF(项目基本情况!C$12:I$12,C6,项目基本情况!C$15:I$15)</f>
        <v>63.23</v>
      </c>
      <c r="G6" s="62">
        <f>IF(ISERROR(ROUND(POWER(1+H6,D6-F6)*(POWER(1+H6,F6)-1)/(POWER(1+H6,D6)-1),3)),0,ROUND(POWER(1+H6,D6-F6)*(POWER(1+H6,F6)-1)/(POWER(1+H6,D6)-1),3))</f>
        <v>0.98699999999999999</v>
      </c>
      <c r="H6" s="691">
        <v>0.05</v>
      </c>
      <c r="I6" s="691">
        <v>3.5000000000000003E-2</v>
      </c>
      <c r="J6" s="63">
        <v>0.06</v>
      </c>
      <c r="K6" s="970">
        <f>SUMIF('数据-汇总表'!C$19:C$33,A6,'数据-汇总表'!E$19:E$33)</f>
        <v>8908.0000000000018</v>
      </c>
      <c r="L6" s="692">
        <v>3000</v>
      </c>
      <c r="M6" s="64">
        <f t="shared" ref="M6:M14" si="0">ROUND(K6*L6/10000,0)</f>
        <v>2672</v>
      </c>
      <c r="N6" s="690">
        <f>M22</f>
        <v>0.95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f>'比较法-住宅租金'!C31</f>
        <v>30.37</v>
      </c>
      <c r="V6" s="67">
        <v>0</v>
      </c>
      <c r="W6" s="67">
        <v>0.1</v>
      </c>
      <c r="X6" s="979"/>
      <c r="Y6" s="68">
        <f>N6</f>
        <v>0.95</v>
      </c>
      <c r="Z6" s="69"/>
      <c r="AA6" s="63"/>
      <c r="AB6" s="63"/>
      <c r="AC6" s="979"/>
      <c r="AD6" s="70"/>
      <c r="AE6" s="980">
        <f ca="1">IF(AN6="",0,SUMIF(INDIRECT("'"&amp;AN6&amp;"'"&amp;"!E:E"),$AE$5,INDIRECT("'"&amp;AN6&amp;"'"&amp;"!F:F")))</f>
        <v>63.23</v>
      </c>
      <c r="AF6" s="74"/>
      <c r="AG6" s="130">
        <f>IF(AF6="",0,AE6-AF6)</f>
        <v>0</v>
      </c>
      <c r="AH6" s="71">
        <f>'数据-汇总表'!F19</f>
        <v>8908.0000000000018</v>
      </c>
      <c r="AI6" s="73">
        <v>12</v>
      </c>
      <c r="AJ6" s="74"/>
      <c r="AK6" s="75">
        <v>2E-3</v>
      </c>
      <c r="AL6" s="76">
        <v>1E-3</v>
      </c>
      <c r="AM6" s="77">
        <v>0.01</v>
      </c>
      <c r="AN6" s="1589" t="s">
        <v>3621</v>
      </c>
      <c r="AO6" s="50">
        <f ca="1">SUMIF(INDIRECT("'"&amp;AN6&amp;"'"&amp;"!A:A"),"总价",INDIRECT("'"&amp;AN6&amp;"'"&amp;"!B:B"))</f>
        <v>5793.9161999999997</v>
      </c>
      <c r="AP6" s="1590">
        <f>IF(C6="住宅",K6*L6,0)</f>
        <v>26724000.000000004</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0.98699999999999999</v>
      </c>
      <c r="H16" s="84">
        <f>ROUND(SUMPRODUCT(H6:H13,K6:K13)/SUMPRODUCT((H6:H13&gt;0)*(K6:K13)),3)</f>
        <v>0.05</v>
      </c>
      <c r="I16" s="85"/>
      <c r="J16" s="85"/>
      <c r="K16" s="86">
        <f>SUM(K6:K15)</f>
        <v>8908.0000000000018</v>
      </c>
      <c r="L16" s="87">
        <f>ROUND(M16*10000/SUM(K6:K14),0)</f>
        <v>3000</v>
      </c>
      <c r="M16" s="87">
        <f>SUM(M6:M14)</f>
        <v>2672</v>
      </c>
      <c r="N16" s="88">
        <f>ROUND(SUMPRODUCT(M6:M14,N6:N14)/M16,3)</f>
        <v>0.95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3</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3</v>
      </c>
      <c r="C21" s="2439"/>
      <c r="D21" s="2452"/>
      <c r="E21" s="2439"/>
      <c r="F21" s="2439"/>
      <c r="G21" s="2439"/>
      <c r="H21" s="2439"/>
      <c r="I21" s="2439"/>
      <c r="J21" s="2439"/>
      <c r="K21" s="2450"/>
      <c r="L21" s="2450"/>
      <c r="M21" s="2449">
        <v>2022</v>
      </c>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3</v>
      </c>
      <c r="C22" s="2439"/>
      <c r="D22" s="2452"/>
      <c r="E22" s="2439"/>
      <c r="F22" s="2439"/>
      <c r="G22" s="2439"/>
      <c r="H22" s="2439"/>
      <c r="I22" s="2439"/>
      <c r="J22" s="2439"/>
      <c r="K22" s="2450"/>
      <c r="L22" s="2450"/>
      <c r="M22" s="2449">
        <f>1-(2025-M21)/60</f>
        <v>0.95</v>
      </c>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3</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120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160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'收益法 (元)'!C17</f>
        <v>1068960</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120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120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120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3.2500000000000001E-2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95" t="s">
        <v>2286</v>
      </c>
      <c r="B1" s="3296"/>
      <c r="C1" s="3296"/>
      <c r="D1" s="3296"/>
      <c r="E1" s="3296"/>
      <c r="F1" s="3296"/>
      <c r="G1" s="329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46022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N26" sqref="N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1" t="str">
        <f>项目基本情况!S2</f>
        <v>房地产</v>
      </c>
      <c r="B2" s="3332"/>
      <c r="C2" s="3332"/>
      <c r="D2" s="3332"/>
      <c r="E2" s="3332"/>
      <c r="F2" s="3332"/>
      <c r="G2" s="3332"/>
      <c r="H2" s="3332"/>
      <c r="I2" s="3333"/>
    </row>
    <row r="3" spans="1:12" ht="12.75">
      <c r="A3" s="3335" t="s">
        <v>1264</v>
      </c>
      <c r="B3" s="3336"/>
      <c r="C3" s="3336"/>
      <c r="D3" s="3336"/>
      <c r="E3" s="3336"/>
      <c r="F3" s="3336"/>
      <c r="G3" s="3336"/>
      <c r="H3" s="3336"/>
      <c r="I3" s="3336"/>
    </row>
    <row r="4" spans="1:12" ht="14.25">
      <c r="A4" s="1624" t="s">
        <v>1265</v>
      </c>
      <c r="B4" s="1625" t="s">
        <v>1266</v>
      </c>
      <c r="C4" s="1626" t="s">
        <v>3621</v>
      </c>
      <c r="D4" s="1626" t="s">
        <v>3621</v>
      </c>
      <c r="E4" s="3337" t="s">
        <v>1267</v>
      </c>
      <c r="F4" s="3338"/>
      <c r="G4" s="3338"/>
      <c r="H4" s="3338"/>
      <c r="I4" s="3339"/>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1" t="s">
        <v>1268</v>
      </c>
      <c r="B5" s="3298">
        <v>25</v>
      </c>
      <c r="C5" s="3314"/>
      <c r="D5" s="3334"/>
      <c r="E5" s="123" t="s">
        <v>1269</v>
      </c>
      <c r="F5" s="1627"/>
      <c r="G5" s="1627"/>
      <c r="H5" s="1627"/>
      <c r="I5" s="1281"/>
    </row>
    <row r="6" spans="1:12" ht="12.75">
      <c r="A6" s="3311"/>
      <c r="B6" s="3298"/>
      <c r="C6" s="3315"/>
      <c r="D6" s="3334"/>
      <c r="E6" s="123" t="s">
        <v>1270</v>
      </c>
      <c r="F6" s="1627"/>
      <c r="G6" s="1627"/>
      <c r="H6" s="1627"/>
      <c r="I6" s="1281"/>
    </row>
    <row r="7" spans="1:12" ht="12.75">
      <c r="A7" s="3311"/>
      <c r="B7" s="3298"/>
      <c r="C7" s="3316"/>
      <c r="D7" s="3334"/>
      <c r="E7" s="123" t="s">
        <v>1271</v>
      </c>
      <c r="F7" s="1627"/>
      <c r="G7" s="1627"/>
      <c r="H7" s="1627"/>
      <c r="I7" s="1281"/>
    </row>
    <row r="8" spans="1:12" ht="12.75">
      <c r="A8" s="3311" t="s">
        <v>1272</v>
      </c>
      <c r="B8" s="3298">
        <v>15</v>
      </c>
      <c r="C8" s="3314"/>
      <c r="D8" s="3334"/>
      <c r="E8" s="123" t="s">
        <v>1273</v>
      </c>
      <c r="F8" s="1627"/>
      <c r="G8" s="1627"/>
      <c r="H8" s="1627"/>
      <c r="I8" s="1281"/>
    </row>
    <row r="9" spans="1:12" ht="12.75">
      <c r="A9" s="3311"/>
      <c r="B9" s="3298"/>
      <c r="C9" s="3316"/>
      <c r="D9" s="3334"/>
      <c r="E9" s="123" t="s">
        <v>1274</v>
      </c>
      <c r="F9" s="1627"/>
      <c r="G9" s="1627"/>
      <c r="H9" s="1627"/>
      <c r="I9" s="1281"/>
    </row>
    <row r="10" spans="1:12" ht="12.75">
      <c r="A10" s="3311" t="s">
        <v>1275</v>
      </c>
      <c r="B10" s="3298">
        <v>15</v>
      </c>
      <c r="C10" s="3314"/>
      <c r="D10" s="3334"/>
      <c r="E10" s="123" t="s">
        <v>1276</v>
      </c>
      <c r="F10" s="1627"/>
      <c r="G10" s="1627"/>
      <c r="H10" s="1627"/>
      <c r="I10" s="1281"/>
    </row>
    <row r="11" spans="1:12" ht="12.75">
      <c r="A11" s="3311"/>
      <c r="B11" s="3298"/>
      <c r="C11" s="3316"/>
      <c r="D11" s="3334"/>
      <c r="E11" s="123" t="s">
        <v>1277</v>
      </c>
      <c r="F11" s="1627"/>
      <c r="G11" s="1627"/>
      <c r="H11" s="1627"/>
      <c r="I11" s="1281"/>
    </row>
    <row r="12" spans="1:12" ht="12.75">
      <c r="A12" s="3311" t="s">
        <v>1278</v>
      </c>
      <c r="B12" s="3298">
        <v>15</v>
      </c>
      <c r="C12" s="3314"/>
      <c r="D12" s="3334"/>
      <c r="E12" s="123" t="s">
        <v>1279</v>
      </c>
      <c r="F12" s="1627"/>
      <c r="G12" s="1627"/>
      <c r="H12" s="1627"/>
      <c r="I12" s="1281"/>
    </row>
    <row r="13" spans="1:12" ht="12.75">
      <c r="A13" s="3311"/>
      <c r="B13" s="3298"/>
      <c r="C13" s="3316"/>
      <c r="D13" s="3334"/>
      <c r="E13" s="123" t="s">
        <v>1280</v>
      </c>
      <c r="F13" s="1627"/>
      <c r="G13" s="1627"/>
      <c r="H13" s="1627"/>
      <c r="I13" s="1281"/>
    </row>
    <row r="14" spans="1:12" ht="12.75">
      <c r="A14" s="3311" t="s">
        <v>1281</v>
      </c>
      <c r="B14" s="3298">
        <v>30</v>
      </c>
      <c r="C14" s="3314">
        <v>100</v>
      </c>
      <c r="D14" s="3334">
        <v>0</v>
      </c>
      <c r="E14" s="123" t="s">
        <v>1282</v>
      </c>
      <c r="F14" s="1627"/>
      <c r="G14" s="1627"/>
      <c r="H14" s="1627"/>
      <c r="I14" s="1281"/>
    </row>
    <row r="15" spans="1:12" ht="12.75">
      <c r="A15" s="3311"/>
      <c r="B15" s="3298"/>
      <c r="C15" s="3315"/>
      <c r="D15" s="3334"/>
      <c r="E15" s="123" t="s">
        <v>1283</v>
      </c>
      <c r="F15" s="1627"/>
      <c r="G15" s="1627"/>
      <c r="H15" s="1627"/>
      <c r="I15" s="1281"/>
    </row>
    <row r="16" spans="1:12" ht="12.75">
      <c r="A16" s="3311"/>
      <c r="B16" s="3298"/>
      <c r="C16" s="3316"/>
      <c r="D16" s="3334"/>
      <c r="E16" s="123" t="s">
        <v>1284</v>
      </c>
      <c r="F16" s="1627"/>
      <c r="G16" s="1627"/>
      <c r="H16" s="1627"/>
      <c r="I16" s="1281"/>
    </row>
    <row r="17" spans="1:36" ht="15">
      <c r="A17" s="1628" t="s">
        <v>1285</v>
      </c>
      <c r="B17" s="54"/>
      <c r="C17" s="124">
        <f>SUM(C5:C16)</f>
        <v>100</v>
      </c>
      <c r="D17" s="124">
        <f>SUM(D5:D16)</f>
        <v>0</v>
      </c>
      <c r="E17" s="121"/>
      <c r="F17" s="121"/>
      <c r="G17" s="121"/>
      <c r="H17" s="121"/>
      <c r="I17" s="121"/>
      <c r="K17" s="294"/>
      <c r="L17" s="294" t="s">
        <v>1286</v>
      </c>
      <c r="M17" s="294" t="s">
        <v>1287</v>
      </c>
    </row>
    <row r="18" spans="1:36" ht="31.9" customHeight="1" thickBot="1">
      <c r="A18" s="1629" t="s">
        <v>1288</v>
      </c>
      <c r="B18" s="1542"/>
      <c r="C18" s="125">
        <f>ROUND(C17/SUM(C17:D17),2)</f>
        <v>1</v>
      </c>
      <c r="D18" s="125">
        <f>1-C18</f>
        <v>0</v>
      </c>
      <c r="E18" s="3321" t="s">
        <v>2131</v>
      </c>
      <c r="F18" s="3322"/>
      <c r="G18" s="3322"/>
      <c r="H18" s="3322"/>
      <c r="I18" s="3322"/>
      <c r="K18" s="294" t="s">
        <v>1289</v>
      </c>
      <c r="L18" s="294">
        <f>IF(C1="",'数据-汇总表'!E3,SUMIF(项目类型,C1,'数据-汇总表'!E17:E26)+SUMIF(项目类型,C1,'数据-汇总表'!I17:I26))</f>
        <v>8908.0000000000018</v>
      </c>
      <c r="M18" s="294">
        <f>IF(C1="",'数据-汇总表'!E3,SUMIF(项目类型,C1,'数据-汇总表'!E17:E26))</f>
        <v>8908.0000000000018</v>
      </c>
    </row>
    <row r="19" spans="1:36" ht="15">
      <c r="A19" s="1630" t="s">
        <v>1290</v>
      </c>
      <c r="B19" s="1631" t="s">
        <v>1291</v>
      </c>
      <c r="C19" s="126">
        <f ca="1">SUMIF(INDIRECT("'"&amp;C4&amp;"'"&amp;"!A:A"),结果表!B19,INDIRECT("'"&amp;C4&amp;"'"&amp;"!B:B"))</f>
        <v>5793.9161999999997</v>
      </c>
      <c r="D19" s="127">
        <f ca="1">SUMIF(INDIRECT("'"&amp;D4&amp;"'"&amp;"!A:A"),结果表!B19,INDIRECT("'"&amp;D4&amp;"'"&amp;"!B:B"))</f>
        <v>5793.9161999999997</v>
      </c>
      <c r="E19" s="1630" t="s">
        <v>1292</v>
      </c>
      <c r="F19" s="1631" t="s">
        <v>1291</v>
      </c>
      <c r="G19" s="128">
        <f ca="1">ROUND(C19*$C$18+D19*$D$18,0)</f>
        <v>5794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6504</v>
      </c>
      <c r="D20" s="130">
        <f ca="1">SUMIF(INDIRECT("'"&amp;D4&amp;"'"&amp;"!A:A"),结果表!B20,INDIRECT("'"&amp;D4&amp;"'"&amp;"!B:B"))</f>
        <v>6504</v>
      </c>
      <c r="E20" s="1633"/>
      <c r="F20" s="43" t="s">
        <v>1295</v>
      </c>
      <c r="G20" s="131">
        <f ca="1">ROUND(C20*$C$18+D20*$D$18,0)</f>
        <v>6504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v>
      </c>
      <c r="E22" s="121"/>
      <c r="F22" s="121"/>
      <c r="G22" s="121"/>
      <c r="H22" s="121"/>
      <c r="I22" s="121"/>
    </row>
    <row r="23" spans="1:36" ht="13.5" thickBot="1">
      <c r="A23" s="646"/>
      <c r="B23" s="646"/>
      <c r="C23" s="646"/>
      <c r="D23" s="646"/>
      <c r="E23" s="121"/>
      <c r="F23" s="121"/>
      <c r="G23" s="121"/>
      <c r="H23" s="121"/>
      <c r="I23" s="121"/>
    </row>
    <row r="24" spans="1:36" ht="14.25">
      <c r="A24" s="3305" t="s">
        <v>1299</v>
      </c>
      <c r="B24" s="1631" t="s">
        <v>1291</v>
      </c>
      <c r="C24" s="128">
        <f>IF(B30=0,0,D30)</f>
        <v>0</v>
      </c>
      <c r="D24" s="1637"/>
      <c r="E24" s="121"/>
      <c r="F24" s="121"/>
      <c r="G24" s="121"/>
      <c r="H24" s="121"/>
      <c r="I24" s="121"/>
    </row>
    <row r="25" spans="1:36" ht="14.25">
      <c r="A25" s="330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6504</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5" t="s">
        <v>1312</v>
      </c>
      <c r="B36" s="1652" t="s">
        <v>1313</v>
      </c>
      <c r="C36" s="137"/>
      <c r="D36" s="1653"/>
      <c r="E36" s="1567"/>
      <c r="F36" s="1654"/>
      <c r="G36" s="121"/>
      <c r="H36" s="121"/>
      <c r="I36" s="121"/>
    </row>
    <row r="37" spans="1:15" ht="15.75" thickBot="1">
      <c r="A37" s="3326"/>
      <c r="B37" s="1555" t="s">
        <v>1314</v>
      </c>
      <c r="C37" s="139"/>
      <c r="D37" s="1071"/>
      <c r="E37" s="1071"/>
      <c r="F37" s="1654"/>
      <c r="G37" s="121"/>
      <c r="H37" s="121"/>
      <c r="I37" s="121"/>
    </row>
    <row r="38" spans="1:15" ht="15.75" thickBot="1">
      <c r="A38" s="332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02" t="s">
        <v>1326</v>
      </c>
      <c r="B45" s="3303"/>
      <c r="C45" s="3304"/>
      <c r="D45" s="147" t="e">
        <f ca="1">ROUND(H101*F45,0)</f>
        <v>#REF!</v>
      </c>
      <c r="E45" s="148" t="s">
        <v>1327</v>
      </c>
      <c r="F45" s="149">
        <v>1</v>
      </c>
      <c r="G45" s="150" t="s">
        <v>1328</v>
      </c>
      <c r="H45" s="121"/>
      <c r="I45" s="121"/>
      <c r="J45" s="3380" t="s">
        <v>1329</v>
      </c>
      <c r="K45" s="3380"/>
      <c r="L45" s="3380"/>
      <c r="M45" s="3380"/>
      <c r="N45" s="3380"/>
      <c r="O45" s="3380"/>
    </row>
    <row r="46" spans="1:15" ht="14.25" customHeight="1">
      <c r="A46" s="3299" t="s">
        <v>1330</v>
      </c>
      <c r="B46" s="3300"/>
      <c r="C46" s="3300"/>
      <c r="D46" s="3300"/>
      <c r="E46" s="3300"/>
      <c r="F46" s="3300"/>
      <c r="G46" s="3301"/>
      <c r="H46" s="1668"/>
      <c r="I46" s="151"/>
      <c r="J46" s="2310">
        <v>1</v>
      </c>
      <c r="K46" s="3361" t="s">
        <v>1331</v>
      </c>
      <c r="L46" s="3361"/>
      <c r="M46" s="3381"/>
      <c r="N46" s="3381"/>
      <c r="O46" s="3381"/>
    </row>
    <row r="47" spans="1:15" ht="12" customHeight="1">
      <c r="A47" s="152" t="s">
        <v>1332</v>
      </c>
      <c r="B47" s="153"/>
      <c r="C47" s="154"/>
      <c r="D47" s="1024" t="s">
        <v>1333</v>
      </c>
      <c r="E47" s="294" t="s">
        <v>1334</v>
      </c>
      <c r="F47" s="155" t="s">
        <v>1335</v>
      </c>
      <c r="G47" s="2333" t="s">
        <v>1336</v>
      </c>
      <c r="H47" s="2334"/>
      <c r="I47" s="151"/>
      <c r="J47" s="2310">
        <v>2</v>
      </c>
      <c r="K47" s="3361" t="s">
        <v>1337</v>
      </c>
      <c r="L47" s="3361"/>
      <c r="M47" s="3382">
        <f>'数据-取费表'!B2</f>
        <v>46022</v>
      </c>
      <c r="N47" s="3382"/>
      <c r="O47" s="3382"/>
    </row>
    <row r="48" spans="1:15" ht="25.5">
      <c r="A48" s="3330" t="s">
        <v>1338</v>
      </c>
      <c r="B48" s="3313"/>
      <c r="C48" s="3313"/>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61" t="s">
        <v>1340</v>
      </c>
      <c r="L48" s="3361"/>
      <c r="M48" s="3383" t="e">
        <f ca="1">H101</f>
        <v>#REF!</v>
      </c>
      <c r="N48" s="3383"/>
      <c r="O48" s="3383"/>
    </row>
    <row r="49" spans="1:35" ht="25.5" customHeight="1">
      <c r="A49" s="2152" t="s">
        <v>1341</v>
      </c>
      <c r="B49" s="3297" t="s">
        <v>1342</v>
      </c>
      <c r="C49" s="3297"/>
      <c r="D49" s="1478">
        <v>0</v>
      </c>
      <c r="E49" s="316" t="s">
        <v>1343</v>
      </c>
      <c r="F49" s="2233" t="s">
        <v>28</v>
      </c>
      <c r="G49" s="3367"/>
      <c r="H49" s="2134" t="s">
        <v>2134</v>
      </c>
      <c r="I49" s="2135"/>
      <c r="J49" s="2310">
        <v>4</v>
      </c>
      <c r="K49" s="3361" t="str">
        <f>IF(项目基本情况!E8="房地产抵押价值","房地产抵押价值","抵押担保权已注销时的房地产抵押价值")</f>
        <v>抵押担保权已注销时的房地产抵押价值</v>
      </c>
      <c r="L49" s="3361"/>
      <c r="M49" s="3383" t="str">
        <f>IF(项目基本情况!E8="房地产抵押价值",H107,H109)</f>
        <v>——</v>
      </c>
      <c r="N49" s="3383"/>
      <c r="O49" s="3383"/>
    </row>
    <row r="50" spans="1:35" ht="25.5" customHeight="1">
      <c r="A50" s="2338"/>
      <c r="B50" s="3297" t="s">
        <v>1344</v>
      </c>
      <c r="C50" s="3297"/>
      <c r="D50" s="2189"/>
      <c r="E50" s="323"/>
      <c r="F50" s="2233"/>
      <c r="G50" s="3368"/>
      <c r="H50" s="2136" t="s">
        <v>2135</v>
      </c>
      <c r="I50" s="2135"/>
      <c r="J50" s="3380" t="s">
        <v>1345</v>
      </c>
      <c r="K50" s="3380"/>
      <c r="L50" s="3380"/>
      <c r="M50" s="3380"/>
      <c r="N50" s="3380"/>
      <c r="O50" s="3380"/>
    </row>
    <row r="51" spans="1:35" ht="20.45" customHeight="1">
      <c r="A51" s="2339"/>
      <c r="B51" s="3297" t="s">
        <v>1346</v>
      </c>
      <c r="C51" s="3297"/>
      <c r="D51" s="1024"/>
      <c r="E51" s="319"/>
      <c r="F51" s="2233"/>
      <c r="G51" s="3369"/>
      <c r="H51" s="2136" t="s">
        <v>2136</v>
      </c>
      <c r="I51" s="2135"/>
      <c r="J51" s="2311" t="s">
        <v>1347</v>
      </c>
      <c r="K51" s="3361" t="s">
        <v>1348</v>
      </c>
      <c r="L51" s="3361"/>
      <c r="M51" s="2311" t="s">
        <v>1349</v>
      </c>
      <c r="N51" s="2311" t="s">
        <v>1350</v>
      </c>
      <c r="O51" s="2311" t="s">
        <v>1351</v>
      </c>
    </row>
    <row r="52" spans="1:35" ht="24" customHeight="1">
      <c r="A52" s="2153" t="s">
        <v>1352</v>
      </c>
      <c r="B52" s="3297" t="s">
        <v>1353</v>
      </c>
      <c r="C52" s="3297"/>
      <c r="D52" s="1024" t="e">
        <f ca="1">ROUND(D45*'数据-取费表'!B41/(1+'数据-取费表'!C42),0)</f>
        <v>#REF!</v>
      </c>
      <c r="E52" s="1256" t="s">
        <v>1354</v>
      </c>
      <c r="F52" s="2340">
        <f>'数据-取费表'!B41</f>
        <v>5.5000000000000007E-2</v>
      </c>
      <c r="G52" s="2341"/>
      <c r="H52" s="2331"/>
      <c r="I52" s="1669"/>
      <c r="J52" s="2310">
        <v>1</v>
      </c>
      <c r="K52" s="3362" t="s">
        <v>1355</v>
      </c>
      <c r="L52" s="3362"/>
      <c r="M52" s="2312" t="b">
        <f>D48</f>
        <v>0</v>
      </c>
      <c r="N52" s="2310" t="str">
        <f>E48</f>
        <v>销售额×税（费）率</v>
      </c>
      <c r="O52" s="2313">
        <f>F48</f>
        <v>5.5000000000000007E-2</v>
      </c>
    </row>
    <row r="53" spans="1:35" ht="12" customHeight="1">
      <c r="A53" s="2153" t="s">
        <v>1356</v>
      </c>
      <c r="B53" s="3323" t="s">
        <v>2291</v>
      </c>
      <c r="C53" s="3324"/>
      <c r="D53" s="1024" t="e">
        <f ca="1">ROUND(D45*'数据-取费表'!B41/(1+'数据-取费表'!C42),0)</f>
        <v>#REF!</v>
      </c>
      <c r="E53" s="1256" t="s">
        <v>1354</v>
      </c>
      <c r="F53" s="2340">
        <f>'数据-取费表'!B41</f>
        <v>5.5000000000000007E-2</v>
      </c>
      <c r="G53" s="2341"/>
      <c r="H53" s="2331"/>
      <c r="I53" s="1669"/>
      <c r="J53" s="2310">
        <v>2</v>
      </c>
      <c r="K53" s="3362" t="s">
        <v>1357</v>
      </c>
      <c r="L53" s="3362"/>
      <c r="M53" s="2312" t="e">
        <f t="shared" ref="M53:O54" ca="1" si="0">D55</f>
        <v>#REF!</v>
      </c>
      <c r="N53" s="2310" t="str">
        <f t="shared" si="0"/>
        <v>销售额×税（费）率</v>
      </c>
      <c r="O53" s="2313" t="str">
        <f t="shared" si="0"/>
        <v>免征</v>
      </c>
    </row>
    <row r="54" spans="1:35" ht="12" customHeight="1">
      <c r="A54" s="2153" t="s">
        <v>1358</v>
      </c>
      <c r="B54" s="3323" t="s">
        <v>2292</v>
      </c>
      <c r="C54" s="3324"/>
      <c r="D54" s="1024" t="e">
        <f ca="1">C68</f>
        <v>#REF!</v>
      </c>
      <c r="E54" s="319" t="s">
        <v>1359</v>
      </c>
      <c r="F54" s="2340">
        <f>'数据-取费表'!B41</f>
        <v>5.5000000000000007E-2</v>
      </c>
      <c r="G54" s="2341"/>
      <c r="H54" s="2342"/>
      <c r="I54" s="1669"/>
      <c r="J54" s="2310">
        <v>3</v>
      </c>
      <c r="K54" s="3362" t="s">
        <v>1360</v>
      </c>
      <c r="L54" s="3362"/>
      <c r="M54" s="2312" t="e">
        <f t="shared" ca="1" si="0"/>
        <v>#REF!</v>
      </c>
      <c r="N54" s="2310" t="str">
        <f t="shared" si="0"/>
        <v>增值额×税（费）率</v>
      </c>
      <c r="O54" s="2314" t="str">
        <f t="shared" si="0"/>
        <v>免征</v>
      </c>
    </row>
    <row r="55" spans="1:35" ht="24" customHeight="1">
      <c r="A55" s="3312" t="s">
        <v>1361</v>
      </c>
      <c r="B55" s="3313"/>
      <c r="C55" s="3313"/>
      <c r="D55" s="12" t="e">
        <f ca="1">IF(H55="个人住宅",0,ROUND(D45*I55,0))</f>
        <v>#REF!</v>
      </c>
      <c r="E55" s="1256" t="s">
        <v>1362</v>
      </c>
      <c r="F55" s="2340" t="str">
        <f>IF(H55="正常",I55,"免征")</f>
        <v>免征</v>
      </c>
      <c r="G55" s="2341"/>
      <c r="H55" s="2337"/>
      <c r="I55" s="157">
        <f>'数据-取费表'!B49</f>
        <v>5.0000000000000001E-4</v>
      </c>
      <c r="J55" s="2310">
        <f>IF(H59="非个人房产","",4)</f>
        <v>4</v>
      </c>
      <c r="K55" s="3362" t="str">
        <f>IF(H59="非个人房产","——","个人所得税")</f>
        <v>个人所得税</v>
      </c>
      <c r="L55" s="3362"/>
      <c r="M55" s="2315" t="e">
        <f ca="1">D59</f>
        <v>#REF!</v>
      </c>
      <c r="N55" s="1883" t="str">
        <f>E59</f>
        <v>差额计税</v>
      </c>
      <c r="O55" s="2316">
        <f>F59</f>
        <v>0.01</v>
      </c>
    </row>
    <row r="56" spans="1:35" ht="24.75">
      <c r="A56" s="3312" t="s">
        <v>1363</v>
      </c>
      <c r="B56" s="3313"/>
      <c r="C56" s="3313"/>
      <c r="D56" s="12" t="e">
        <f ca="1">IF(H56="个人住宅",D57,D58)</f>
        <v>#REF!</v>
      </c>
      <c r="E56" s="1256" t="s">
        <v>1364</v>
      </c>
      <c r="F56" s="2340" t="str">
        <f>IF(H56="正常",F58,"免征")</f>
        <v>免征</v>
      </c>
      <c r="G56" s="2343" t="s">
        <v>1365</v>
      </c>
      <c r="H56" s="2344"/>
      <c r="I56" s="1670"/>
      <c r="J56" s="2310" t="str">
        <f>IF(项目基本情况!K6="上海银行",IF(J55="",4,J55+1),"")</f>
        <v/>
      </c>
      <c r="K56" s="3385" t="str">
        <f>IF(项目基本情况!K6="上海银行","其他处置费用","")</f>
        <v/>
      </c>
      <c r="L56" s="3386"/>
      <c r="M56" s="2312" t="str">
        <f>IF(项目基本情况!K6="上海银行",M69,"")</f>
        <v/>
      </c>
      <c r="N56" s="3385" t="str">
        <f>IF(项目基本情况!K6="上海银行","包含处置中涉及的律师、诉讼、拍卖、评估等费用","")</f>
        <v/>
      </c>
      <c r="O56" s="3388"/>
    </row>
    <row r="57" spans="1:35" ht="12.75">
      <c r="A57" s="2153" t="s">
        <v>1341</v>
      </c>
      <c r="B57" s="3323" t="s">
        <v>1366</v>
      </c>
      <c r="C57" s="3324"/>
      <c r="D57" s="1478">
        <v>0</v>
      </c>
      <c r="E57" s="316" t="s">
        <v>1343</v>
      </c>
      <c r="F57" s="294"/>
      <c r="G57" s="2341"/>
      <c r="H57" s="2345"/>
      <c r="I57" s="1670"/>
      <c r="J57" s="3362">
        <f>IF(AND(J55="",J56=""),4,IF(项目基本情况!K6="上海银行",结果表!J56+1,结果表!J55+1))</f>
        <v>5</v>
      </c>
      <c r="K57" s="3362" t="s">
        <v>1367</v>
      </c>
      <c r="L57" s="2317" t="s">
        <v>1368</v>
      </c>
      <c r="M57" s="2318"/>
      <c r="N57" s="2319">
        <f ca="1">SUMIF(M52:M56,"&lt;9e307")</f>
        <v>0</v>
      </c>
      <c r="O57" s="2320"/>
      <c r="P57" s="2465" t="e">
        <f ca="1">N57/M49</f>
        <v>#VALUE!</v>
      </c>
    </row>
    <row r="58" spans="1:35" ht="24.75">
      <c r="A58" s="2153" t="s">
        <v>1352</v>
      </c>
      <c r="B58" s="3323" t="s">
        <v>1369</v>
      </c>
      <c r="C58" s="3297"/>
      <c r="D58" s="12" t="e">
        <f ca="1">IF(H58="转让取得",C81,C97)</f>
        <v>#REF!</v>
      </c>
      <c r="E58" s="1256" t="s">
        <v>1364</v>
      </c>
      <c r="F58" s="294" t="s">
        <v>28</v>
      </c>
      <c r="G58" s="2341"/>
      <c r="H58" s="2344"/>
      <c r="I58" s="1670"/>
      <c r="J58" s="3362"/>
      <c r="K58" s="3362"/>
      <c r="L58" s="2317" t="s">
        <v>1370</v>
      </c>
      <c r="M58" s="2321"/>
      <c r="N58" s="2322" t="str">
        <f ca="1">NUMBERSTRING(INT(N57*10000),2)&amp;"元整"</f>
        <v>零元整</v>
      </c>
      <c r="O58" s="2323"/>
    </row>
    <row r="59" spans="1:35" ht="24.75" thickBot="1">
      <c r="A59" s="3365" t="s">
        <v>1371</v>
      </c>
      <c r="B59" s="3366"/>
      <c r="C59" s="3366"/>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63">
        <f>J57+1</f>
        <v>6</v>
      </c>
      <c r="K59" s="3362" t="s">
        <v>1372</v>
      </c>
      <c r="L59" s="2310" t="s">
        <v>1368</v>
      </c>
      <c r="M59" s="2324"/>
      <c r="N59" s="2325" t="e">
        <f ca="1">M49-N57</f>
        <v>#VALUE!</v>
      </c>
      <c r="O59" s="2326"/>
    </row>
    <row r="60" spans="1:35" ht="12" customHeight="1">
      <c r="A60" s="1671"/>
      <c r="B60" s="646"/>
      <c r="C60" s="646"/>
      <c r="D60" s="646"/>
      <c r="E60" s="1466"/>
      <c r="F60" s="1670"/>
      <c r="G60" s="1670"/>
      <c r="H60" s="151"/>
      <c r="I60" s="121"/>
      <c r="J60" s="3364"/>
      <c r="K60" s="3362"/>
      <c r="L60" s="2317" t="s">
        <v>1370</v>
      </c>
      <c r="M60" s="2321"/>
      <c r="N60" s="2322" t="e">
        <f ca="1">NUMBERSTRING(INT(N59*10000),2)&amp;"元整"</f>
        <v>#VALUE!</v>
      </c>
      <c r="O60" s="2323"/>
    </row>
    <row r="61" spans="1:35" ht="13.5" thickBot="1">
      <c r="A61" s="3310" t="s">
        <v>1373</v>
      </c>
      <c r="B61" s="3310"/>
      <c r="C61" s="3310"/>
      <c r="D61" s="3310"/>
      <c r="E61" s="3310"/>
      <c r="F61" s="1670"/>
      <c r="G61" s="1670"/>
      <c r="H61" s="151"/>
      <c r="I61" s="121"/>
      <c r="J61" s="2310">
        <f>J59+1</f>
        <v>7</v>
      </c>
      <c r="K61" s="3362" t="s">
        <v>1374</v>
      </c>
      <c r="L61" s="3362"/>
      <c r="M61" s="2327"/>
      <c r="N61" s="2328" t="e">
        <f ca="1">ROUND(N59*10000/'数据-汇总表'!E3,0)</f>
        <v>#VALUE!</v>
      </c>
      <c r="O61" s="2329"/>
    </row>
    <row r="62" spans="1:35" ht="12.75">
      <c r="A62" s="3328" t="s">
        <v>1375</v>
      </c>
      <c r="B62" s="3329"/>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87"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8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87"/>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87"/>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8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387"/>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87"/>
      <c r="K69" s="1245" t="s">
        <v>1393</v>
      </c>
      <c r="L69" s="1245"/>
      <c r="M69" s="294" t="e">
        <f>ROUND(SUM(M63:M68),0)</f>
        <v>#VALUE!</v>
      </c>
      <c r="N69" s="2332" t="e">
        <f>M69/M49</f>
        <v>#VALUE!</v>
      </c>
      <c r="Z69" s="1623"/>
      <c r="AI69" s="1561"/>
    </row>
    <row r="70" spans="1:35" s="642" customFormat="1" ht="15" thickBot="1">
      <c r="A70" s="3349" t="s">
        <v>1394</v>
      </c>
      <c r="B70" s="3350"/>
      <c r="C70" s="3350"/>
      <c r="D70" s="3350"/>
      <c r="E70" s="3350"/>
      <c r="F70" s="3350"/>
      <c r="G70" s="3350"/>
      <c r="H70" s="335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8" t="s">
        <v>1375</v>
      </c>
      <c r="B71" s="332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3" t="s">
        <v>1402</v>
      </c>
      <c r="F76" s="3297"/>
      <c r="G76" s="3297"/>
      <c r="H76" s="334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307" t="s">
        <v>1406</v>
      </c>
      <c r="F78" s="3308"/>
      <c r="G78" s="3308"/>
      <c r="H78" s="331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9" t="s">
        <v>1410</v>
      </c>
      <c r="B83" s="3350"/>
      <c r="C83" s="3350"/>
      <c r="D83" s="3350"/>
      <c r="E83" s="3350"/>
      <c r="F83" s="3350"/>
      <c r="G83" s="3350"/>
      <c r="H83" s="335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8" t="s">
        <v>1375</v>
      </c>
      <c r="B84" s="332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89" t="s">
        <v>2129</v>
      </c>
      <c r="H90" s="339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7" t="s">
        <v>1419</v>
      </c>
      <c r="F91" s="3308"/>
      <c r="G91" s="330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7" t="s">
        <v>1422</v>
      </c>
      <c r="F92" s="3308"/>
      <c r="G92" s="3308"/>
      <c r="H92" s="331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307" t="s">
        <v>1406</v>
      </c>
      <c r="F93" s="3308"/>
      <c r="G93" s="3308"/>
      <c r="H93" s="331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18" t="s">
        <v>1426</v>
      </c>
      <c r="F94" s="3319"/>
      <c r="G94" s="3319"/>
      <c r="H94" s="332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1" t="s">
        <v>1428</v>
      </c>
      <c r="B100" s="3292"/>
      <c r="C100" s="3292"/>
      <c r="D100" s="3309"/>
      <c r="E100" s="3292" t="s">
        <v>1429</v>
      </c>
      <c r="F100" s="3292"/>
      <c r="G100" s="3292"/>
      <c r="H100" s="3309"/>
      <c r="I100" s="121"/>
    </row>
    <row r="101" spans="1:35" ht="18.75" customHeight="1">
      <c r="A101" s="3370" t="s">
        <v>1430</v>
      </c>
      <c r="B101" s="3371"/>
      <c r="C101" s="2371" t="str">
        <f>C4</f>
        <v>收益法 (元)</v>
      </c>
      <c r="D101" s="2372" t="str">
        <f>D4</f>
        <v>收益法 (元)</v>
      </c>
      <c r="E101" s="3384" t="s">
        <v>1431</v>
      </c>
      <c r="F101" s="3341"/>
      <c r="G101" s="1687" t="s">
        <v>1432</v>
      </c>
      <c r="H101" s="2381" t="e">
        <f ca="1">H118</f>
        <v>#REF!</v>
      </c>
      <c r="I101" s="121"/>
    </row>
    <row r="102" spans="1:35" ht="18.75" customHeight="1">
      <c r="A102" s="3343" t="s">
        <v>1433</v>
      </c>
      <c r="B102" s="2370" t="s">
        <v>1432</v>
      </c>
      <c r="C102" s="2371">
        <f ca="1">IF(D32="楼面单价",ROUND(C19,0),C19)</f>
        <v>5793.9161999999997</v>
      </c>
      <c r="D102" s="2372">
        <f ca="1">IF(D32="楼面单价",ROUND(D19,0),D19)</f>
        <v>5793.9161999999997</v>
      </c>
      <c r="E102" s="3384"/>
      <c r="F102" s="3341"/>
      <c r="G102" s="1687" t="s">
        <v>1434</v>
      </c>
      <c r="H102" s="2341" t="e">
        <f ca="1">I118</f>
        <v>#REF!</v>
      </c>
      <c r="I102" s="121"/>
    </row>
    <row r="103" spans="1:35" ht="42.75" customHeight="1">
      <c r="A103" s="3343"/>
      <c r="B103" s="2370" t="s">
        <v>1434</v>
      </c>
      <c r="C103" s="2373">
        <f ca="1">C20</f>
        <v>6504</v>
      </c>
      <c r="D103" s="2374">
        <f ca="1">D20</f>
        <v>6504</v>
      </c>
      <c r="E103" s="3378" t="s">
        <v>1435</v>
      </c>
      <c r="F103" s="3379"/>
      <c r="G103" s="1688" t="s">
        <v>1436</v>
      </c>
      <c r="H103" s="2381">
        <f>IF(D36="正常操作",H104+H105+H106,H105+H106)</f>
        <v>0</v>
      </c>
      <c r="I103" s="121"/>
    </row>
    <row r="104" spans="1:35" ht="18.75" customHeight="1">
      <c r="A104" s="3343"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44"/>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40" t="str">
        <f>IF(项目基本情况!E8="已注销","——","3.房地产抵押价值")</f>
        <v>3.房地产抵押价值</v>
      </c>
      <c r="F107" s="3341"/>
      <c r="G107" s="1687" t="s">
        <v>1432</v>
      </c>
      <c r="H107" s="2381" t="e">
        <f ca="1">IF(E107="——","——",H101-H103)</f>
        <v>#REF!</v>
      </c>
      <c r="I107" s="121"/>
    </row>
    <row r="108" spans="1:35" ht="18.75" customHeight="1">
      <c r="A108" s="121"/>
      <c r="B108" s="121"/>
      <c r="C108" s="121"/>
      <c r="D108" s="121"/>
      <c r="E108" s="3340"/>
      <c r="F108" s="3341"/>
      <c r="G108" s="1687" t="s">
        <v>1434</v>
      </c>
      <c r="H108" s="2341">
        <f ca="1">IF(H107=H101,H102,ROUND(H107*10000/'数据-汇总表'!E3,0))</f>
        <v>0</v>
      </c>
      <c r="I108" s="121"/>
    </row>
    <row r="109" spans="1:35" ht="18.75" customHeight="1">
      <c r="A109" s="121"/>
      <c r="B109" s="121"/>
      <c r="C109" s="121"/>
      <c r="D109" s="121"/>
      <c r="E109" s="3340" t="str">
        <f>IF(项目基本情况!E8="已注销及未注销","4.抵押担保权已注销时的房地产抵押价值",IF(项目基本情况!E8="已注销","3.抵押担保权已注销时的房地产抵押价值","——"))</f>
        <v>——</v>
      </c>
      <c r="F109" s="3341"/>
      <c r="G109" s="1687" t="s">
        <v>1432</v>
      </c>
      <c r="H109" s="2384" t="str">
        <f>IF(E109="——","——",H101-H105-H106)</f>
        <v>——</v>
      </c>
      <c r="I109" s="121"/>
    </row>
    <row r="110" spans="1:35" ht="18.75" customHeight="1">
      <c r="A110" s="121"/>
      <c r="B110" s="121"/>
      <c r="C110" s="121"/>
      <c r="D110" s="121"/>
      <c r="E110" s="3340"/>
      <c r="F110" s="3341"/>
      <c r="G110" s="1687" t="s">
        <v>1434</v>
      </c>
      <c r="H110" s="2341" t="str">
        <f>IF(H109="——","——",ROUND(H109*10000/'数据-汇总表'!E3,0))</f>
        <v>——</v>
      </c>
      <c r="I110" s="121"/>
    </row>
    <row r="111" spans="1:35" ht="18.75" customHeight="1">
      <c r="A111" s="121"/>
      <c r="B111" s="121"/>
      <c r="C111" s="121"/>
      <c r="D111" s="121"/>
      <c r="E111" s="3372" t="str">
        <f>IF(项目基本情况!E9="抵押净值",IF(OR(项目基本情况!E8="已注销",项目基本情况!E8="房地产抵押价值"),"4.抵押净值","5.抵押净值"),"——")</f>
        <v>——</v>
      </c>
      <c r="F111" s="3342"/>
      <c r="G111" s="1687" t="s">
        <v>1432</v>
      </c>
      <c r="H111" s="2381" t="str">
        <f>IF(E111="——","——",N59)</f>
        <v>——</v>
      </c>
      <c r="I111" s="121"/>
    </row>
    <row r="112" spans="1:35" ht="18.75" customHeight="1" thickBot="1">
      <c r="A112" s="121"/>
      <c r="B112" s="121"/>
      <c r="C112" s="121"/>
      <c r="D112" s="121"/>
      <c r="E112" s="3373"/>
      <c r="F112" s="3374"/>
      <c r="G112" s="1690" t="s">
        <v>1434</v>
      </c>
      <c r="H112" s="2385" t="str">
        <f>IF(E111="——","——",N61)</f>
        <v>——</v>
      </c>
      <c r="I112" s="121"/>
    </row>
    <row r="113" spans="1:27" ht="18.75" customHeight="1">
      <c r="A113" s="121"/>
      <c r="B113" s="121"/>
      <c r="C113" s="121"/>
      <c r="D113" s="121"/>
      <c r="E113" s="3345" t="s">
        <v>1440</v>
      </c>
      <c r="F113" s="3345"/>
      <c r="G113" s="3345"/>
      <c r="H113" s="3345"/>
      <c r="I113" s="121"/>
    </row>
    <row r="114" spans="1:27" ht="3.75" customHeight="1">
      <c r="A114" s="646"/>
      <c r="B114" s="646"/>
      <c r="C114" s="646"/>
      <c r="D114" s="646"/>
      <c r="E114" s="1671"/>
      <c r="F114" s="1671"/>
      <c r="G114" s="1671"/>
      <c r="H114" s="1671"/>
      <c r="I114" s="646"/>
    </row>
    <row r="115" spans="1:27" ht="18.75" customHeight="1">
      <c r="A115" s="3355" t="s">
        <v>1442</v>
      </c>
      <c r="B115" s="3356"/>
      <c r="C115" s="3356"/>
      <c r="D115" s="3356"/>
      <c r="E115" s="3356"/>
      <c r="F115" s="3356"/>
      <c r="G115" s="3356"/>
      <c r="H115" s="3356"/>
      <c r="I115" s="3357"/>
    </row>
    <row r="116" spans="1:27" ht="27" customHeight="1">
      <c r="A116" s="3311" t="s">
        <v>1443</v>
      </c>
      <c r="B116" s="3346" t="s">
        <v>1444</v>
      </c>
      <c r="C116" s="3346" t="s">
        <v>1445</v>
      </c>
      <c r="D116" s="3359" t="s">
        <v>1446</v>
      </c>
      <c r="E116" s="3360"/>
      <c r="F116" s="3354" t="s">
        <v>1447</v>
      </c>
      <c r="G116" s="3354"/>
      <c r="H116" s="3311" t="s">
        <v>1448</v>
      </c>
      <c r="I116" s="3311"/>
    </row>
    <row r="117" spans="1:27" ht="18.75" customHeight="1">
      <c r="A117" s="3311"/>
      <c r="B117" s="3347"/>
      <c r="C117" s="3347"/>
      <c r="D117" s="2150" t="s">
        <v>1449</v>
      </c>
      <c r="E117" s="2150" t="s">
        <v>1450</v>
      </c>
      <c r="F117" s="2150" t="s">
        <v>1449</v>
      </c>
      <c r="G117" s="2150" t="s">
        <v>1451</v>
      </c>
      <c r="H117" s="2150" t="s">
        <v>1449</v>
      </c>
      <c r="I117" s="2150" t="s">
        <v>1451</v>
      </c>
    </row>
    <row r="118" spans="1:27" ht="24.75" customHeight="1">
      <c r="A118" s="2386" t="str">
        <f>项目基本情况!S2</f>
        <v>房地产</v>
      </c>
      <c r="B118" s="2150">
        <f>M18</f>
        <v>8908.0000000000018</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11" t="s">
        <v>1452</v>
      </c>
      <c r="B119" s="3311"/>
      <c r="C119" s="3311"/>
      <c r="D119" s="3351" t="e">
        <f ca="1">NUMBERSTRING(INT(D118*10000),2)&amp;"元整"</f>
        <v>#REF!</v>
      </c>
      <c r="E119" s="3353"/>
      <c r="F119" s="3351" t="e">
        <f ca="1">NUMBERSTRING(INT(F118*10000),2)&amp;"元整"</f>
        <v>#REF!</v>
      </c>
      <c r="G119" s="3353"/>
      <c r="H119" s="3351" t="e">
        <f ca="1">NUMBERSTRING(INT(H118*10000),2)&amp;"元整"</f>
        <v>#REF!</v>
      </c>
      <c r="I119" s="3353"/>
    </row>
    <row r="120" spans="1:27" ht="18.75" customHeight="1">
      <c r="A120" s="3375" t="str">
        <f>IF(项目基本情况!B9="房地产市场价值","",MID(E103,3,LEN(E103)-2))</f>
        <v>估价师知悉的法定优先受偿款</v>
      </c>
      <c r="B120" s="3376"/>
      <c r="C120" s="3377"/>
      <c r="D120" s="3375">
        <f>H103</f>
        <v>0</v>
      </c>
      <c r="E120" s="3376"/>
      <c r="F120" s="3376"/>
      <c r="G120" s="3376"/>
      <c r="H120" s="3376"/>
      <c r="I120" s="337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1" t="s">
        <v>1452</v>
      </c>
      <c r="B121" s="3352"/>
      <c r="C121" s="3353"/>
      <c r="D121" s="3351" t="str">
        <f>IF(D120=0,"零元整",NUMBERSTRING(INT(D120*10000),2)&amp;"元整")</f>
        <v>零元整</v>
      </c>
      <c r="E121" s="3352"/>
      <c r="F121" s="3352"/>
      <c r="G121" s="3352"/>
      <c r="H121" s="3352"/>
      <c r="I121" s="3353"/>
      <c r="AA121" s="684"/>
    </row>
    <row r="122" spans="1:27" ht="18.75" customHeight="1">
      <c r="A122" s="3342" t="str">
        <f>IF(项目基本情况!B9="房地产市场价值","",MID(E107,3,LEN(E107)-2))</f>
        <v>房地产抵押价值</v>
      </c>
      <c r="B122" s="3342"/>
      <c r="C122" s="3342"/>
      <c r="D122" s="3375" t="e">
        <f ca="1">H107</f>
        <v>#REF!</v>
      </c>
      <c r="E122" s="3376"/>
      <c r="F122" s="3376"/>
      <c r="G122" s="3376"/>
      <c r="H122" s="3376"/>
      <c r="I122" s="3377"/>
      <c r="AA122" s="684"/>
    </row>
    <row r="123" spans="1:27" ht="18.75" customHeight="1">
      <c r="A123" s="3311" t="s">
        <v>1452</v>
      </c>
      <c r="B123" s="3311"/>
      <c r="C123" s="3311"/>
      <c r="D123" s="3351" t="e">
        <f ca="1">NUMBERSTRING(INT(D122*10000),2)&amp;"元整"</f>
        <v>#REF!</v>
      </c>
      <c r="E123" s="3352"/>
      <c r="F123" s="3352"/>
      <c r="G123" s="3352"/>
      <c r="H123" s="3352"/>
      <c r="I123" s="3353"/>
      <c r="AA123" s="684"/>
    </row>
    <row r="124" spans="1:27" ht="18.75" customHeight="1">
      <c r="A124" s="3342" t="str">
        <f>IF(项目基本情况!B9="房地产市场价值","",MID(E109,3,LEN(E109)-2))</f>
        <v/>
      </c>
      <c r="B124" s="3342"/>
      <c r="C124" s="3342"/>
      <c r="D124" s="3375" t="str">
        <f>H109</f>
        <v>——</v>
      </c>
      <c r="E124" s="3376"/>
      <c r="F124" s="3376"/>
      <c r="G124" s="3376"/>
      <c r="H124" s="3376"/>
      <c r="I124" s="3377"/>
      <c r="AA124" s="684"/>
    </row>
    <row r="125" spans="1:27" ht="18.75" customHeight="1">
      <c r="A125" s="3311" t="s">
        <v>1452</v>
      </c>
      <c r="B125" s="3311"/>
      <c r="C125" s="3311"/>
      <c r="D125" s="3351" t="e">
        <f>NUMBERSTRING(INT(D124*10000),2)&amp;"元整"</f>
        <v>#VALUE!</v>
      </c>
      <c r="E125" s="3352"/>
      <c r="F125" s="3352"/>
      <c r="G125" s="3352"/>
      <c r="H125" s="3352"/>
      <c r="I125" s="3353"/>
      <c r="AA125" s="684"/>
    </row>
    <row r="126" spans="1:27" ht="18.75" customHeight="1">
      <c r="A126" s="3342" t="str">
        <f>IF(项目基本情况!B9="房地产市场价值","",MID(E111,3,LEN(E111)-2))</f>
        <v/>
      </c>
      <c r="B126" s="3342"/>
      <c r="C126" s="3342"/>
      <c r="D126" s="3375" t="str">
        <f>H111</f>
        <v>——</v>
      </c>
      <c r="E126" s="3376"/>
      <c r="F126" s="3376"/>
      <c r="G126" s="3376"/>
      <c r="H126" s="3376"/>
      <c r="I126" s="3377"/>
      <c r="AA126" s="684"/>
    </row>
    <row r="127" spans="1:27" ht="18.75" customHeight="1">
      <c r="A127" s="3311" t="s">
        <v>1452</v>
      </c>
      <c r="B127" s="3311"/>
      <c r="C127" s="3311"/>
      <c r="D127" s="3351" t="e">
        <f>NUMBERSTRING(INT(D126*10000),2)&amp;"元整"</f>
        <v>#VALUE!</v>
      </c>
      <c r="E127" s="3352"/>
      <c r="F127" s="3352"/>
      <c r="G127" s="3352"/>
      <c r="H127" s="3352"/>
      <c r="I127" s="3353"/>
      <c r="AA127" s="684"/>
    </row>
    <row r="128" spans="1:27" ht="21.75" customHeight="1">
      <c r="A128" s="3358" t="s">
        <v>1453</v>
      </c>
      <c r="B128" s="3358"/>
      <c r="C128" s="3358"/>
      <c r="D128" s="3358"/>
      <c r="E128" s="3358"/>
      <c r="F128" s="3358"/>
      <c r="G128" s="3358"/>
      <c r="H128" s="3358"/>
      <c r="I128" s="335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1484723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1666730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1068960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1068960</v>
      </c>
      <c r="D8" s="214"/>
      <c r="E8" s="212"/>
      <c r="F8" s="213"/>
      <c r="G8" s="1714"/>
    </row>
    <row r="9" spans="1:9" s="206" customFormat="1" ht="13.5" customHeight="1">
      <c r="A9" s="733" t="s">
        <v>355</v>
      </c>
      <c r="B9" s="216" t="s">
        <v>1478</v>
      </c>
      <c r="C9" s="217">
        <f ca="1">ROUND(D9*E9/10000,0)</f>
        <v>107</v>
      </c>
      <c r="D9" s="795">
        <f ca="1">IF(B1="",'数据-汇总表'!E5,IF(INDIRECT("'数据-取费表'!c"&amp;$G$1)="住宅",INDIRECT("'数据-取费表'!k"&amp;$G$1),0))</f>
        <v>8908.0000000000018</v>
      </c>
      <c r="E9" s="217">
        <f>'数据-取费表'!B27</f>
        <v>120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107</v>
      </c>
      <c r="D19" s="204">
        <f ca="1">D9+D10</f>
        <v>8908.0000000000018</v>
      </c>
      <c r="E19" s="203">
        <f>'数据-取费表'!B31</f>
        <v>120</v>
      </c>
      <c r="F19" s="223"/>
      <c r="G19" s="1714"/>
    </row>
    <row r="20" spans="1:7" s="206" customFormat="1" ht="13.5" customHeight="1">
      <c r="A20" s="247" t="s">
        <v>1493</v>
      </c>
      <c r="B20" s="202" t="s">
        <v>1494</v>
      </c>
      <c r="C20" s="224">
        <f ca="1">ROUND((C5+C19)*F20,0)</f>
        <v>10691</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108184</v>
      </c>
      <c r="D22" s="227">
        <f ca="1">C26</f>
        <v>1.5E-3</v>
      </c>
      <c r="E22" s="228" t="s">
        <v>1498</v>
      </c>
      <c r="F22" s="229">
        <f ca="1">'数据-取费表'!B40</f>
        <v>3.2500000000000001E-2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107648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11</v>
      </c>
      <c r="D24" s="230"/>
      <c r="E24" s="230"/>
      <c r="F24" s="231"/>
      <c r="G24" s="232" t="s">
        <v>1507</v>
      </c>
    </row>
    <row r="25" spans="1:7" s="206" customFormat="1" ht="24">
      <c r="A25" s="734" t="s">
        <v>1508</v>
      </c>
      <c r="B25" s="207" t="s">
        <v>1509</v>
      </c>
      <c r="C25" s="1042">
        <f ca="1">ROUND(IF('数据-取费表'!B22&lt;=1,C20*F22*'数据-取费表'!B23/2,C20*(POWER((1+F22),'数据-取费表'!B23/2)-1)),0)</f>
        <v>525</v>
      </c>
      <c r="D25" s="230"/>
      <c r="E25" s="233"/>
      <c r="F25" s="231"/>
      <c r="G25" s="234" t="s">
        <v>1510</v>
      </c>
    </row>
    <row r="26" spans="1:7" s="206" customFormat="1">
      <c r="A26" s="734" t="s">
        <v>350</v>
      </c>
      <c r="B26" s="207" t="s">
        <v>1511</v>
      </c>
      <c r="C26" s="230">
        <f ca="1">ROUND(IF('数据-取费表'!B22&lt;=1,F21*F22*'数据-取费表'!B23/2,F21*(POWER((1+F22),'数据-取费表'!B23/2)-1)),4)</f>
        <v>1.5E-3</v>
      </c>
      <c r="D26" s="230"/>
      <c r="E26" s="233"/>
      <c r="F26" s="231"/>
      <c r="G26" s="235"/>
    </row>
    <row r="27" spans="1:7" s="206" customFormat="1" ht="24.75">
      <c r="A27" s="247" t="s">
        <v>1512</v>
      </c>
      <c r="B27" s="236" t="s">
        <v>1513</v>
      </c>
      <c r="C27" s="237">
        <f ca="1">C28</f>
        <v>161964</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161964</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1480810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3100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2672</v>
      </c>
      <c r="D34" s="209"/>
      <c r="E34" s="212"/>
      <c r="F34" s="249">
        <f ca="1">IF('数据-取费表'!B24=0,1,IF(B1="",'数据-取费表'!N16,INDIRECT("'数据-取费表'!n"&amp;$G$1)))</f>
        <v>1</v>
      </c>
      <c r="G34" s="211" t="s">
        <v>1526</v>
      </c>
    </row>
    <row r="35" spans="1:7" ht="13.5" customHeight="1">
      <c r="A35" s="734" t="s">
        <v>351</v>
      </c>
      <c r="B35" s="207" t="s">
        <v>1527</v>
      </c>
      <c r="C35" s="212">
        <f ca="1">ROUND(C34*F35,0)</f>
        <v>134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134</v>
      </c>
      <c r="D36" s="212"/>
      <c r="E36" s="212"/>
      <c r="F36" s="251">
        <f>'数据-取费表'!B34</f>
        <v>0.05</v>
      </c>
      <c r="G36" s="252" t="s">
        <v>1530</v>
      </c>
    </row>
    <row r="37" spans="1:7" s="250" customFormat="1" ht="13.5" customHeight="1">
      <c r="A37" s="734" t="s">
        <v>353</v>
      </c>
      <c r="B37" s="207" t="s">
        <v>1531</v>
      </c>
      <c r="C37" s="241">
        <f ca="1">ROUND(E37*D37*F34/10000,0)</f>
        <v>107</v>
      </c>
      <c r="D37" s="209">
        <f ca="1">D19</f>
        <v>8908.0000000000018</v>
      </c>
      <c r="E37" s="241">
        <f>'数据-取费表'!B35</f>
        <v>120</v>
      </c>
      <c r="F37" s="251"/>
      <c r="G37" s="253" t="s">
        <v>1532</v>
      </c>
    </row>
    <row r="38" spans="1:7" ht="13.5" customHeight="1">
      <c r="A38" s="734" t="s">
        <v>354</v>
      </c>
      <c r="B38" s="207" t="s">
        <v>1533</v>
      </c>
      <c r="C38" s="212">
        <f ca="1">ROUND(C34*F38,0)</f>
        <v>53</v>
      </c>
      <c r="D38" s="212"/>
      <c r="E38" s="212"/>
      <c r="F38" s="251">
        <f>'数据-取费表'!B36</f>
        <v>0.02</v>
      </c>
      <c r="G38" s="211" t="s">
        <v>1528</v>
      </c>
    </row>
    <row r="39" spans="1:7" s="206" customFormat="1" ht="13.5" customHeight="1">
      <c r="A39" s="247" t="s">
        <v>1534</v>
      </c>
      <c r="B39" s="202" t="s">
        <v>1535</v>
      </c>
      <c r="C39" s="224">
        <f ca="1">ROUND(C33*F20,0)</f>
        <v>31</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154</v>
      </c>
      <c r="D41" s="227">
        <f ca="1">C44</f>
        <v>1.5E-3</v>
      </c>
      <c r="E41" s="228" t="s">
        <v>1539</v>
      </c>
      <c r="F41" s="229">
        <f ca="1">F22</f>
        <v>3.2500000000000001E-2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152</v>
      </c>
      <c r="D42" s="230"/>
      <c r="E42" s="230"/>
      <c r="F42" s="231"/>
      <c r="G42" s="3391" t="s">
        <v>1544</v>
      </c>
    </row>
    <row r="43" spans="1:7" ht="13.5" customHeight="1">
      <c r="A43" s="734" t="s">
        <v>347</v>
      </c>
      <c r="B43" s="207" t="s">
        <v>1545</v>
      </c>
      <c r="C43" s="230">
        <f ca="1">ROUND(IF('数据-取费表'!B22&lt;=1,C39*F22*'数据-取费表'!B21/2,C39*(POWER((1+F22),'数据-取费表'!B21/2)-1)),0)</f>
        <v>2</v>
      </c>
      <c r="D43" s="230"/>
      <c r="E43" s="230"/>
      <c r="F43" s="231"/>
      <c r="G43" s="3392"/>
    </row>
    <row r="44" spans="1:7" ht="13.5" customHeight="1">
      <c r="A44" s="734" t="s">
        <v>348</v>
      </c>
      <c r="B44" s="207" t="s">
        <v>1546</v>
      </c>
      <c r="C44" s="230">
        <f ca="1">ROUND(IF('数据-取费表'!B22&lt;=1,C40*F22*'数据-取费表'!B21/2,C40*(POWER((1+F22),'数据-取费表'!B21/2)-1)),4)</f>
        <v>1.5E-3</v>
      </c>
      <c r="D44" s="230"/>
      <c r="E44" s="230"/>
      <c r="F44" s="231"/>
      <c r="G44" s="3393"/>
    </row>
    <row r="45" spans="1:7" s="206" customFormat="1" ht="13.5" customHeight="1">
      <c r="A45" s="247" t="s">
        <v>1547</v>
      </c>
      <c r="B45" s="236" t="s">
        <v>1513</v>
      </c>
      <c r="C45" s="237">
        <f ca="1">C46</f>
        <v>470</v>
      </c>
      <c r="D45" s="227">
        <f ca="1">C47</f>
        <v>4.4999999999999997E-3</v>
      </c>
      <c r="E45" s="228" t="s">
        <v>1539</v>
      </c>
      <c r="F45" s="238">
        <f ca="1">F27</f>
        <v>0.15</v>
      </c>
      <c r="G45" s="239" t="s">
        <v>1548</v>
      </c>
    </row>
    <row r="46" spans="1:7" s="206" customFormat="1" ht="13.5" customHeight="1">
      <c r="A46" s="734" t="s">
        <v>346</v>
      </c>
      <c r="B46" s="240" t="s">
        <v>1549</v>
      </c>
      <c r="C46" s="241">
        <f ca="1">ROUND((C33+C39)*F27,0)</f>
        <v>470</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4119</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3913</v>
      </c>
      <c r="D51" s="224"/>
      <c r="E51" s="224"/>
      <c r="F51" s="256"/>
      <c r="G51" s="226" t="s">
        <v>1560</v>
      </c>
    </row>
    <row r="52" spans="1:7" s="200" customFormat="1" ht="16.5" thickBot="1">
      <c r="A52" s="257" t="s">
        <v>1561</v>
      </c>
      <c r="B52" s="258"/>
      <c r="C52" s="259">
        <f ca="1">C31+C51</f>
        <v>1484723</v>
      </c>
      <c r="D52" s="258"/>
      <c r="E52" s="258"/>
      <c r="F52" s="258"/>
      <c r="G52" s="260"/>
    </row>
    <row r="55" spans="1:7" ht="15">
      <c r="B55" s="262" t="s">
        <v>1562</v>
      </c>
      <c r="C55" s="263"/>
    </row>
    <row r="56" spans="1:7">
      <c r="B56" s="265" t="s">
        <v>802</v>
      </c>
      <c r="C56" s="267">
        <f ca="1">1-C57</f>
        <v>0.997</v>
      </c>
    </row>
    <row r="57" spans="1:7">
      <c r="B57" s="265" t="s">
        <v>803</v>
      </c>
      <c r="C57" s="266">
        <f ca="1">ROUND(C51/C52,3)</f>
        <v>3.0000000000000001E-3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9" t="str">
        <f>项目基本情况!B1</f>
        <v>预评估</v>
      </c>
      <c r="C37" s="3209"/>
      <c r="D37" s="3209"/>
      <c r="E37" s="3209"/>
      <c r="F37" s="3209"/>
      <c r="G37" s="3209"/>
      <c r="H37" s="3209"/>
      <c r="I37" s="320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1206485</v>
      </c>
      <c r="C2" s="268" t="s">
        <v>1595</v>
      </c>
      <c r="D2" s="268"/>
      <c r="E2" s="2568"/>
      <c r="F2" s="2568"/>
      <c r="G2" s="2568"/>
      <c r="H2" s="2568"/>
      <c r="I2" s="2568"/>
      <c r="J2" s="2568"/>
      <c r="K2" s="2568"/>
    </row>
    <row r="3" spans="1:33" ht="18" customHeight="1" thickBot="1">
      <c r="A3" s="195" t="s">
        <v>1464</v>
      </c>
      <c r="B3" s="196">
        <f ca="1">ROUND(B2*10000/IF(C1="",'数据-汇总表'!E3,INDIRECT("'数据-取费表'!K"&amp;$K$1)),0)</f>
        <v>1354384</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8908.0000000000018</v>
      </c>
      <c r="E14" s="21">
        <f>'数据-取费表'!B35</f>
        <v>120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8908.0000000000018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-1068853</v>
      </c>
      <c r="D18" s="796"/>
      <c r="E18" s="21"/>
      <c r="F18" s="756"/>
      <c r="G18" s="1720"/>
      <c r="H18" s="1106"/>
      <c r="I18" s="1721" t="s">
        <v>1625</v>
      </c>
      <c r="J18" s="759"/>
      <c r="K18" s="760"/>
    </row>
    <row r="19" spans="1:33" s="755" customFormat="1" ht="13.5" customHeight="1">
      <c r="A19" s="752" t="s">
        <v>360</v>
      </c>
      <c r="B19" s="753" t="s">
        <v>1626</v>
      </c>
      <c r="C19" s="21">
        <f ca="1">ROUND(D19*E19/10000,0)</f>
        <v>107</v>
      </c>
      <c r="D19" s="796">
        <f ca="1">IF(C1="",'数据-汇总表'!E5,IF(INDIRECT("'数据-取费表'!c"&amp;$K$1)="住宅",INDIRECT("'数据-取费表'!k"&amp;$K$1),0))</f>
        <v>8908.0000000000018</v>
      </c>
      <c r="E19" s="21">
        <f>'数据-取费表'!B27</f>
        <v>120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160</v>
      </c>
      <c r="F20" s="756"/>
      <c r="G20" s="12"/>
      <c r="H20" s="761"/>
      <c r="I20" s="761"/>
      <c r="J20" s="761"/>
      <c r="K20" s="762"/>
    </row>
    <row r="21" spans="1:33" s="755" customFormat="1" ht="13.5" customHeight="1">
      <c r="A21" s="744" t="s">
        <v>357</v>
      </c>
      <c r="B21" s="765" t="s">
        <v>1628</v>
      </c>
      <c r="C21" s="766">
        <f ca="1">C16+C17+C18</f>
        <v>-1068853</v>
      </c>
      <c r="D21" s="767"/>
      <c r="E21" s="273"/>
      <c r="F21" s="273"/>
      <c r="G21" s="123" t="s">
        <v>1629</v>
      </c>
      <c r="H21" s="759"/>
      <c r="I21" s="759"/>
      <c r="J21" s="759"/>
      <c r="K21" s="760"/>
    </row>
    <row r="22" spans="1:33" s="755" customFormat="1" ht="13.5" customHeight="1">
      <c r="A22" s="744" t="s">
        <v>1601</v>
      </c>
      <c r="B22" s="765" t="s">
        <v>1630</v>
      </c>
      <c r="C22" s="766">
        <f ca="1">ROUND(C21*F22,0)</f>
        <v>-10689</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3.2500000000000001E-2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-161931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-161931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1206485</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96" t="s">
        <v>694</v>
      </c>
      <c r="C6" s="1011">
        <f ca="1">ROUND(F6*F8*F7*(1-F9)/10000,0)</f>
        <v>0</v>
      </c>
      <c r="D6" s="147" t="s">
        <v>2109</v>
      </c>
      <c r="E6" s="294" t="s">
        <v>696</v>
      </c>
      <c r="F6" s="295">
        <f ca="1">INDIRECT("'数据-取费表'!u"&amp;$G$1)</f>
        <v>0</v>
      </c>
      <c r="G6" s="1292"/>
      <c r="H6" s="1006" t="s">
        <v>398</v>
      </c>
      <c r="I6" s="3396" t="s">
        <v>694</v>
      </c>
      <c r="J6" s="293">
        <f ca="1">ROUND(M6*M8*M7*(1-M9)/10000,0)</f>
        <v>0</v>
      </c>
      <c r="K6" s="147" t="s">
        <v>2108</v>
      </c>
      <c r="L6" s="294" t="s">
        <v>696</v>
      </c>
      <c r="M6" s="295">
        <f ca="1">INDIRECT("'数据-取费表'!z"&amp;$G$1)</f>
        <v>0</v>
      </c>
    </row>
    <row r="7" spans="1:37" ht="18" customHeight="1">
      <c r="A7" s="1010"/>
      <c r="B7" s="3397"/>
      <c r="C7" s="1012"/>
      <c r="D7" s="299"/>
      <c r="E7" s="1013" t="s">
        <v>697</v>
      </c>
      <c r="F7" s="295">
        <f ca="1">IF(INDIRECT("'数据-取费表'!ah"&amp;$G$1)="",INDIRECT("'数据-取费表'!k"&amp;$G$1),INDIRECT("'数据-取费表'!ah"&amp;$G$1))</f>
        <v>0</v>
      </c>
      <c r="G7" s="1292"/>
      <c r="H7" s="296"/>
      <c r="I7" s="3397"/>
      <c r="J7" s="298"/>
      <c r="K7" s="299"/>
      <c r="L7" s="294" t="s">
        <v>697</v>
      </c>
      <c r="M7" s="295">
        <f ca="1">F7</f>
        <v>0</v>
      </c>
    </row>
    <row r="8" spans="1:37" ht="18" customHeight="1">
      <c r="A8" s="296"/>
      <c r="B8" s="3397"/>
      <c r="C8" s="298"/>
      <c r="D8" s="299"/>
      <c r="E8" s="294" t="s">
        <v>698</v>
      </c>
      <c r="F8" s="295">
        <f ca="1">INDIRECT("'数据-取费表'!ai"&amp;$G$1)</f>
        <v>0</v>
      </c>
      <c r="G8" s="1292"/>
      <c r="H8" s="296"/>
      <c r="I8" s="3397"/>
      <c r="J8" s="298"/>
      <c r="K8" s="299"/>
      <c r="L8" s="294" t="s">
        <v>698</v>
      </c>
      <c r="M8" s="295">
        <f ca="1">INDIRECT("'数据-取费表'!ai"&amp;$G$1)</f>
        <v>0</v>
      </c>
    </row>
    <row r="9" spans="1:37" ht="18" customHeight="1">
      <c r="A9" s="296"/>
      <c r="B9" s="3398"/>
      <c r="C9" s="298"/>
      <c r="D9" s="299"/>
      <c r="E9" s="294" t="s">
        <v>699</v>
      </c>
      <c r="F9" s="304">
        <f ca="1">INDIRECT("'数据-取费表'!w"&amp;$G$1)</f>
        <v>0</v>
      </c>
      <c r="G9" s="1292"/>
      <c r="H9" s="296"/>
      <c r="I9" s="339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120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1.5E-3</v>
      </c>
      <c r="D24" s="138" t="str">
        <f>IF(F23&lt;=1,"销售费用×利率×(建设周期÷2)","销售费用×((1+利率)^(建设周期÷2)-1)")</f>
        <v>销售费用×((1+利率)^(建设周期÷2)-1)</v>
      </c>
      <c r="E24" s="294" t="s">
        <v>747</v>
      </c>
      <c r="F24" s="322">
        <f ca="1">'数据-取费表'!B40</f>
        <v>3.2500000000000001E-2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94" t="s">
        <v>837</v>
      </c>
      <c r="L53" s="339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7">
      <formula>$J$51&gt;$L$48</formula>
    </cfRule>
  </conditionalFormatting>
  <conditionalFormatting sqref="J11">
    <cfRule type="expression" dxfId="129" priority="2">
      <formula>$M$10="自定义"</formula>
    </cfRule>
  </conditionalFormatting>
  <conditionalFormatting sqref="K55 K60">
    <cfRule type="expression" dxfId="12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F6" sqref="F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3402</v>
      </c>
      <c r="D1" s="1271" t="s">
        <v>43</v>
      </c>
      <c r="E1" s="1272" t="s">
        <v>678</v>
      </c>
      <c r="F1" s="999">
        <f ca="1">J53</f>
        <v>63.23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5793.9161999999997</v>
      </c>
      <c r="C2" s="1289" t="s">
        <v>879</v>
      </c>
      <c r="D2" s="1375">
        <f ca="1">C40+J29+L46</f>
        <v>57939162</v>
      </c>
      <c r="E2" s="1295" t="s">
        <v>880</v>
      </c>
      <c r="F2" s="1296"/>
      <c r="G2" s="2479"/>
      <c r="H2" s="2469"/>
      <c r="I2" s="2469"/>
      <c r="J2" s="2469"/>
      <c r="K2" s="2470"/>
      <c r="L2" s="2469"/>
      <c r="M2" s="2469"/>
    </row>
    <row r="3" spans="1:37" ht="18" customHeight="1" thickBot="1">
      <c r="A3" s="1297" t="s">
        <v>881</v>
      </c>
      <c r="B3" s="1298">
        <f ca="1">IF(ISERROR(D2/F43),0,ROUND(D2/F43,0))</f>
        <v>6504</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2925440</v>
      </c>
      <c r="D5" s="1273" t="s">
        <v>889</v>
      </c>
      <c r="E5" s="1008"/>
      <c r="F5" s="1009"/>
      <c r="G5" s="1292"/>
      <c r="H5" s="291">
        <v>1</v>
      </c>
      <c r="I5" s="292" t="s">
        <v>888</v>
      </c>
      <c r="J5" s="1007">
        <f ca="1">J6+J10+J12</f>
        <v>0</v>
      </c>
      <c r="K5" s="1273" t="s">
        <v>889</v>
      </c>
      <c r="L5" s="1008"/>
      <c r="M5" s="1009"/>
    </row>
    <row r="6" spans="1:37" ht="18" customHeight="1">
      <c r="A6" s="1006" t="s">
        <v>398</v>
      </c>
      <c r="B6" s="3396" t="s">
        <v>694</v>
      </c>
      <c r="C6" s="1011">
        <f ca="1">ROUND(F6*F8*F7*(1-F9),0)</f>
        <v>2921788</v>
      </c>
      <c r="D6" s="147" t="s">
        <v>2106</v>
      </c>
      <c r="E6" s="294" t="s">
        <v>696</v>
      </c>
      <c r="F6" s="295">
        <f ca="1">INDIRECT("'数据-取费表'!u"&amp;$G$1)</f>
        <v>30.37</v>
      </c>
      <c r="G6" s="1292"/>
      <c r="H6" s="1006" t="s">
        <v>398</v>
      </c>
      <c r="I6" s="3396" t="s">
        <v>694</v>
      </c>
      <c r="J6" s="293">
        <f ca="1">ROUND(M6*M8*M7*(1-M9),0)</f>
        <v>0</v>
      </c>
      <c r="K6" s="1284" t="s">
        <v>2107</v>
      </c>
      <c r="L6" s="294" t="s">
        <v>696</v>
      </c>
      <c r="M6" s="295">
        <f ca="1">INDIRECT("'数据-取费表'!z"&amp;$G$1)</f>
        <v>0</v>
      </c>
    </row>
    <row r="7" spans="1:37" ht="18" customHeight="1">
      <c r="A7" s="1010"/>
      <c r="B7" s="3397"/>
      <c r="C7" s="1012"/>
      <c r="D7" s="299"/>
      <c r="E7" s="1013" t="s">
        <v>697</v>
      </c>
      <c r="F7" s="295">
        <f ca="1">IF(INDIRECT("'数据-取费表'!ah"&amp;$G$1)="",INDIRECT("'数据-取费表'!k"&amp;$G$1),INDIRECT("'数据-取费表'!ah"&amp;$G$1))</f>
        <v>8908.0000000000018</v>
      </c>
      <c r="G7" s="1292"/>
      <c r="H7" s="296"/>
      <c r="I7" s="3397"/>
      <c r="J7" s="298"/>
      <c r="K7" s="299"/>
      <c r="L7" s="294" t="s">
        <v>697</v>
      </c>
      <c r="M7" s="295">
        <f ca="1">F7</f>
        <v>8908.0000000000018</v>
      </c>
    </row>
    <row r="8" spans="1:37" ht="18" customHeight="1">
      <c r="A8" s="296"/>
      <c r="B8" s="3397"/>
      <c r="C8" s="298"/>
      <c r="D8" s="299"/>
      <c r="E8" s="294" t="s">
        <v>698</v>
      </c>
      <c r="F8" s="295">
        <f ca="1">INDIRECT("'数据-取费表'!ai"&amp;$G$1)</f>
        <v>12</v>
      </c>
      <c r="G8" s="1292"/>
      <c r="H8" s="296"/>
      <c r="I8" s="3397"/>
      <c r="J8" s="298"/>
      <c r="K8" s="299"/>
      <c r="L8" s="294" t="s">
        <v>698</v>
      </c>
      <c r="M8" s="295">
        <f ca="1">INDIRECT("'数据-取费表'!ai"&amp;$G$1)</f>
        <v>12</v>
      </c>
    </row>
    <row r="9" spans="1:37" ht="18" customHeight="1">
      <c r="A9" s="296"/>
      <c r="B9" s="3398"/>
      <c r="C9" s="298"/>
      <c r="D9" s="299"/>
      <c r="E9" s="294" t="s">
        <v>699</v>
      </c>
      <c r="F9" s="304">
        <f ca="1">INDIRECT("'数据-取费表'!w"&amp;$G$1)</f>
        <v>0.1</v>
      </c>
      <c r="G9" s="1292"/>
      <c r="H9" s="296"/>
      <c r="I9" s="3398"/>
      <c r="J9" s="298"/>
      <c r="K9" s="299"/>
      <c r="L9" s="305" t="s">
        <v>699</v>
      </c>
      <c r="M9" s="306">
        <f ca="1">INDIRECT("'数据-取费表'!ab"&amp;$G$1)</f>
        <v>0</v>
      </c>
    </row>
    <row r="10" spans="1:37" ht="18" customHeight="1">
      <c r="A10" s="1006" t="s">
        <v>402</v>
      </c>
      <c r="B10" s="1274" t="s">
        <v>700</v>
      </c>
      <c r="C10" s="308">
        <f ca="1">ROUND(IF(F10="押一",C6/12*F11,IF(F10="押二",C6/12*2*F11,IF(F10="押三",C6/12*3*F11,C11*F11))),0)</f>
        <v>3652</v>
      </c>
      <c r="D10" s="150" t="s">
        <v>2116</v>
      </c>
      <c r="E10" s="305" t="s">
        <v>701</v>
      </c>
      <c r="F10" s="1053" t="s">
        <v>3622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39126540</v>
      </c>
      <c r="D13" s="1018" t="s">
        <v>705</v>
      </c>
      <c r="E13" s="1018" t="s">
        <v>706</v>
      </c>
      <c r="F13" s="1019">
        <f ca="1">INDIRECT("'数据-取费表'!y"&amp;$G$1)</f>
        <v>0.95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26724000</v>
      </c>
      <c r="D14" s="1257" t="s">
        <v>708</v>
      </c>
      <c r="E14" s="1255"/>
      <c r="F14" s="311"/>
      <c r="G14" s="1292"/>
      <c r="H14" s="928" t="s">
        <v>398</v>
      </c>
      <c r="I14" s="294" t="s">
        <v>709</v>
      </c>
      <c r="J14" s="21">
        <f ca="1">C29</f>
        <v>41185832</v>
      </c>
      <c r="K14" s="12"/>
      <c r="L14" s="759"/>
      <c r="M14" s="760"/>
    </row>
    <row r="15" spans="1:37" s="1304" customFormat="1" ht="18" customHeight="1" thickBot="1">
      <c r="A15" s="928" t="s">
        <v>399</v>
      </c>
      <c r="B15" s="294" t="s">
        <v>710</v>
      </c>
      <c r="C15" s="21">
        <f ca="1">ROUND(C14*F15,0)</f>
        <v>1336200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1336200</v>
      </c>
      <c r="D16" s="294" t="s">
        <v>711</v>
      </c>
      <c r="E16" s="294" t="s">
        <v>712</v>
      </c>
      <c r="F16" s="314">
        <f ca="1">IF(INDIRECT("'数据-取费表'!c"&amp;$G$1)="住宅",'数据-取费表'!B34,0)</f>
        <v>0.05</v>
      </c>
      <c r="G16" s="1292"/>
      <c r="H16" s="1016" t="s">
        <v>393</v>
      </c>
      <c r="I16" s="1017" t="s">
        <v>714</v>
      </c>
      <c r="J16" s="302">
        <f ca="1">ROUND(J17+J22+J23+J24,0)</f>
        <v>82372</v>
      </c>
      <c r="K16" s="1024" t="s">
        <v>715</v>
      </c>
      <c r="L16" s="1025"/>
      <c r="M16" s="1009"/>
    </row>
    <row r="17" spans="1:37" s="1304" customFormat="1" ht="18" customHeight="1">
      <c r="A17" s="928" t="s">
        <v>681</v>
      </c>
      <c r="B17" s="294" t="s">
        <v>716</v>
      </c>
      <c r="C17" s="21">
        <f ca="1">ROUND(F17*(F43+INDIRECT("'数据-取费表'!S"&amp;$G$1)),0)</f>
        <v>1068960</v>
      </c>
      <c r="D17" s="294" t="s">
        <v>717</v>
      </c>
      <c r="E17" s="294" t="s">
        <v>718</v>
      </c>
      <c r="F17" s="23">
        <f>'数据-取费表'!B35</f>
        <v>120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534480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30999840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309998</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82372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1538690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1.5E-3</v>
      </c>
      <c r="D24" s="138" t="str">
        <f>IF(F23&lt;=1,"销售费用×利率×(建设周期÷2)","销售费用×((1+利率)^(建设周期÷2)-1)")</f>
        <v>销售费用×((1+利率)^(建设周期÷2)-1)</v>
      </c>
      <c r="E24" s="294" t="s">
        <v>747</v>
      </c>
      <c r="F24" s="322">
        <f ca="1">'数据-取费表'!B40</f>
        <v>3.2500000000000001E-2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-82372</v>
      </c>
      <c r="K25" s="1032" t="s">
        <v>753</v>
      </c>
      <c r="L25" s="1033"/>
      <c r="M25" s="1034"/>
    </row>
    <row r="26" spans="1:37" ht="18" customHeight="1">
      <c r="A26" s="928" t="s">
        <v>397</v>
      </c>
      <c r="B26" s="294" t="s">
        <v>754</v>
      </c>
      <c r="C26" s="21">
        <f ca="1">ROUND((C19+C20)*F26,0)</f>
        <v>4696476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3.5000000000000003E-2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41185832</v>
      </c>
      <c r="D29" s="1029"/>
      <c r="E29" s="1027"/>
      <c r="F29" s="1030"/>
      <c r="G29" s="1303"/>
      <c r="H29" s="325" t="s">
        <v>396</v>
      </c>
      <c r="I29" s="326" t="s">
        <v>768</v>
      </c>
      <c r="J29" s="327">
        <f ca="1">ROUND(J26/(1+F40)^F41,0)</f>
        <v>0</v>
      </c>
      <c r="K29" s="328" t="s">
        <v>769</v>
      </c>
      <c r="L29" s="329"/>
      <c r="M29" s="330">
        <f ca="1">INDIRECT("'数据-取费表'!k"&amp;$G$1)</f>
        <v>8908.0000000000018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637718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486965</v>
      </c>
      <c r="D31" s="1257" t="s">
        <v>720</v>
      </c>
      <c r="E31" s="1256" t="s">
        <v>770</v>
      </c>
      <c r="F31" s="2139">
        <f ca="1">IF(项目基本情况!B11="企业","——",IF(M47="住宅",IF(F6*F7*F8/12/(1+'数据-取费表'!F30)&gt;100000,4%,2.5%),IF(F6*F7*F8/12/(1+'数据-取费表'!F30)&gt;100000,12%,7%)))</f>
        <v>0.04</v>
      </c>
      <c r="G31" s="1292"/>
      <c r="H31" s="2570" t="s">
        <v>2306</v>
      </c>
      <c r="I31" s="1305"/>
      <c r="J31" s="1306"/>
      <c r="K31" s="121"/>
      <c r="L31" s="2472"/>
      <c r="M31" s="2473"/>
    </row>
    <row r="32" spans="1:37" ht="18" customHeight="1">
      <c r="A32" s="928" t="s">
        <v>397</v>
      </c>
      <c r="B32" s="294" t="s">
        <v>723</v>
      </c>
      <c r="C32" s="21">
        <f ca="1">IF(项目基本情况!B11="自然人","——",ROUND(C6*F32/(1+'数据-取费表'!C42),0))</f>
        <v>153046</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333919</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82372</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39127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29254</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2287722</v>
      </c>
      <c r="D39" s="1032" t="s">
        <v>773</v>
      </c>
      <c r="E39" s="1033"/>
      <c r="F39" s="1034"/>
      <c r="G39" s="1292"/>
      <c r="H39" s="2474"/>
      <c r="I39" s="1305"/>
      <c r="J39" s="1306"/>
      <c r="K39" s="2472"/>
      <c r="L39" s="2474"/>
      <c r="M39" s="2474"/>
    </row>
    <row r="40" spans="1:18" ht="18" customHeight="1">
      <c r="A40" s="291" t="s">
        <v>395</v>
      </c>
      <c r="B40" s="292" t="s">
        <v>774</v>
      </c>
      <c r="C40" s="293">
        <f ca="1">ROUND(C39*(1-((1+F42)/(1+F40))^F41)/(F40-F42),0)</f>
        <v>57939162</v>
      </c>
      <c r="D40" s="316" t="s">
        <v>758</v>
      </c>
      <c r="E40" s="294" t="s">
        <v>759</v>
      </c>
      <c r="F40" s="304">
        <f ca="1">INDIRECT("'数据-取费表'!I"&amp;$G$1)</f>
        <v>3.5000000000000003E-2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63.23</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ROUND(C40/F43,0)</f>
        <v>6504</v>
      </c>
      <c r="D43" s="328" t="s">
        <v>777</v>
      </c>
      <c r="E43" s="329" t="s">
        <v>778</v>
      </c>
      <c r="F43" s="330">
        <f ca="1">INDIRECT("'数据-取费表'!k"&amp;$G$1)</f>
        <v>8908.0000000000018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-6101.6261999999997</v>
      </c>
      <c r="D45" s="3131" t="s">
        <v>3351</v>
      </c>
      <c r="E45" s="1307"/>
      <c r="F45" s="1307"/>
      <c r="O45" s="1310" t="s">
        <v>808</v>
      </c>
      <c r="P45" s="1366"/>
      <c r="Q45" s="1366"/>
      <c r="R45" s="1366"/>
    </row>
    <row r="46" spans="1:18" s="1292" customFormat="1" ht="13.5" thickBot="1">
      <c r="A46" s="1311" t="s">
        <v>809</v>
      </c>
      <c r="C46" s="1312">
        <f ca="1">ROUND(C45,0)</f>
        <v>-6102</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3623</v>
      </c>
      <c r="K47" s="1323" t="s">
        <v>816</v>
      </c>
      <c r="L47" s="1324">
        <f ca="1">INDIRECT("'数据-取费表'!d"&amp;$G$1)</f>
        <v>70</v>
      </c>
      <c r="M47" s="1288" t="str">
        <f>IF(ISNUMBER(FIND("住宅",C1)),"住宅","非住宅")</f>
        <v>住宅</v>
      </c>
      <c r="O47" s="1325" t="s">
        <v>403</v>
      </c>
      <c r="P47" s="1326" t="s">
        <v>817</v>
      </c>
      <c r="Q47" s="1327">
        <f ca="1">C40+J29</f>
        <v>57939162</v>
      </c>
      <c r="R47" s="1327" t="s">
        <v>818</v>
      </c>
    </row>
    <row r="48" spans="1:18" s="1292" customFormat="1" ht="28.5" thickBot="1">
      <c r="A48" s="1047" t="s">
        <v>438</v>
      </c>
      <c r="B48" s="292" t="s">
        <v>692</v>
      </c>
      <c r="C48" s="1268">
        <f ca="1">C49+C53+C55</f>
        <v>0</v>
      </c>
      <c r="D48" s="1049"/>
      <c r="E48" s="1050"/>
      <c r="F48" s="908"/>
      <c r="G48" s="681"/>
      <c r="H48" s="682"/>
      <c r="I48" s="1328" t="s">
        <v>819</v>
      </c>
      <c r="J48" s="1329" t="s">
        <v>3624</v>
      </c>
      <c r="K48" s="1330" t="s">
        <v>820</v>
      </c>
      <c r="L48" s="1331">
        <f ca="1">INDIRECT("'数据-取费表'!f"&amp;$G$1)</f>
        <v>63.23</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2022</v>
      </c>
      <c r="K49" s="1330" t="s">
        <v>824</v>
      </c>
      <c r="L49" s="1333"/>
      <c r="O49" s="1334" t="s">
        <v>405</v>
      </c>
      <c r="P49" s="1326" t="s">
        <v>825</v>
      </c>
      <c r="Q49" s="1327">
        <f ca="1">C29</f>
        <v>41185832</v>
      </c>
      <c r="R49" s="1327" t="s">
        <v>818</v>
      </c>
    </row>
    <row r="50" spans="1:18" s="1292" customFormat="1" ht="13.5" thickBot="1">
      <c r="A50" s="922"/>
      <c r="B50" s="925"/>
      <c r="C50" s="926"/>
      <c r="D50" s="899"/>
      <c r="E50" s="993" t="s">
        <v>697</v>
      </c>
      <c r="F50" s="994">
        <f ca="1">F7</f>
        <v>8908.0000000000018</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57</v>
      </c>
      <c r="K51" s="1339" t="s">
        <v>830</v>
      </c>
      <c r="L51" s="1340">
        <f ca="1">ROUND(-PV(INDIRECT("'数据-取费表'!h"&amp;$G$1),J51,(C39-C13*C76),0),0)</f>
        <v>-1123200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63.23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63.23</v>
      </c>
      <c r="K53" s="3394" t="s">
        <v>837</v>
      </c>
      <c r="L53" s="3395"/>
      <c r="O53" s="1325" t="s">
        <v>409</v>
      </c>
      <c r="P53" s="1326" t="s">
        <v>838</v>
      </c>
      <c r="Q53" s="1327">
        <f ca="1">Q47+Q48</f>
        <v>57939162</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39126540</v>
      </c>
      <c r="D56" s="1352"/>
      <c r="E56" s="1353"/>
      <c r="F56" s="1345"/>
      <c r="I56" s="1354" t="s">
        <v>842</v>
      </c>
      <c r="J56" s="1355" t="s">
        <v>3618</v>
      </c>
      <c r="K56" s="1328" t="s">
        <v>843</v>
      </c>
      <c r="L56" s="1331">
        <f ca="1">IF(L48&lt;J51,"——",L48-J51)</f>
        <v>6.2299999999999969</v>
      </c>
      <c r="O56" s="1325" t="s">
        <v>403</v>
      </c>
      <c r="P56" s="1326" t="s">
        <v>817</v>
      </c>
      <c r="Q56" s="1327">
        <f ca="1">C40+J29</f>
        <v>57939162</v>
      </c>
      <c r="R56" s="1327" t="s">
        <v>818</v>
      </c>
    </row>
    <row r="57" spans="1:18" s="1292" customFormat="1" ht="24.75" thickBot="1">
      <c r="A57" s="1356"/>
      <c r="B57" s="896" t="s">
        <v>767</v>
      </c>
      <c r="C57" s="230">
        <f ca="1">C29</f>
        <v>41185832</v>
      </c>
      <c r="D57" s="1357"/>
      <c r="E57" s="1358"/>
      <c r="F57" s="1359"/>
      <c r="I57" s="1360" t="s">
        <v>844</v>
      </c>
      <c r="J57" s="1361" t="str">
        <f ca="1">IF(OR(M47="住宅",J51&lt;L48,J56="是"),"——",J51-L48)</f>
        <v>——</v>
      </c>
      <c r="K57" s="1328" t="s">
        <v>892</v>
      </c>
      <c r="L57" s="1331">
        <f ca="1">IF(L48&lt;J51,"——",IF(L55="比较法",L49,IF(L55="基准地价",L50,L51)))</f>
        <v>-1123200</v>
      </c>
      <c r="O57" s="1325" t="s">
        <v>404</v>
      </c>
      <c r="P57" s="1326" t="s">
        <v>893</v>
      </c>
      <c r="Q57" s="1327">
        <f ca="1">L60</f>
        <v>0</v>
      </c>
      <c r="R57" s="1327" t="s">
        <v>894</v>
      </c>
    </row>
    <row r="58" spans="1:18" s="1292" customFormat="1" ht="24.75" thickBot="1">
      <c r="A58" s="307" t="s">
        <v>393</v>
      </c>
      <c r="B58" s="904" t="s">
        <v>714</v>
      </c>
      <c r="C58" s="308">
        <f ca="1">ROUND(C59+C64+C65+C66,0)</f>
        <v>121499</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57939162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82372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39127</v>
      </c>
      <c r="D65" s="910" t="s">
        <v>743</v>
      </c>
      <c r="E65" s="896" t="s">
        <v>744</v>
      </c>
      <c r="F65" s="321">
        <f t="shared" ca="1" si="0"/>
        <v>1E-3</v>
      </c>
      <c r="I65" s="1367" t="s">
        <v>867</v>
      </c>
      <c r="J65" s="610">
        <v>40</v>
      </c>
      <c r="K65" s="610">
        <v>30</v>
      </c>
      <c r="L65" s="610">
        <v>50</v>
      </c>
      <c r="M65" s="1369">
        <v>0.02</v>
      </c>
      <c r="O65" s="1325" t="s">
        <v>403</v>
      </c>
      <c r="P65" s="1326" t="s">
        <v>868</v>
      </c>
      <c r="Q65" s="1327">
        <f ca="1">C40+J29</f>
        <v>57939162</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-121499</v>
      </c>
      <c r="D67" s="909" t="s">
        <v>753</v>
      </c>
      <c r="E67" s="914"/>
      <c r="F67" s="915"/>
      <c r="O67" s="1334" t="s">
        <v>405</v>
      </c>
      <c r="P67" s="1326" t="s">
        <v>850</v>
      </c>
      <c r="Q67" s="1370">
        <f ca="1">L51</f>
        <v>-1123200</v>
      </c>
      <c r="R67" s="1327" t="s">
        <v>870</v>
      </c>
    </row>
    <row r="68" spans="1:18" s="1292" customFormat="1" ht="16.5" thickBot="1">
      <c r="A68" s="893" t="s">
        <v>395</v>
      </c>
      <c r="B68" s="894" t="s">
        <v>774</v>
      </c>
      <c r="C68" s="293">
        <f ca="1">ROUND(C67*(1-((1+F70)/(1+F68))^F69)/(F68-F70),0)</f>
        <v>-3077100</v>
      </c>
      <c r="D68" s="911" t="s">
        <v>758</v>
      </c>
      <c r="E68" s="896" t="s">
        <v>759</v>
      </c>
      <c r="F68" s="304">
        <f ca="1">F40</f>
        <v>3.5000000000000003E-2</v>
      </c>
      <c r="O68" s="1334" t="s">
        <v>406</v>
      </c>
      <c r="P68" s="1371" t="s">
        <v>871</v>
      </c>
      <c r="Q68" s="1327">
        <f ca="1">ROUND(Q69-Q70*Q71,0)</f>
        <v>-59870</v>
      </c>
      <c r="R68" s="1327" t="s">
        <v>414</v>
      </c>
    </row>
    <row r="69" spans="1:18" s="1292" customFormat="1" ht="13.5" thickBot="1">
      <c r="A69" s="897"/>
      <c r="B69" s="898"/>
      <c r="C69" s="298"/>
      <c r="D69" s="916" t="s">
        <v>762</v>
      </c>
      <c r="E69" s="896" t="s">
        <v>763</v>
      </c>
      <c r="F69" s="324">
        <f ca="1">F41</f>
        <v>63.23</v>
      </c>
      <c r="O69" s="1334" t="s">
        <v>411</v>
      </c>
      <c r="P69" s="1371" t="s">
        <v>872</v>
      </c>
      <c r="Q69" s="1327">
        <f ca="1">C39</f>
        <v>2287722</v>
      </c>
      <c r="R69" s="1327" t="s">
        <v>818</v>
      </c>
    </row>
    <row r="70" spans="1:18" s="1292" customFormat="1" ht="13.5" thickBot="1">
      <c r="A70" s="900"/>
      <c r="B70" s="901"/>
      <c r="C70" s="302"/>
      <c r="D70" s="912"/>
      <c r="E70" s="896" t="s">
        <v>766</v>
      </c>
      <c r="F70" s="991"/>
      <c r="O70" s="1334" t="s">
        <v>412</v>
      </c>
      <c r="P70" s="1371" t="s">
        <v>873</v>
      </c>
      <c r="Q70" s="1327">
        <f ca="1">C13</f>
        <v>39126540</v>
      </c>
      <c r="R70" s="1327" t="s">
        <v>818</v>
      </c>
    </row>
    <row r="71" spans="1:18" s="1292" customFormat="1" ht="13.5" thickBot="1">
      <c r="A71" s="917" t="s">
        <v>396</v>
      </c>
      <c r="B71" s="918" t="s">
        <v>776</v>
      </c>
      <c r="C71" s="327">
        <f ca="1">ROUND(C68/F71,0)</f>
        <v>-345</v>
      </c>
      <c r="D71" s="919" t="s">
        <v>777</v>
      </c>
      <c r="E71" s="920" t="s">
        <v>778</v>
      </c>
      <c r="F71" s="330">
        <f ca="1">F43</f>
        <v>8908.0000000000018</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2347592</v>
      </c>
      <c r="D75" s="1292"/>
      <c r="E75" s="1292"/>
      <c r="F75" s="1292"/>
      <c r="K75" s="1309"/>
      <c r="L75" s="1292"/>
      <c r="O75" s="1325" t="s">
        <v>409</v>
      </c>
      <c r="P75" s="1326" t="s">
        <v>838</v>
      </c>
      <c r="Q75" s="1327">
        <f ca="1">Q65+Q66</f>
        <v>57939162</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-2.6000000000000023E-2</v>
      </c>
    </row>
    <row r="80" spans="1:18">
      <c r="B80" s="331" t="s">
        <v>800</v>
      </c>
      <c r="C80" s="266">
        <f ca="1">ROUND(C75/C39,3)</f>
        <v>1.026</v>
      </c>
    </row>
    <row r="81" spans="2:3">
      <c r="B81" s="262" t="s">
        <v>801</v>
      </c>
      <c r="C81" s="230"/>
    </row>
    <row r="82" spans="2:3">
      <c r="B82" s="265" t="s">
        <v>802</v>
      </c>
      <c r="C82" s="267">
        <f ca="1">1-C83</f>
        <v>0.32499999999999996</v>
      </c>
    </row>
    <row r="83" spans="2:3">
      <c r="B83" s="265" t="s">
        <v>803</v>
      </c>
      <c r="C83" s="266">
        <f ca="1">ROUND(C13/C40,3)</f>
        <v>0.67500000000000004</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05" t="s">
        <v>2317</v>
      </c>
      <c r="K2" s="3406"/>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07" t="s">
        <v>2327</v>
      </c>
      <c r="K3" s="3408"/>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07" t="s">
        <v>2329</v>
      </c>
      <c r="K4" s="3408"/>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13" t="s">
        <v>2333</v>
      </c>
      <c r="B6" s="3414"/>
      <c r="C6" s="3415"/>
      <c r="D6" s="2622"/>
      <c r="E6" s="2623"/>
      <c r="F6" s="2624"/>
      <c r="G6" s="2625"/>
      <c r="H6" s="2600"/>
      <c r="I6" s="2601"/>
      <c r="J6" s="3399">
        <v>1</v>
      </c>
      <c r="K6" s="3400"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99"/>
      <c r="K7" s="3401"/>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16" t="s">
        <v>2347</v>
      </c>
      <c r="C8" s="3417"/>
      <c r="D8" s="2641" t="s">
        <v>2348</v>
      </c>
      <c r="E8" s="2642" t="s">
        <v>2349</v>
      </c>
      <c r="F8" s="2643" t="s">
        <v>2350</v>
      </c>
      <c r="G8" s="2644"/>
      <c r="H8" s="2600"/>
      <c r="I8" s="2601"/>
      <c r="J8" s="3399"/>
      <c r="K8" s="3401"/>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16" t="s">
        <v>2353</v>
      </c>
      <c r="C9" s="3417"/>
      <c r="D9" s="2641">
        <f>ROUND(D6*E9,0)</f>
        <v>0</v>
      </c>
      <c r="E9" s="2645"/>
      <c r="F9" s="2646" t="s">
        <v>2354</v>
      </c>
      <c r="G9" s="2625"/>
      <c r="H9" s="2600"/>
      <c r="I9" s="2601"/>
      <c r="J9" s="3399"/>
      <c r="K9" s="3401"/>
      <c r="L9" s="2635" t="s">
        <v>2355</v>
      </c>
      <c r="M9" s="2636"/>
      <c r="N9" s="2612"/>
      <c r="O9" s="2637"/>
      <c r="P9" s="2637"/>
      <c r="Q9" s="2638">
        <v>365</v>
      </c>
      <c r="R9" s="2639">
        <f t="shared" si="0"/>
        <v>0</v>
      </c>
      <c r="S9" s="2593"/>
      <c r="T9" s="2593"/>
      <c r="U9" s="2593"/>
      <c r="V9" s="2601"/>
    </row>
    <row r="10" spans="1:22" s="2605" customFormat="1" ht="13.15" customHeight="1">
      <c r="A10" s="2640">
        <v>2</v>
      </c>
      <c r="B10" s="3416" t="s">
        <v>2356</v>
      </c>
      <c r="C10" s="3417"/>
      <c r="D10" s="2641">
        <f>ROUND(D6*E10,0)</f>
        <v>0</v>
      </c>
      <c r="E10" s="2645"/>
      <c r="F10" s="2646" t="s">
        <v>2357</v>
      </c>
      <c r="G10" s="2625"/>
      <c r="H10" s="2600"/>
      <c r="I10" s="2601"/>
      <c r="J10" s="3399"/>
      <c r="K10" s="3401"/>
      <c r="L10" s="2635" t="s">
        <v>2358</v>
      </c>
      <c r="M10" s="2636"/>
      <c r="N10" s="2612"/>
      <c r="O10" s="2637"/>
      <c r="P10" s="2637"/>
      <c r="Q10" s="2638">
        <v>365</v>
      </c>
      <c r="R10" s="2639">
        <f t="shared" si="0"/>
        <v>0</v>
      </c>
      <c r="S10" s="2593"/>
      <c r="T10" s="2593"/>
      <c r="U10" s="2593"/>
      <c r="V10" s="2601"/>
    </row>
    <row r="11" spans="1:22" s="2605" customFormat="1" ht="13.15" customHeight="1">
      <c r="A11" s="2640">
        <v>3</v>
      </c>
      <c r="B11" s="3416" t="s">
        <v>2359</v>
      </c>
      <c r="C11" s="3417"/>
      <c r="D11" s="2641">
        <f>D12+D14+D15+D16</f>
        <v>0</v>
      </c>
      <c r="E11" s="2647" t="e">
        <f>D11/D6</f>
        <v>#DIV/0!</v>
      </c>
      <c r="F11" s="2643"/>
      <c r="G11" s="2644"/>
      <c r="H11" s="2600"/>
      <c r="I11" s="2601"/>
      <c r="J11" s="3399"/>
      <c r="K11" s="3401"/>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09" t="s">
        <v>2362</v>
      </c>
      <c r="C12" s="3410"/>
      <c r="D12" s="2649">
        <f>ROUND(D13*1.2%*(1-30%),0)</f>
        <v>0</v>
      </c>
      <c r="E12" s="2650">
        <v>1.2E-2</v>
      </c>
      <c r="F12" s="2643" t="s">
        <v>2363</v>
      </c>
      <c r="G12" s="2644"/>
      <c r="H12" s="2600"/>
      <c r="I12" s="2601"/>
      <c r="J12" s="3399"/>
      <c r="K12" s="3401"/>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99"/>
      <c r="K13" s="3401"/>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09" t="s">
        <v>2368</v>
      </c>
      <c r="C14" s="3410"/>
      <c r="D14" s="2649">
        <f>ROUND(E14*B5/10000,0)</f>
        <v>0</v>
      </c>
      <c r="E14" s="2638"/>
      <c r="F14" s="2643" t="s">
        <v>2369</v>
      </c>
      <c r="G14" s="2644"/>
      <c r="H14" s="2600"/>
      <c r="I14" s="2601"/>
      <c r="J14" s="3399"/>
      <c r="K14" s="3402"/>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09" t="s">
        <v>2372</v>
      </c>
      <c r="C15" s="3410"/>
      <c r="D15" s="2649">
        <f>ROUND(D6*E15,0)</f>
        <v>0</v>
      </c>
      <c r="E15" s="2650">
        <v>5.5E-2</v>
      </c>
      <c r="F15" s="2643" t="s">
        <v>2373</v>
      </c>
      <c r="G15" s="2625"/>
      <c r="H15" s="2600"/>
      <c r="I15" s="2601"/>
      <c r="J15" s="3399">
        <v>2</v>
      </c>
      <c r="K15" s="3400"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09" t="s">
        <v>2381</v>
      </c>
      <c r="C16" s="3410"/>
      <c r="D16" s="2660">
        <f>D6*E16</f>
        <v>0</v>
      </c>
      <c r="E16" s="2661"/>
      <c r="F16" s="2646" t="s">
        <v>2382</v>
      </c>
      <c r="G16" s="2625"/>
      <c r="H16" s="2600"/>
      <c r="I16" s="2601"/>
      <c r="J16" s="3399"/>
      <c r="K16" s="3401"/>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11" t="s">
        <v>2384</v>
      </c>
      <c r="C17" s="3412"/>
      <c r="D17" s="2663">
        <f>ROUND(D6*E17,0)</f>
        <v>0</v>
      </c>
      <c r="E17" s="2664"/>
      <c r="F17" s="2665" t="s">
        <v>2385</v>
      </c>
      <c r="G17" s="2625"/>
      <c r="H17" s="2600"/>
      <c r="I17" s="2601"/>
      <c r="J17" s="3399"/>
      <c r="K17" s="3401"/>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99"/>
      <c r="K18" s="3401"/>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99"/>
      <c r="K19" s="3402"/>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99">
        <v>3</v>
      </c>
      <c r="K20" s="3400"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99"/>
      <c r="K21" s="3401"/>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99"/>
      <c r="K22" s="3401"/>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99"/>
      <c r="K23" s="3401"/>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99"/>
      <c r="K24" s="3402"/>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03">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0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05" t="s">
        <v>2317</v>
      </c>
      <c r="K32" s="3406"/>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07" t="s">
        <v>2327</v>
      </c>
      <c r="K33" s="3408"/>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07" t="s">
        <v>2329</v>
      </c>
      <c r="K34" s="340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99">
        <v>1</v>
      </c>
      <c r="K36" s="3400"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99"/>
      <c r="K37" s="3401"/>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99"/>
      <c r="K38" s="3401"/>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99"/>
      <c r="K39" s="3401"/>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99"/>
      <c r="K40" s="3402"/>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03">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0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5793.9161999999997</v>
      </c>
      <c r="C2" s="1729" t="s">
        <v>1651</v>
      </c>
      <c r="D2" s="1730" t="s">
        <v>1652</v>
      </c>
      <c r="E2" s="2393">
        <f>SUM(E6:E13)</f>
        <v>8908.0000000000018</v>
      </c>
      <c r="F2" s="2480"/>
      <c r="G2" s="459"/>
      <c r="H2" s="459"/>
      <c r="I2" s="459"/>
      <c r="J2" s="459"/>
      <c r="K2" s="459"/>
      <c r="L2" s="459"/>
      <c r="M2" s="459"/>
      <c r="N2" s="459"/>
      <c r="O2" s="459"/>
      <c r="P2" s="459"/>
      <c r="Q2" s="459"/>
      <c r="R2" s="459"/>
      <c r="S2" s="459"/>
    </row>
    <row r="3" spans="1:22" ht="15.75">
      <c r="A3" s="1728" t="s">
        <v>686</v>
      </c>
      <c r="B3" s="2387">
        <f ca="1">ROUND(B2*10000/E2,0)</f>
        <v>6504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18" t="s">
        <v>1654</v>
      </c>
      <c r="C5" s="3419"/>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5793.9161999999997</v>
      </c>
      <c r="C6" s="1729" t="s">
        <v>1651</v>
      </c>
      <c r="D6" s="2480"/>
      <c r="E6" s="2392">
        <f>IF(OR(A6=0,F6="否"),0,'数据-取费表'!K6+'数据-取费表'!S6)</f>
        <v>8908.0000000000018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8908.0000000000018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38" t="s">
        <v>1667</v>
      </c>
      <c r="D4" s="3439"/>
      <c r="E4" s="3440" t="s">
        <v>1668</v>
      </c>
      <c r="F4" s="3441"/>
      <c r="G4" s="3438" t="s">
        <v>1669</v>
      </c>
      <c r="H4" s="3439"/>
      <c r="I4" s="3438" t="s">
        <v>1670</v>
      </c>
      <c r="J4" s="3439"/>
      <c r="K4" s="1744" t="s">
        <v>1671</v>
      </c>
      <c r="L4" s="2487"/>
      <c r="M4" s="2488"/>
      <c r="N4" s="2488"/>
      <c r="O4" s="2488"/>
      <c r="P4" s="3442" t="s">
        <v>1672</v>
      </c>
      <c r="Q4" s="3443"/>
      <c r="R4" s="3448" t="s">
        <v>1668</v>
      </c>
      <c r="S4" s="3449"/>
      <c r="T4" s="3448" t="s">
        <v>1669</v>
      </c>
      <c r="U4" s="3449"/>
      <c r="V4" s="3424" t="s">
        <v>1670</v>
      </c>
      <c r="W4" s="3424"/>
      <c r="X4" s="1265"/>
      <c r="Y4" s="3448" t="s">
        <v>1672</v>
      </c>
      <c r="Z4" s="3449"/>
      <c r="AA4" s="3435" t="s">
        <v>1668</v>
      </c>
      <c r="AB4" s="3435" t="s">
        <v>1669</v>
      </c>
      <c r="AC4" s="3435" t="s">
        <v>1670</v>
      </c>
    </row>
    <row r="5" spans="1:29" ht="15">
      <c r="A5" s="348"/>
      <c r="B5" s="349"/>
      <c r="C5" s="3456" t="s">
        <v>1673</v>
      </c>
      <c r="D5" s="3457"/>
      <c r="E5" s="3463" t="s">
        <v>1674</v>
      </c>
      <c r="F5" s="3464"/>
      <c r="G5" s="3456" t="s">
        <v>1675</v>
      </c>
      <c r="H5" s="3457"/>
      <c r="I5" s="3456" t="s">
        <v>1676</v>
      </c>
      <c r="J5" s="3457"/>
      <c r="K5" s="1745"/>
      <c r="L5" s="2487"/>
      <c r="M5" s="2488"/>
      <c r="N5" s="2488"/>
      <c r="O5" s="2488"/>
      <c r="P5" s="3444"/>
      <c r="Q5" s="3445"/>
      <c r="R5" s="3450"/>
      <c r="S5" s="3451"/>
      <c r="T5" s="3450"/>
      <c r="U5" s="3451"/>
      <c r="V5" s="3424"/>
      <c r="W5" s="3424"/>
      <c r="X5" s="1265"/>
      <c r="Y5" s="3450"/>
      <c r="Z5" s="3451"/>
      <c r="AA5" s="3436"/>
      <c r="AB5" s="3436"/>
      <c r="AC5" s="3436"/>
    </row>
    <row r="6" spans="1:29" ht="15.75" thickBot="1">
      <c r="A6" s="350"/>
      <c r="B6" s="351"/>
      <c r="C6" s="3454" t="s">
        <v>1677</v>
      </c>
      <c r="D6" s="3455"/>
      <c r="E6" s="3461" t="s">
        <v>1677</v>
      </c>
      <c r="F6" s="3462"/>
      <c r="G6" s="3454" t="s">
        <v>1677</v>
      </c>
      <c r="H6" s="3455"/>
      <c r="I6" s="3454" t="s">
        <v>1677</v>
      </c>
      <c r="J6" s="3455"/>
      <c r="K6" s="1745" t="s">
        <v>1678</v>
      </c>
      <c r="L6" s="2487"/>
      <c r="M6" s="2488"/>
      <c r="N6" s="2488"/>
      <c r="O6" s="2488"/>
      <c r="P6" s="3446"/>
      <c r="Q6" s="3447"/>
      <c r="R6" s="3450"/>
      <c r="S6" s="3451"/>
      <c r="T6" s="3452"/>
      <c r="U6" s="3453"/>
      <c r="V6" s="3424"/>
      <c r="W6" s="3424"/>
      <c r="X6" s="1265"/>
      <c r="Y6" s="3452"/>
      <c r="Z6" s="3453"/>
      <c r="AA6" s="3437"/>
      <c r="AB6" s="3437"/>
      <c r="AC6" s="3437"/>
    </row>
    <row r="7" spans="1:29" s="102" customFormat="1" ht="15.75" thickBot="1">
      <c r="A7" s="352" t="s">
        <v>1679</v>
      </c>
      <c r="B7" s="353"/>
      <c r="C7" s="354">
        <f>'数据-取费表'!B2</f>
        <v>46022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58" t="s">
        <v>1680</v>
      </c>
      <c r="Q7" s="3460"/>
      <c r="R7" s="664" t="s">
        <v>20</v>
      </c>
      <c r="S7" s="665">
        <f t="shared" ref="S7:S15" si="0">F7</f>
        <v>0</v>
      </c>
      <c r="T7" s="664" t="s">
        <v>20</v>
      </c>
      <c r="U7" s="665">
        <f t="shared" ref="U7:U15" si="1">H7</f>
        <v>0</v>
      </c>
      <c r="V7" s="664" t="s">
        <v>20</v>
      </c>
      <c r="W7" s="665">
        <f t="shared" ref="W7:W15" si="2">J7</f>
        <v>0</v>
      </c>
      <c r="X7" s="666"/>
      <c r="Y7" s="3458" t="s">
        <v>1680</v>
      </c>
      <c r="Z7" s="345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58" t="s">
        <v>1683</v>
      </c>
      <c r="Q8" s="3459"/>
      <c r="R8" s="664" t="s">
        <v>20</v>
      </c>
      <c r="S8" s="665">
        <f t="shared" si="0"/>
        <v>100</v>
      </c>
      <c r="T8" s="664" t="s">
        <v>20</v>
      </c>
      <c r="U8" s="665">
        <f t="shared" si="1"/>
        <v>100</v>
      </c>
      <c r="V8" s="664" t="s">
        <v>20</v>
      </c>
      <c r="W8" s="665">
        <f t="shared" si="2"/>
        <v>100</v>
      </c>
      <c r="X8" s="666"/>
      <c r="Y8" s="3458" t="s">
        <v>1683</v>
      </c>
      <c r="Z8" s="345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34" t="s">
        <v>1686</v>
      </c>
      <c r="Q9" s="530" t="str">
        <f t="shared" ref="Q9:Q15" si="6">B9</f>
        <v>用途</v>
      </c>
      <c r="R9" s="664" t="s">
        <v>14</v>
      </c>
      <c r="S9" s="665">
        <f t="shared" si="0"/>
        <v>100</v>
      </c>
      <c r="T9" s="664" t="s">
        <v>14</v>
      </c>
      <c r="U9" s="665">
        <f t="shared" si="1"/>
        <v>100</v>
      </c>
      <c r="V9" s="664" t="s">
        <v>14</v>
      </c>
      <c r="W9" s="665">
        <f t="shared" si="2"/>
        <v>100</v>
      </c>
      <c r="X9" s="666"/>
      <c r="Y9" s="329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34"/>
      <c r="Q10" s="530" t="str">
        <f t="shared" si="6"/>
        <v>土地使用年限（年）</v>
      </c>
      <c r="R10" s="664" t="s">
        <v>14</v>
      </c>
      <c r="S10" s="665">
        <f t="shared" si="0"/>
        <v>100</v>
      </c>
      <c r="T10" s="664" t="s">
        <v>14</v>
      </c>
      <c r="U10" s="665">
        <f t="shared" si="1"/>
        <v>100</v>
      </c>
      <c r="V10" s="664" t="s">
        <v>14</v>
      </c>
      <c r="W10" s="665">
        <f t="shared" si="2"/>
        <v>100</v>
      </c>
      <c r="X10" s="666"/>
      <c r="Y10" s="329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34"/>
      <c r="Q11" s="530" t="str">
        <f t="shared" si="6"/>
        <v>容积率</v>
      </c>
      <c r="R11" s="664" t="s">
        <v>18</v>
      </c>
      <c r="S11" s="665" t="e">
        <f t="shared" si="0"/>
        <v>#N/A</v>
      </c>
      <c r="T11" s="664" t="s">
        <v>18</v>
      </c>
      <c r="U11" s="665" t="e">
        <f t="shared" si="1"/>
        <v>#N/A</v>
      </c>
      <c r="V11" s="664" t="s">
        <v>18</v>
      </c>
      <c r="W11" s="665" t="e">
        <f t="shared" si="2"/>
        <v>#N/A</v>
      </c>
      <c r="X11" s="666"/>
      <c r="Y11" s="329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34"/>
      <c r="Q12" s="530">
        <f t="shared" si="6"/>
        <v>111</v>
      </c>
      <c r="R12" s="664" t="s">
        <v>18</v>
      </c>
      <c r="S12" s="665">
        <f t="shared" si="0"/>
        <v>100</v>
      </c>
      <c r="T12" s="664" t="s">
        <v>18</v>
      </c>
      <c r="U12" s="665">
        <f t="shared" si="1"/>
        <v>100</v>
      </c>
      <c r="V12" s="664" t="s">
        <v>18</v>
      </c>
      <c r="W12" s="665">
        <f t="shared" si="2"/>
        <v>100</v>
      </c>
      <c r="X12" s="666"/>
      <c r="Y12" s="329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34"/>
      <c r="Q13" s="530">
        <f t="shared" si="6"/>
        <v>111</v>
      </c>
      <c r="R13" s="664" t="s">
        <v>18</v>
      </c>
      <c r="S13" s="665">
        <f t="shared" si="0"/>
        <v>100</v>
      </c>
      <c r="T13" s="664" t="s">
        <v>18</v>
      </c>
      <c r="U13" s="665">
        <f t="shared" si="1"/>
        <v>100</v>
      </c>
      <c r="V13" s="664" t="s">
        <v>18</v>
      </c>
      <c r="W13" s="665">
        <f t="shared" si="2"/>
        <v>100</v>
      </c>
      <c r="X13" s="666"/>
      <c r="Y13" s="329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34"/>
      <c r="Q14" s="530">
        <f t="shared" si="6"/>
        <v>111</v>
      </c>
      <c r="R14" s="664" t="s">
        <v>18</v>
      </c>
      <c r="S14" s="665">
        <f t="shared" si="0"/>
        <v>100</v>
      </c>
      <c r="T14" s="664" t="s">
        <v>18</v>
      </c>
      <c r="U14" s="665">
        <f t="shared" si="1"/>
        <v>100</v>
      </c>
      <c r="V14" s="664" t="s">
        <v>18</v>
      </c>
      <c r="W14" s="665">
        <f t="shared" si="2"/>
        <v>100</v>
      </c>
      <c r="X14" s="666"/>
      <c r="Y14" s="329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32" t="s">
        <v>1691</v>
      </c>
      <c r="Q15" s="1263" t="str">
        <f t="shared" si="6"/>
        <v>居住社区成熟度</v>
      </c>
      <c r="R15" s="667" t="s">
        <v>18</v>
      </c>
      <c r="S15" s="668">
        <f t="shared" si="0"/>
        <v>100</v>
      </c>
      <c r="T15" s="667" t="s">
        <v>18</v>
      </c>
      <c r="U15" s="668">
        <f t="shared" si="1"/>
        <v>100</v>
      </c>
      <c r="V15" s="667" t="s">
        <v>18</v>
      </c>
      <c r="W15" s="668">
        <f t="shared" si="2"/>
        <v>100</v>
      </c>
      <c r="X15" s="1265"/>
      <c r="Y15" s="342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33"/>
      <c r="Q16" s="1263"/>
      <c r="R16" s="667"/>
      <c r="S16" s="668"/>
      <c r="T16" s="667"/>
      <c r="U16" s="668"/>
      <c r="V16" s="667"/>
      <c r="W16" s="668"/>
      <c r="X16" s="1265"/>
      <c r="Y16" s="342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33"/>
      <c r="Q17" s="1263" t="str">
        <f>B17</f>
        <v>交通便捷度</v>
      </c>
      <c r="R17" s="667" t="s">
        <v>18</v>
      </c>
      <c r="S17" s="668">
        <f>F17</f>
        <v>100</v>
      </c>
      <c r="T17" s="667" t="s">
        <v>18</v>
      </c>
      <c r="U17" s="668">
        <f>H17</f>
        <v>100</v>
      </c>
      <c r="V17" s="667" t="s">
        <v>18</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33"/>
      <c r="Q18" s="1263"/>
      <c r="R18" s="667"/>
      <c r="S18" s="668"/>
      <c r="T18" s="667"/>
      <c r="U18" s="668"/>
      <c r="V18" s="667"/>
      <c r="W18" s="668"/>
      <c r="X18" s="1265"/>
      <c r="Y18" s="342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33"/>
      <c r="Q19" s="1263" t="str">
        <f>B19</f>
        <v>公共配套设施</v>
      </c>
      <c r="R19" s="667" t="s">
        <v>18</v>
      </c>
      <c r="S19" s="668">
        <f>F19</f>
        <v>100</v>
      </c>
      <c r="T19" s="667" t="s">
        <v>18</v>
      </c>
      <c r="U19" s="668">
        <f>H19</f>
        <v>100</v>
      </c>
      <c r="V19" s="667" t="s">
        <v>18</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33"/>
      <c r="Q20" s="1263"/>
      <c r="R20" s="667"/>
      <c r="S20" s="668"/>
      <c r="T20" s="667"/>
      <c r="U20" s="668"/>
      <c r="V20" s="667"/>
      <c r="W20" s="668"/>
      <c r="X20" s="1265"/>
      <c r="Y20" s="342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33"/>
      <c r="Q22" s="1263"/>
      <c r="R22" s="667"/>
      <c r="S22" s="668"/>
      <c r="T22" s="667"/>
      <c r="U22" s="668"/>
      <c r="V22" s="667"/>
      <c r="W22" s="668"/>
      <c r="X22" s="1265"/>
      <c r="Y22" s="342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33"/>
      <c r="Q23" s="1263" t="str">
        <f>B23</f>
        <v>自然及人文环境</v>
      </c>
      <c r="R23" s="667" t="s">
        <v>18</v>
      </c>
      <c r="S23" s="668">
        <f>F23</f>
        <v>100</v>
      </c>
      <c r="T23" s="667" t="s">
        <v>18</v>
      </c>
      <c r="U23" s="668">
        <f>H23</f>
        <v>100</v>
      </c>
      <c r="V23" s="667" t="s">
        <v>18</v>
      </c>
      <c r="W23" s="668">
        <f>J23</f>
        <v>100</v>
      </c>
      <c r="X23" s="1265"/>
      <c r="Y23" s="342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33"/>
      <c r="Q24" s="1263"/>
      <c r="R24" s="667"/>
      <c r="S24" s="668"/>
      <c r="T24" s="667"/>
      <c r="U24" s="668"/>
      <c r="V24" s="667"/>
      <c r="W24" s="668"/>
      <c r="X24" s="1265"/>
      <c r="Y24" s="342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3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33"/>
      <c r="Q26" s="1263" t="str">
        <f t="shared" si="11"/>
        <v>朝向</v>
      </c>
      <c r="R26" s="667" t="s">
        <v>18</v>
      </c>
      <c r="S26" s="668">
        <f t="shared" si="12"/>
        <v>100</v>
      </c>
      <c r="T26" s="667" t="s">
        <v>18</v>
      </c>
      <c r="U26" s="668">
        <f t="shared" si="13"/>
        <v>100</v>
      </c>
      <c r="V26" s="667" t="s">
        <v>18</v>
      </c>
      <c r="W26" s="668">
        <f t="shared" si="14"/>
        <v>100</v>
      </c>
      <c r="X26" s="1265"/>
      <c r="Y26" s="342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33"/>
      <c r="Q27" s="530">
        <f t="shared" si="11"/>
        <v>111</v>
      </c>
      <c r="R27" s="664" t="s">
        <v>18</v>
      </c>
      <c r="S27" s="665">
        <f t="shared" si="12"/>
        <v>100</v>
      </c>
      <c r="T27" s="664" t="s">
        <v>18</v>
      </c>
      <c r="U27" s="665">
        <f t="shared" si="13"/>
        <v>100</v>
      </c>
      <c r="V27" s="664" t="s">
        <v>18</v>
      </c>
      <c r="W27" s="665">
        <f t="shared" si="14"/>
        <v>100</v>
      </c>
      <c r="X27" s="666"/>
      <c r="Y27" s="342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33"/>
      <c r="Q28" s="1263">
        <f t="shared" si="11"/>
        <v>111</v>
      </c>
      <c r="R28" s="667" t="s">
        <v>18</v>
      </c>
      <c r="S28" s="668">
        <f t="shared" si="12"/>
        <v>100</v>
      </c>
      <c r="T28" s="667" t="s">
        <v>18</v>
      </c>
      <c r="U28" s="668">
        <f t="shared" si="13"/>
        <v>100</v>
      </c>
      <c r="V28" s="667" t="s">
        <v>18</v>
      </c>
      <c r="W28" s="668">
        <f t="shared" si="14"/>
        <v>100</v>
      </c>
      <c r="X28" s="1265"/>
      <c r="Y28" s="342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33"/>
      <c r="Q29" s="1263">
        <f t="shared" si="11"/>
        <v>111</v>
      </c>
      <c r="R29" s="667" t="s">
        <v>18</v>
      </c>
      <c r="S29" s="668">
        <f t="shared" si="12"/>
        <v>100</v>
      </c>
      <c r="T29" s="667" t="s">
        <v>18</v>
      </c>
      <c r="U29" s="668">
        <f t="shared" si="13"/>
        <v>100</v>
      </c>
      <c r="V29" s="667" t="s">
        <v>18</v>
      </c>
      <c r="W29" s="668">
        <f t="shared" si="14"/>
        <v>100</v>
      </c>
      <c r="X29" s="1265"/>
      <c r="Y29" s="342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33"/>
      <c r="Q30" s="1263">
        <f t="shared" si="11"/>
        <v>111</v>
      </c>
      <c r="R30" s="667" t="s">
        <v>18</v>
      </c>
      <c r="S30" s="668">
        <f t="shared" si="12"/>
        <v>100</v>
      </c>
      <c r="T30" s="667" t="s">
        <v>18</v>
      </c>
      <c r="U30" s="668">
        <f t="shared" si="13"/>
        <v>100</v>
      </c>
      <c r="V30" s="667" t="s">
        <v>18</v>
      </c>
      <c r="W30" s="668">
        <f t="shared" si="14"/>
        <v>100</v>
      </c>
      <c r="X30" s="1265"/>
      <c r="Y30" s="342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33"/>
      <c r="Q31" s="1263">
        <f t="shared" si="11"/>
        <v>111</v>
      </c>
      <c r="R31" s="667" t="s">
        <v>18</v>
      </c>
      <c r="S31" s="668">
        <f t="shared" si="12"/>
        <v>100</v>
      </c>
      <c r="T31" s="667" t="s">
        <v>18</v>
      </c>
      <c r="U31" s="668">
        <f t="shared" si="13"/>
        <v>100</v>
      </c>
      <c r="V31" s="667" t="s">
        <v>18</v>
      </c>
      <c r="W31" s="668">
        <f t="shared" si="14"/>
        <v>100</v>
      </c>
      <c r="X31" s="1265"/>
      <c r="Y31" s="342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7" t="s">
        <v>1696</v>
      </c>
      <c r="Q32" s="1263" t="str">
        <f t="shared" si="11"/>
        <v>建筑类型</v>
      </c>
      <c r="R32" s="667" t="s">
        <v>18</v>
      </c>
      <c r="S32" s="668">
        <f t="shared" si="12"/>
        <v>100</v>
      </c>
      <c r="T32" s="667" t="s">
        <v>18</v>
      </c>
      <c r="U32" s="668">
        <f t="shared" si="13"/>
        <v>100</v>
      </c>
      <c r="V32" s="667" t="s">
        <v>18</v>
      </c>
      <c r="W32" s="668">
        <f t="shared" si="14"/>
        <v>100</v>
      </c>
      <c r="X32" s="1265"/>
      <c r="Y32" s="343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8"/>
      <c r="Q33" s="531" t="str">
        <f t="shared" si="11"/>
        <v>项目建筑规模</v>
      </c>
      <c r="R33" s="669" t="s">
        <v>18</v>
      </c>
      <c r="S33" s="670" t="e">
        <f t="shared" si="12"/>
        <v>#N/A</v>
      </c>
      <c r="T33" s="669" t="s">
        <v>18</v>
      </c>
      <c r="U33" s="670" t="e">
        <f t="shared" si="13"/>
        <v>#N/A</v>
      </c>
      <c r="V33" s="669" t="s">
        <v>18</v>
      </c>
      <c r="W33" s="670" t="e">
        <f t="shared" si="14"/>
        <v>#N/A</v>
      </c>
      <c r="X33" s="671"/>
      <c r="Y33" s="343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8"/>
      <c r="Q34" s="1263" t="str">
        <f t="shared" si="11"/>
        <v>建筑结构</v>
      </c>
      <c r="R34" s="667" t="s">
        <v>18</v>
      </c>
      <c r="S34" s="668">
        <f t="shared" si="12"/>
        <v>100</v>
      </c>
      <c r="T34" s="667" t="s">
        <v>18</v>
      </c>
      <c r="U34" s="668">
        <f t="shared" si="13"/>
        <v>100</v>
      </c>
      <c r="V34" s="667" t="s">
        <v>18</v>
      </c>
      <c r="W34" s="668">
        <f t="shared" si="14"/>
        <v>100</v>
      </c>
      <c r="X34" s="1265"/>
      <c r="Y34" s="343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8"/>
      <c r="Q35" s="1263" t="str">
        <f t="shared" si="11"/>
        <v>建筑品质</v>
      </c>
      <c r="R35" s="667" t="s">
        <v>18</v>
      </c>
      <c r="S35" s="668">
        <f t="shared" si="12"/>
        <v>100</v>
      </c>
      <c r="T35" s="667" t="s">
        <v>18</v>
      </c>
      <c r="U35" s="668">
        <f t="shared" si="13"/>
        <v>100</v>
      </c>
      <c r="V35" s="667" t="s">
        <v>18</v>
      </c>
      <c r="W35" s="668">
        <f t="shared" si="14"/>
        <v>100</v>
      </c>
      <c r="X35" s="1265"/>
      <c r="Y35" s="343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8"/>
      <c r="Q36" s="1263" t="str">
        <f t="shared" si="11"/>
        <v>公共部分装修</v>
      </c>
      <c r="R36" s="667" t="s">
        <v>18</v>
      </c>
      <c r="S36" s="668">
        <f t="shared" si="12"/>
        <v>100</v>
      </c>
      <c r="T36" s="667" t="s">
        <v>18</v>
      </c>
      <c r="U36" s="668">
        <f t="shared" si="13"/>
        <v>100</v>
      </c>
      <c r="V36" s="667" t="s">
        <v>18</v>
      </c>
      <c r="W36" s="668">
        <f t="shared" si="14"/>
        <v>100</v>
      </c>
      <c r="X36" s="1265"/>
      <c r="Y36" s="343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8"/>
      <c r="Q37" s="530" t="str">
        <f t="shared" si="11"/>
        <v>成新度</v>
      </c>
      <c r="R37" s="664" t="s">
        <v>18</v>
      </c>
      <c r="S37" s="665" t="e">
        <f t="shared" si="12"/>
        <v>#N/A</v>
      </c>
      <c r="T37" s="664" t="s">
        <v>18</v>
      </c>
      <c r="U37" s="665" t="e">
        <f t="shared" si="13"/>
        <v>#N/A</v>
      </c>
      <c r="V37" s="664" t="s">
        <v>18</v>
      </c>
      <c r="W37" s="665" t="e">
        <f t="shared" si="14"/>
        <v>#N/A</v>
      </c>
      <c r="X37" s="666"/>
      <c r="Y37" s="343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8" t="s">
        <v>1696</v>
      </c>
      <c r="Q38" s="1263" t="str">
        <f t="shared" si="11"/>
        <v>物业管理</v>
      </c>
      <c r="R38" s="667" t="s">
        <v>18</v>
      </c>
      <c r="S38" s="668">
        <f t="shared" si="12"/>
        <v>100</v>
      </c>
      <c r="T38" s="667" t="s">
        <v>18</v>
      </c>
      <c r="U38" s="668">
        <f t="shared" si="13"/>
        <v>100</v>
      </c>
      <c r="V38" s="667" t="s">
        <v>18</v>
      </c>
      <c r="W38" s="668">
        <f t="shared" si="14"/>
        <v>100</v>
      </c>
      <c r="X38" s="1265"/>
      <c r="Y38" s="343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8"/>
      <c r="Q39" s="1263" t="str">
        <f t="shared" si="11"/>
        <v>市政基础设施</v>
      </c>
      <c r="R39" s="667" t="s">
        <v>18</v>
      </c>
      <c r="S39" s="668">
        <f t="shared" si="12"/>
        <v>100</v>
      </c>
      <c r="T39" s="667" t="s">
        <v>18</v>
      </c>
      <c r="U39" s="668">
        <f t="shared" si="13"/>
        <v>100</v>
      </c>
      <c r="V39" s="667" t="s">
        <v>18</v>
      </c>
      <c r="W39" s="668">
        <f t="shared" si="14"/>
        <v>100</v>
      </c>
      <c r="X39" s="1265"/>
      <c r="Y39" s="343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8"/>
      <c r="Q40" s="1263" t="str">
        <f t="shared" si="11"/>
        <v>房型</v>
      </c>
      <c r="R40" s="667" t="s">
        <v>18</v>
      </c>
      <c r="S40" s="668">
        <f t="shared" si="12"/>
        <v>100</v>
      </c>
      <c r="T40" s="667" t="s">
        <v>18</v>
      </c>
      <c r="U40" s="668">
        <f t="shared" si="13"/>
        <v>100</v>
      </c>
      <c r="V40" s="667" t="s">
        <v>18</v>
      </c>
      <c r="W40" s="668">
        <f t="shared" si="14"/>
        <v>100</v>
      </c>
      <c r="X40" s="1265"/>
      <c r="Y40" s="343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8"/>
      <c r="Q41" s="531" t="str">
        <f t="shared" si="11"/>
        <v>单套/主力户型建筑面积</v>
      </c>
      <c r="R41" s="669" t="s">
        <v>18</v>
      </c>
      <c r="S41" s="670">
        <f t="shared" si="12"/>
        <v>100</v>
      </c>
      <c r="T41" s="669" t="s">
        <v>18</v>
      </c>
      <c r="U41" s="670">
        <f t="shared" si="13"/>
        <v>100</v>
      </c>
      <c r="V41" s="669" t="s">
        <v>18</v>
      </c>
      <c r="W41" s="670">
        <f t="shared" si="14"/>
        <v>100</v>
      </c>
      <c r="X41" s="671"/>
      <c r="Y41" s="343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8"/>
      <c r="Q42" s="1263" t="str">
        <f t="shared" si="11"/>
        <v>内部装修</v>
      </c>
      <c r="R42" s="667" t="s">
        <v>18</v>
      </c>
      <c r="S42" s="668">
        <f t="shared" si="12"/>
        <v>100</v>
      </c>
      <c r="T42" s="667" t="s">
        <v>18</v>
      </c>
      <c r="U42" s="668">
        <f t="shared" si="13"/>
        <v>100</v>
      </c>
      <c r="V42" s="667" t="s">
        <v>18</v>
      </c>
      <c r="W42" s="668">
        <f t="shared" si="14"/>
        <v>100</v>
      </c>
      <c r="X42" s="1265"/>
      <c r="Y42" s="343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8"/>
      <c r="Q43" s="1263" t="str">
        <f t="shared" si="11"/>
        <v>内部装修维护情况</v>
      </c>
      <c r="R43" s="667" t="s">
        <v>18</v>
      </c>
      <c r="S43" s="668">
        <f t="shared" si="12"/>
        <v>100</v>
      </c>
      <c r="T43" s="667" t="s">
        <v>18</v>
      </c>
      <c r="U43" s="668">
        <f t="shared" si="13"/>
        <v>100</v>
      </c>
      <c r="V43" s="667" t="s">
        <v>18</v>
      </c>
      <c r="W43" s="668">
        <f t="shared" si="14"/>
        <v>100</v>
      </c>
      <c r="X43" s="1265"/>
      <c r="Y43" s="343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8"/>
      <c r="Q44" s="530">
        <f t="shared" si="11"/>
        <v>111</v>
      </c>
      <c r="R44" s="664" t="s">
        <v>18</v>
      </c>
      <c r="S44" s="665">
        <f t="shared" si="12"/>
        <v>100</v>
      </c>
      <c r="T44" s="664" t="s">
        <v>18</v>
      </c>
      <c r="U44" s="665">
        <f t="shared" si="13"/>
        <v>100</v>
      </c>
      <c r="V44" s="664" t="s">
        <v>18</v>
      </c>
      <c r="W44" s="665">
        <f t="shared" si="14"/>
        <v>100</v>
      </c>
      <c r="X44" s="666"/>
      <c r="Y44" s="343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8"/>
      <c r="Q45" s="1263">
        <f t="shared" si="11"/>
        <v>111</v>
      </c>
      <c r="R45" s="667" t="s">
        <v>18</v>
      </c>
      <c r="S45" s="668">
        <f t="shared" si="12"/>
        <v>100</v>
      </c>
      <c r="T45" s="667" t="s">
        <v>18</v>
      </c>
      <c r="U45" s="668">
        <f t="shared" si="13"/>
        <v>100</v>
      </c>
      <c r="V45" s="667" t="s">
        <v>18</v>
      </c>
      <c r="W45" s="668">
        <f t="shared" si="14"/>
        <v>100</v>
      </c>
      <c r="X45" s="1265"/>
      <c r="Y45" s="343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9"/>
      <c r="Q46" s="1263">
        <f t="shared" si="11"/>
        <v>111</v>
      </c>
      <c r="R46" s="667" t="s">
        <v>17</v>
      </c>
      <c r="S46" s="668">
        <f t="shared" si="12"/>
        <v>100</v>
      </c>
      <c r="T46" s="667" t="s">
        <v>17</v>
      </c>
      <c r="U46" s="668">
        <f t="shared" si="13"/>
        <v>100</v>
      </c>
      <c r="V46" s="667" t="s">
        <v>17</v>
      </c>
      <c r="W46" s="668">
        <f t="shared" si="14"/>
        <v>100</v>
      </c>
      <c r="X46" s="1265"/>
      <c r="Y46" s="343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23" t="str">
        <f>A47</f>
        <v>成交单价（元/平方米）</v>
      </c>
      <c r="Q47" s="3423"/>
      <c r="R47" s="3424">
        <f>E47</f>
        <v>0</v>
      </c>
      <c r="S47" s="3424"/>
      <c r="T47" s="3424">
        <f>G47</f>
        <v>0</v>
      </c>
      <c r="U47" s="3424"/>
      <c r="V47" s="3424">
        <f>I47</f>
        <v>0</v>
      </c>
      <c r="W47" s="342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23" t="str">
        <f>A48</f>
        <v>比较价值（元/平方米）</v>
      </c>
      <c r="Q48" s="3423"/>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8908.0000000000018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38" t="s">
        <v>1770</v>
      </c>
      <c r="D4" s="3439"/>
      <c r="E4" s="3440" t="s">
        <v>1771</v>
      </c>
      <c r="F4" s="3441"/>
      <c r="G4" s="3438" t="s">
        <v>1772</v>
      </c>
      <c r="H4" s="3439"/>
      <c r="I4" s="3438" t="s">
        <v>1773</v>
      </c>
      <c r="J4" s="3439"/>
      <c r="K4" s="537" t="s">
        <v>1774</v>
      </c>
      <c r="L4" s="2487"/>
      <c r="M4" s="2488"/>
      <c r="N4" s="2488"/>
      <c r="O4" s="2488"/>
      <c r="P4" s="3442" t="s">
        <v>1775</v>
      </c>
      <c r="Q4" s="3443"/>
      <c r="R4" s="3448" t="s">
        <v>1771</v>
      </c>
      <c r="S4" s="3449"/>
      <c r="T4" s="3448" t="s">
        <v>1772</v>
      </c>
      <c r="U4" s="3449"/>
      <c r="V4" s="3424" t="s">
        <v>1773</v>
      </c>
      <c r="W4" s="3424"/>
      <c r="X4" s="1265"/>
      <c r="Y4" s="3448" t="s">
        <v>1775</v>
      </c>
      <c r="Z4" s="3449"/>
      <c r="AA4" s="3435" t="s">
        <v>1771</v>
      </c>
      <c r="AB4" s="3424" t="s">
        <v>1772</v>
      </c>
      <c r="AC4" s="3435" t="s">
        <v>1773</v>
      </c>
    </row>
    <row r="5" spans="1:29" ht="15">
      <c r="A5" s="348"/>
      <c r="B5" s="349"/>
      <c r="C5" s="3456" t="s">
        <v>1673</v>
      </c>
      <c r="D5" s="3457"/>
      <c r="E5" s="3463" t="s">
        <v>1674</v>
      </c>
      <c r="F5" s="3464"/>
      <c r="G5" s="3456" t="s">
        <v>1675</v>
      </c>
      <c r="H5" s="3457"/>
      <c r="I5" s="3456" t="s">
        <v>1676</v>
      </c>
      <c r="J5" s="3457"/>
      <c r="K5" s="537"/>
      <c r="L5" s="2487"/>
      <c r="M5" s="2488"/>
      <c r="N5" s="2488"/>
      <c r="O5" s="2488"/>
      <c r="P5" s="3444"/>
      <c r="Q5" s="3445"/>
      <c r="R5" s="3450"/>
      <c r="S5" s="3451"/>
      <c r="T5" s="3450"/>
      <c r="U5" s="3451"/>
      <c r="V5" s="3424"/>
      <c r="W5" s="3424"/>
      <c r="X5" s="1265"/>
      <c r="Y5" s="3450"/>
      <c r="Z5" s="3451"/>
      <c r="AA5" s="3436"/>
      <c r="AB5" s="3424"/>
      <c r="AC5" s="3436"/>
    </row>
    <row r="6" spans="1:29" ht="15.75" thickBot="1">
      <c r="A6" s="350"/>
      <c r="B6" s="351"/>
      <c r="C6" s="3454" t="s">
        <v>1677</v>
      </c>
      <c r="D6" s="3455"/>
      <c r="E6" s="3461" t="s">
        <v>1677</v>
      </c>
      <c r="F6" s="3462"/>
      <c r="G6" s="3454" t="s">
        <v>1677</v>
      </c>
      <c r="H6" s="3455"/>
      <c r="I6" s="3454" t="s">
        <v>1677</v>
      </c>
      <c r="J6" s="3455"/>
      <c r="K6" s="537" t="s">
        <v>1678</v>
      </c>
      <c r="L6" s="2487"/>
      <c r="M6" s="2488"/>
      <c r="N6" s="2488"/>
      <c r="O6" s="2488"/>
      <c r="P6" s="3446"/>
      <c r="Q6" s="3447"/>
      <c r="R6" s="3450"/>
      <c r="S6" s="3451"/>
      <c r="T6" s="3452"/>
      <c r="U6" s="3453"/>
      <c r="V6" s="3424"/>
      <c r="W6" s="3424"/>
      <c r="X6" s="1265"/>
      <c r="Y6" s="3452"/>
      <c r="Z6" s="3453"/>
      <c r="AA6" s="3437"/>
      <c r="AB6" s="3424"/>
      <c r="AC6" s="3437"/>
    </row>
    <row r="7" spans="1:29" s="102" customFormat="1" ht="15.75" thickBot="1">
      <c r="A7" s="352" t="s">
        <v>1679</v>
      </c>
      <c r="B7" s="353"/>
      <c r="C7" s="354">
        <f>'数据-取费表'!B2</f>
        <v>46022</v>
      </c>
      <c r="D7" s="355">
        <v>100</v>
      </c>
      <c r="E7" s="356"/>
      <c r="F7" s="357">
        <f>SUMIF(58:58,YEAR(E7)&amp;"-"&amp;MONTH(E7),59:59)</f>
        <v>0</v>
      </c>
      <c r="G7" s="356"/>
      <c r="H7" s="355">
        <f>SUMIF(58:58,YEAR(G7)&amp;"-"&amp;MONTH(G7),59:59)</f>
        <v>0</v>
      </c>
      <c r="I7" s="356"/>
      <c r="J7" s="355">
        <f>SUMIF(58:58,YEAR(I7)&amp;"-"&amp;MONTH(I7),59:59)</f>
        <v>0</v>
      </c>
      <c r="K7" s="38"/>
      <c r="L7" s="2489"/>
      <c r="M7" s="2440"/>
      <c r="N7" s="2440"/>
      <c r="O7" s="2440"/>
      <c r="P7" s="3458" t="s">
        <v>1680</v>
      </c>
      <c r="Q7" s="3460"/>
      <c r="R7" s="664" t="s">
        <v>14</v>
      </c>
      <c r="S7" s="665">
        <f t="shared" ref="S7:S15" si="0">F7</f>
        <v>0</v>
      </c>
      <c r="T7" s="664" t="s">
        <v>14</v>
      </c>
      <c r="U7" s="665">
        <f t="shared" ref="U7:U15" si="1">H7</f>
        <v>0</v>
      </c>
      <c r="V7" s="664" t="s">
        <v>14</v>
      </c>
      <c r="W7" s="665">
        <f t="shared" ref="W7:W15" si="2">J7</f>
        <v>0</v>
      </c>
      <c r="X7" s="666"/>
      <c r="Y7" s="3458" t="s">
        <v>1680</v>
      </c>
      <c r="Z7" s="345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58" t="s">
        <v>1683</v>
      </c>
      <c r="Q8" s="3459"/>
      <c r="R8" s="664" t="s">
        <v>14</v>
      </c>
      <c r="S8" s="665">
        <f t="shared" si="0"/>
        <v>100</v>
      </c>
      <c r="T8" s="664" t="s">
        <v>14</v>
      </c>
      <c r="U8" s="665">
        <f t="shared" si="1"/>
        <v>100</v>
      </c>
      <c r="V8" s="664" t="s">
        <v>14</v>
      </c>
      <c r="W8" s="665">
        <f t="shared" si="2"/>
        <v>100</v>
      </c>
      <c r="X8" s="666"/>
      <c r="Y8" s="3458" t="s">
        <v>1683</v>
      </c>
      <c r="Z8" s="345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34" t="s">
        <v>1686</v>
      </c>
      <c r="Q9" s="530" t="str">
        <f t="shared" ref="Q9:Q15" si="6">B9</f>
        <v>用途</v>
      </c>
      <c r="R9" s="664" t="s">
        <v>14</v>
      </c>
      <c r="S9" s="665">
        <f t="shared" si="0"/>
        <v>100</v>
      </c>
      <c r="T9" s="664" t="s">
        <v>14</v>
      </c>
      <c r="U9" s="665">
        <f t="shared" si="1"/>
        <v>100</v>
      </c>
      <c r="V9" s="664" t="s">
        <v>14</v>
      </c>
      <c r="W9" s="665">
        <f t="shared" si="2"/>
        <v>100</v>
      </c>
      <c r="X9" s="666"/>
      <c r="Y9" s="329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34"/>
      <c r="Q10" s="530" t="str">
        <f t="shared" si="6"/>
        <v>土地使用年限（年）</v>
      </c>
      <c r="R10" s="664" t="s">
        <v>14</v>
      </c>
      <c r="S10" s="665">
        <f t="shared" si="0"/>
        <v>100</v>
      </c>
      <c r="T10" s="664" t="s">
        <v>14</v>
      </c>
      <c r="U10" s="665">
        <f t="shared" si="1"/>
        <v>100</v>
      </c>
      <c r="V10" s="664" t="s">
        <v>14</v>
      </c>
      <c r="W10" s="665">
        <f t="shared" si="2"/>
        <v>100</v>
      </c>
      <c r="X10" s="666"/>
      <c r="Y10" s="329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34"/>
      <c r="Q11" s="530" t="str">
        <f t="shared" si="6"/>
        <v>容积率</v>
      </c>
      <c r="R11" s="664" t="s">
        <v>14</v>
      </c>
      <c r="S11" s="665" t="e">
        <f t="shared" si="0"/>
        <v>#N/A</v>
      </c>
      <c r="T11" s="664" t="s">
        <v>14</v>
      </c>
      <c r="U11" s="665" t="e">
        <f t="shared" si="1"/>
        <v>#N/A</v>
      </c>
      <c r="V11" s="664" t="s">
        <v>14</v>
      </c>
      <c r="W11" s="665" t="e">
        <f t="shared" si="2"/>
        <v>#N/A</v>
      </c>
      <c r="X11" s="666"/>
      <c r="Y11" s="329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34"/>
      <c r="Q12" s="530">
        <f t="shared" si="6"/>
        <v>111</v>
      </c>
      <c r="R12" s="664" t="s">
        <v>14</v>
      </c>
      <c r="S12" s="665">
        <f t="shared" si="0"/>
        <v>100</v>
      </c>
      <c r="T12" s="664" t="s">
        <v>14</v>
      </c>
      <c r="U12" s="665">
        <f t="shared" si="1"/>
        <v>100</v>
      </c>
      <c r="V12" s="664" t="s">
        <v>14</v>
      </c>
      <c r="W12" s="665">
        <f t="shared" si="2"/>
        <v>100</v>
      </c>
      <c r="X12" s="666"/>
      <c r="Y12" s="329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34"/>
      <c r="Q13" s="530">
        <f t="shared" si="6"/>
        <v>111</v>
      </c>
      <c r="R13" s="664" t="s">
        <v>14</v>
      </c>
      <c r="S13" s="665">
        <f t="shared" si="0"/>
        <v>100</v>
      </c>
      <c r="T13" s="664" t="s">
        <v>14</v>
      </c>
      <c r="U13" s="665">
        <f t="shared" si="1"/>
        <v>100</v>
      </c>
      <c r="V13" s="664" t="s">
        <v>14</v>
      </c>
      <c r="W13" s="665">
        <f t="shared" si="2"/>
        <v>100</v>
      </c>
      <c r="X13" s="666"/>
      <c r="Y13" s="329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34"/>
      <c r="Q14" s="530">
        <f t="shared" si="6"/>
        <v>111</v>
      </c>
      <c r="R14" s="664" t="s">
        <v>14</v>
      </c>
      <c r="S14" s="665">
        <f t="shared" si="0"/>
        <v>100</v>
      </c>
      <c r="T14" s="664" t="s">
        <v>14</v>
      </c>
      <c r="U14" s="665">
        <f t="shared" si="1"/>
        <v>100</v>
      </c>
      <c r="V14" s="664" t="s">
        <v>14</v>
      </c>
      <c r="W14" s="665">
        <f t="shared" si="2"/>
        <v>100</v>
      </c>
      <c r="X14" s="666"/>
      <c r="Y14" s="329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32" t="s">
        <v>1691</v>
      </c>
      <c r="Q15" s="1263" t="str">
        <f t="shared" si="6"/>
        <v>商业繁华度</v>
      </c>
      <c r="R15" s="667" t="s">
        <v>14</v>
      </c>
      <c r="S15" s="668">
        <f t="shared" si="0"/>
        <v>100</v>
      </c>
      <c r="T15" s="667" t="s">
        <v>14</v>
      </c>
      <c r="U15" s="668">
        <f t="shared" si="1"/>
        <v>100</v>
      </c>
      <c r="V15" s="667" t="s">
        <v>14</v>
      </c>
      <c r="W15" s="668">
        <f t="shared" si="2"/>
        <v>100</v>
      </c>
      <c r="X15" s="1265"/>
      <c r="Y15" s="342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33"/>
      <c r="Q16" s="1263"/>
      <c r="R16" s="667"/>
      <c r="S16" s="668"/>
      <c r="T16" s="667"/>
      <c r="U16" s="668"/>
      <c r="V16" s="667"/>
      <c r="W16" s="668"/>
      <c r="X16" s="1265"/>
      <c r="Y16" s="342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33"/>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33"/>
      <c r="Q18" s="1263"/>
      <c r="R18" s="667"/>
      <c r="S18" s="668"/>
      <c r="T18" s="667"/>
      <c r="U18" s="668"/>
      <c r="V18" s="667"/>
      <c r="W18" s="668"/>
      <c r="X18" s="1265"/>
      <c r="Y18" s="342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33"/>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33"/>
      <c r="Q20" s="1263"/>
      <c r="R20" s="667"/>
      <c r="S20" s="668"/>
      <c r="T20" s="667"/>
      <c r="U20" s="668"/>
      <c r="V20" s="667"/>
      <c r="W20" s="668"/>
      <c r="X20" s="1265"/>
      <c r="Y20" s="342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33"/>
      <c r="Q22" s="1263"/>
      <c r="R22" s="667"/>
      <c r="S22" s="668"/>
      <c r="T22" s="667"/>
      <c r="U22" s="668"/>
      <c r="V22" s="667"/>
      <c r="W22" s="668"/>
      <c r="X22" s="1265"/>
      <c r="Y22" s="342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33"/>
      <c r="Q23" s="1263" t="str">
        <f>B23</f>
        <v>自然及人文环境</v>
      </c>
      <c r="R23" s="667" t="s">
        <v>14</v>
      </c>
      <c r="S23" s="668">
        <f>F23</f>
        <v>100</v>
      </c>
      <c r="T23" s="667" t="s">
        <v>14</v>
      </c>
      <c r="U23" s="668">
        <f>H23</f>
        <v>100</v>
      </c>
      <c r="V23" s="667" t="s">
        <v>14</v>
      </c>
      <c r="W23" s="668">
        <f>J23</f>
        <v>100</v>
      </c>
      <c r="X23" s="1265"/>
      <c r="Y23" s="342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33"/>
      <c r="Q24" s="1263"/>
      <c r="R24" s="667"/>
      <c r="S24" s="668"/>
      <c r="T24" s="667"/>
      <c r="U24" s="668"/>
      <c r="V24" s="667"/>
      <c r="W24" s="668"/>
      <c r="X24" s="1265"/>
      <c r="Y24" s="342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33"/>
      <c r="Q25" s="1263" t="str">
        <f t="shared" ref="Q25:Q46" si="11">B25</f>
        <v>临街状况</v>
      </c>
      <c r="R25" s="667" t="s">
        <v>14</v>
      </c>
      <c r="S25" s="668">
        <f>F25</f>
        <v>100</v>
      </c>
      <c r="T25" s="667" t="s">
        <v>14</v>
      </c>
      <c r="U25" s="668">
        <f>H25</f>
        <v>100</v>
      </c>
      <c r="V25" s="667" t="s">
        <v>14</v>
      </c>
      <c r="W25" s="668">
        <f>J25</f>
        <v>100</v>
      </c>
      <c r="X25" s="1265"/>
      <c r="Y25" s="342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33"/>
      <c r="Q26" s="1263" t="str">
        <f t="shared" si="11"/>
        <v>平面位置/可视性</v>
      </c>
      <c r="R26" s="667" t="s">
        <v>14</v>
      </c>
      <c r="S26" s="668">
        <f>F26</f>
        <v>100</v>
      </c>
      <c r="T26" s="667" t="s">
        <v>14</v>
      </c>
      <c r="U26" s="668">
        <f>H26</f>
        <v>100</v>
      </c>
      <c r="V26" s="667" t="s">
        <v>14</v>
      </c>
      <c r="W26" s="668">
        <f>J26</f>
        <v>100</v>
      </c>
      <c r="X26" s="1265"/>
      <c r="Y26" s="342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33"/>
      <c r="Q27" s="530" t="str">
        <f t="shared" si="11"/>
        <v>人流量</v>
      </c>
      <c r="R27" s="664" t="s">
        <v>14</v>
      </c>
      <c r="S27" s="665">
        <f>F27</f>
        <v>100</v>
      </c>
      <c r="T27" s="664" t="s">
        <v>14</v>
      </c>
      <c r="U27" s="665">
        <f>H27</f>
        <v>100</v>
      </c>
      <c r="V27" s="664" t="s">
        <v>14</v>
      </c>
      <c r="W27" s="665">
        <f>J27</f>
        <v>100</v>
      </c>
      <c r="X27" s="666"/>
      <c r="Y27" s="342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3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33"/>
      <c r="Q29" s="1263">
        <f t="shared" si="11"/>
        <v>111</v>
      </c>
      <c r="R29" s="667" t="s">
        <v>14</v>
      </c>
      <c r="S29" s="668">
        <f t="shared" si="12"/>
        <v>100</v>
      </c>
      <c r="T29" s="667" t="s">
        <v>14</v>
      </c>
      <c r="U29" s="668">
        <f t="shared" si="13"/>
        <v>100</v>
      </c>
      <c r="V29" s="667" t="s">
        <v>14</v>
      </c>
      <c r="W29" s="668">
        <f t="shared" si="14"/>
        <v>100</v>
      </c>
      <c r="X29" s="1265"/>
      <c r="Y29" s="342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33"/>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33"/>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7" t="s">
        <v>1696</v>
      </c>
      <c r="Q32" s="1263" t="str">
        <f t="shared" si="11"/>
        <v>商业类型</v>
      </c>
      <c r="R32" s="667" t="s">
        <v>14</v>
      </c>
      <c r="S32" s="668">
        <f t="shared" si="12"/>
        <v>100</v>
      </c>
      <c r="T32" s="667" t="s">
        <v>14</v>
      </c>
      <c r="U32" s="668">
        <f t="shared" si="13"/>
        <v>100</v>
      </c>
      <c r="V32" s="667" t="s">
        <v>14</v>
      </c>
      <c r="W32" s="668">
        <f t="shared" si="14"/>
        <v>100</v>
      </c>
      <c r="X32" s="1265"/>
      <c r="Y32" s="343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8"/>
      <c r="Q33" s="531" t="str">
        <f t="shared" si="11"/>
        <v>项目建筑规模</v>
      </c>
      <c r="R33" s="669" t="s">
        <v>14</v>
      </c>
      <c r="S33" s="670" t="e">
        <f t="shared" si="12"/>
        <v>#N/A</v>
      </c>
      <c r="T33" s="669" t="s">
        <v>14</v>
      </c>
      <c r="U33" s="670" t="e">
        <f t="shared" si="13"/>
        <v>#N/A</v>
      </c>
      <c r="V33" s="669" t="s">
        <v>14</v>
      </c>
      <c r="W33" s="670" t="e">
        <f t="shared" si="14"/>
        <v>#N/A</v>
      </c>
      <c r="X33" s="671"/>
      <c r="Y33" s="343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8"/>
      <c r="Q34" s="1263" t="str">
        <f t="shared" si="11"/>
        <v>建筑结构</v>
      </c>
      <c r="R34" s="667" t="s">
        <v>14</v>
      </c>
      <c r="S34" s="668">
        <f t="shared" si="12"/>
        <v>100</v>
      </c>
      <c r="T34" s="667" t="s">
        <v>14</v>
      </c>
      <c r="U34" s="668">
        <f t="shared" si="13"/>
        <v>100</v>
      </c>
      <c r="V34" s="667" t="s">
        <v>14</v>
      </c>
      <c r="W34" s="668">
        <f t="shared" si="14"/>
        <v>100</v>
      </c>
      <c r="X34" s="1265"/>
      <c r="Y34" s="343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8"/>
      <c r="Q35" s="1263" t="str">
        <f t="shared" si="11"/>
        <v>公共部分装修</v>
      </c>
      <c r="R35" s="667" t="s">
        <v>14</v>
      </c>
      <c r="S35" s="668">
        <f t="shared" si="12"/>
        <v>100</v>
      </c>
      <c r="T35" s="667" t="s">
        <v>14</v>
      </c>
      <c r="U35" s="668">
        <f t="shared" si="13"/>
        <v>100</v>
      </c>
      <c r="V35" s="667" t="s">
        <v>14</v>
      </c>
      <c r="W35" s="668">
        <f t="shared" si="14"/>
        <v>100</v>
      </c>
      <c r="X35" s="1265"/>
      <c r="Y35" s="343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8"/>
      <c r="Q36" s="1263" t="str">
        <f t="shared" si="11"/>
        <v>成新度</v>
      </c>
      <c r="R36" s="667" t="s">
        <v>14</v>
      </c>
      <c r="S36" s="668" t="e">
        <f t="shared" si="12"/>
        <v>#N/A</v>
      </c>
      <c r="T36" s="667" t="s">
        <v>14</v>
      </c>
      <c r="U36" s="668" t="e">
        <f t="shared" si="13"/>
        <v>#N/A</v>
      </c>
      <c r="V36" s="667" t="s">
        <v>14</v>
      </c>
      <c r="W36" s="668" t="e">
        <f t="shared" si="14"/>
        <v>#N/A</v>
      </c>
      <c r="X36" s="1265"/>
      <c r="Y36" s="343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8"/>
      <c r="Q37" s="530" t="str">
        <f t="shared" si="11"/>
        <v>市政基础设施</v>
      </c>
      <c r="R37" s="664" t="s">
        <v>14</v>
      </c>
      <c r="S37" s="665">
        <f t="shared" si="12"/>
        <v>100</v>
      </c>
      <c r="T37" s="664" t="s">
        <v>14</v>
      </c>
      <c r="U37" s="665">
        <f t="shared" si="13"/>
        <v>100</v>
      </c>
      <c r="V37" s="664" t="s">
        <v>14</v>
      </c>
      <c r="W37" s="665">
        <f t="shared" si="14"/>
        <v>100</v>
      </c>
      <c r="X37" s="666"/>
      <c r="Y37" s="343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8" t="s">
        <v>1696</v>
      </c>
      <c r="Q38" s="1263" t="str">
        <f t="shared" si="11"/>
        <v>业态</v>
      </c>
      <c r="R38" s="667" t="s">
        <v>14</v>
      </c>
      <c r="S38" s="668">
        <f t="shared" si="12"/>
        <v>100</v>
      </c>
      <c r="T38" s="667" t="s">
        <v>14</v>
      </c>
      <c r="U38" s="668">
        <f t="shared" si="13"/>
        <v>100</v>
      </c>
      <c r="V38" s="667" t="s">
        <v>14</v>
      </c>
      <c r="W38" s="668">
        <f t="shared" si="14"/>
        <v>100</v>
      </c>
      <c r="X38" s="1265"/>
      <c r="Y38" s="343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8"/>
      <c r="Q39" s="1263" t="str">
        <f t="shared" si="11"/>
        <v>层高</v>
      </c>
      <c r="R39" s="667" t="s">
        <v>14</v>
      </c>
      <c r="S39" s="668">
        <f t="shared" si="12"/>
        <v>100</v>
      </c>
      <c r="T39" s="667" t="s">
        <v>14</v>
      </c>
      <c r="U39" s="668">
        <f t="shared" si="13"/>
        <v>100</v>
      </c>
      <c r="V39" s="667" t="s">
        <v>14</v>
      </c>
      <c r="W39" s="668">
        <f t="shared" si="14"/>
        <v>100</v>
      </c>
      <c r="X39" s="1265"/>
      <c r="Y39" s="343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8"/>
      <c r="Q40" s="1263" t="str">
        <f t="shared" si="11"/>
        <v>单套建筑面积</v>
      </c>
      <c r="R40" s="667" t="s">
        <v>14</v>
      </c>
      <c r="S40" s="668">
        <f t="shared" si="12"/>
        <v>100</v>
      </c>
      <c r="T40" s="667" t="s">
        <v>14</v>
      </c>
      <c r="U40" s="668">
        <f t="shared" si="13"/>
        <v>100</v>
      </c>
      <c r="V40" s="667" t="s">
        <v>14</v>
      </c>
      <c r="W40" s="668">
        <f t="shared" si="14"/>
        <v>100</v>
      </c>
      <c r="X40" s="1265"/>
      <c r="Y40" s="343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8"/>
      <c r="Q41" s="531" t="str">
        <f t="shared" si="11"/>
        <v>进深比</v>
      </c>
      <c r="R41" s="669" t="s">
        <v>14</v>
      </c>
      <c r="S41" s="670">
        <f t="shared" si="12"/>
        <v>100</v>
      </c>
      <c r="T41" s="669" t="s">
        <v>14</v>
      </c>
      <c r="U41" s="670">
        <f t="shared" si="13"/>
        <v>100</v>
      </c>
      <c r="V41" s="669" t="s">
        <v>14</v>
      </c>
      <c r="W41" s="670">
        <f t="shared" si="14"/>
        <v>100</v>
      </c>
      <c r="X41" s="671"/>
      <c r="Y41" s="343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8"/>
      <c r="Q42" s="1263" t="str">
        <f t="shared" si="11"/>
        <v>内部装修</v>
      </c>
      <c r="R42" s="667" t="s">
        <v>14</v>
      </c>
      <c r="S42" s="668">
        <f t="shared" si="12"/>
        <v>100</v>
      </c>
      <c r="T42" s="667" t="s">
        <v>14</v>
      </c>
      <c r="U42" s="668">
        <f t="shared" si="13"/>
        <v>100</v>
      </c>
      <c r="V42" s="667" t="s">
        <v>14</v>
      </c>
      <c r="W42" s="668">
        <f t="shared" si="14"/>
        <v>100</v>
      </c>
      <c r="X42" s="1265"/>
      <c r="Y42" s="343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8"/>
      <c r="Q43" s="1263" t="str">
        <f t="shared" si="11"/>
        <v>内部装修维护情况</v>
      </c>
      <c r="R43" s="667" t="s">
        <v>14</v>
      </c>
      <c r="S43" s="668">
        <f t="shared" si="12"/>
        <v>100</v>
      </c>
      <c r="T43" s="667" t="s">
        <v>14</v>
      </c>
      <c r="U43" s="668">
        <f t="shared" si="13"/>
        <v>100</v>
      </c>
      <c r="V43" s="667" t="s">
        <v>14</v>
      </c>
      <c r="W43" s="668">
        <f t="shared" si="14"/>
        <v>100</v>
      </c>
      <c r="X43" s="1265"/>
      <c r="Y43" s="343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8"/>
      <c r="Q44" s="530">
        <f t="shared" si="11"/>
        <v>111</v>
      </c>
      <c r="R44" s="664" t="s">
        <v>14</v>
      </c>
      <c r="S44" s="665">
        <f t="shared" si="12"/>
        <v>100</v>
      </c>
      <c r="T44" s="664" t="s">
        <v>14</v>
      </c>
      <c r="U44" s="665">
        <f t="shared" si="13"/>
        <v>100</v>
      </c>
      <c r="V44" s="664" t="s">
        <v>14</v>
      </c>
      <c r="W44" s="665">
        <f t="shared" si="14"/>
        <v>100</v>
      </c>
      <c r="X44" s="666"/>
      <c r="Y44" s="343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8"/>
      <c r="Q45" s="1263">
        <f t="shared" si="11"/>
        <v>111</v>
      </c>
      <c r="R45" s="667" t="s">
        <v>14</v>
      </c>
      <c r="S45" s="668">
        <f t="shared" si="12"/>
        <v>100</v>
      </c>
      <c r="T45" s="667" t="s">
        <v>14</v>
      </c>
      <c r="U45" s="668">
        <f t="shared" si="13"/>
        <v>100</v>
      </c>
      <c r="V45" s="667" t="s">
        <v>14</v>
      </c>
      <c r="W45" s="668">
        <f t="shared" si="14"/>
        <v>100</v>
      </c>
      <c r="X45" s="1265"/>
      <c r="Y45" s="343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9"/>
      <c r="Q46" s="1263">
        <f t="shared" si="11"/>
        <v>111</v>
      </c>
      <c r="R46" s="667" t="s">
        <v>14</v>
      </c>
      <c r="S46" s="668">
        <f t="shared" si="12"/>
        <v>100</v>
      </c>
      <c r="T46" s="667" t="s">
        <v>14</v>
      </c>
      <c r="U46" s="668">
        <f t="shared" si="13"/>
        <v>100</v>
      </c>
      <c r="V46" s="667" t="s">
        <v>14</v>
      </c>
      <c r="W46" s="668">
        <f t="shared" si="14"/>
        <v>100</v>
      </c>
      <c r="X46" s="1265"/>
      <c r="Y46" s="3431"/>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23" t="str">
        <f>A47</f>
        <v>成交单价（元/平方米）</v>
      </c>
      <c r="Q47" s="3423"/>
      <c r="R47" s="3424">
        <f>E47</f>
        <v>0</v>
      </c>
      <c r="S47" s="3424"/>
      <c r="T47" s="3424">
        <f>G47</f>
        <v>0</v>
      </c>
      <c r="U47" s="3424"/>
      <c r="V47" s="3424">
        <f>I47</f>
        <v>0</v>
      </c>
      <c r="W47" s="342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23" t="str">
        <f>A48</f>
        <v>比较价值（元/平方米）</v>
      </c>
      <c r="Q48" s="3423"/>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8908.0000000000018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38" t="s">
        <v>1770</v>
      </c>
      <c r="D4" s="3439"/>
      <c r="E4" s="3440" t="s">
        <v>1771</v>
      </c>
      <c r="F4" s="3441"/>
      <c r="G4" s="3438" t="s">
        <v>1772</v>
      </c>
      <c r="H4" s="3439"/>
      <c r="I4" s="3438" t="s">
        <v>1773</v>
      </c>
      <c r="J4" s="3439"/>
      <c r="K4" s="537" t="s">
        <v>1774</v>
      </c>
      <c r="L4" s="2487"/>
      <c r="M4" s="2488"/>
      <c r="N4" s="2488"/>
      <c r="O4" s="2488"/>
      <c r="P4" s="3471" t="s">
        <v>1775</v>
      </c>
      <c r="Q4" s="3472"/>
      <c r="R4" s="3475" t="s">
        <v>1771</v>
      </c>
      <c r="S4" s="3476"/>
      <c r="T4" s="3475" t="s">
        <v>1772</v>
      </c>
      <c r="U4" s="3476"/>
      <c r="V4" s="3477" t="s">
        <v>1773</v>
      </c>
      <c r="W4" s="3477"/>
      <c r="X4" s="1809"/>
      <c r="Y4" s="3475" t="s">
        <v>1775</v>
      </c>
      <c r="Z4" s="3476"/>
      <c r="AA4" s="3479" t="s">
        <v>1771</v>
      </c>
      <c r="AB4" s="3479" t="s">
        <v>1772</v>
      </c>
      <c r="AC4" s="3468" t="s">
        <v>1773</v>
      </c>
    </row>
    <row r="5" spans="1:29" ht="15">
      <c r="A5" s="348"/>
      <c r="B5" s="349"/>
      <c r="C5" s="3456" t="s">
        <v>1673</v>
      </c>
      <c r="D5" s="3457"/>
      <c r="E5" s="3463" t="s">
        <v>1674</v>
      </c>
      <c r="F5" s="3464"/>
      <c r="G5" s="3456" t="s">
        <v>1675</v>
      </c>
      <c r="H5" s="3457"/>
      <c r="I5" s="3456" t="s">
        <v>1676</v>
      </c>
      <c r="J5" s="3457"/>
      <c r="K5" s="537"/>
      <c r="L5" s="2487"/>
      <c r="M5" s="2488"/>
      <c r="N5" s="2488"/>
      <c r="O5" s="2488"/>
      <c r="P5" s="3473"/>
      <c r="Q5" s="3445"/>
      <c r="R5" s="3450"/>
      <c r="S5" s="3451"/>
      <c r="T5" s="3450"/>
      <c r="U5" s="3451"/>
      <c r="V5" s="3424"/>
      <c r="W5" s="3424"/>
      <c r="X5" s="1265"/>
      <c r="Y5" s="3450"/>
      <c r="Z5" s="3451"/>
      <c r="AA5" s="3436"/>
      <c r="AB5" s="3436"/>
      <c r="AC5" s="3469"/>
    </row>
    <row r="6" spans="1:29" ht="15.75" thickBot="1">
      <c r="A6" s="350"/>
      <c r="B6" s="351"/>
      <c r="C6" s="3454" t="s">
        <v>1677</v>
      </c>
      <c r="D6" s="3455"/>
      <c r="E6" s="3461" t="s">
        <v>1677</v>
      </c>
      <c r="F6" s="3462"/>
      <c r="G6" s="3454" t="s">
        <v>1677</v>
      </c>
      <c r="H6" s="3455"/>
      <c r="I6" s="3454" t="s">
        <v>1677</v>
      </c>
      <c r="J6" s="3455"/>
      <c r="K6" s="537" t="s">
        <v>1678</v>
      </c>
      <c r="L6" s="2487"/>
      <c r="M6" s="2488"/>
      <c r="N6" s="2488"/>
      <c r="O6" s="2488"/>
      <c r="P6" s="3474"/>
      <c r="Q6" s="3447"/>
      <c r="R6" s="3450"/>
      <c r="S6" s="3451"/>
      <c r="T6" s="3452"/>
      <c r="U6" s="3453"/>
      <c r="V6" s="3424"/>
      <c r="W6" s="3424"/>
      <c r="X6" s="1265"/>
      <c r="Y6" s="3452"/>
      <c r="Z6" s="3453"/>
      <c r="AA6" s="3437"/>
      <c r="AB6" s="3437"/>
      <c r="AC6" s="3470"/>
    </row>
    <row r="7" spans="1:29" s="102" customFormat="1" ht="15.75" thickBot="1">
      <c r="A7" s="352" t="s">
        <v>1679</v>
      </c>
      <c r="B7" s="353"/>
      <c r="C7" s="354">
        <f>'数据-取费表'!B2</f>
        <v>46022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78" t="s">
        <v>1680</v>
      </c>
      <c r="Q7" s="3460"/>
      <c r="R7" s="664" t="s">
        <v>14</v>
      </c>
      <c r="S7" s="665">
        <f t="shared" ref="S7:S15" si="0">F7</f>
        <v>0</v>
      </c>
      <c r="T7" s="664" t="s">
        <v>14</v>
      </c>
      <c r="U7" s="665">
        <f t="shared" ref="U7:U15" si="1">H7</f>
        <v>0</v>
      </c>
      <c r="V7" s="664" t="s">
        <v>14</v>
      </c>
      <c r="W7" s="665">
        <f t="shared" ref="W7:W15" si="2">J7</f>
        <v>0</v>
      </c>
      <c r="X7" s="666"/>
      <c r="Y7" s="3458" t="s">
        <v>1680</v>
      </c>
      <c r="Z7" s="345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78" t="s">
        <v>1683</v>
      </c>
      <c r="Q8" s="3459"/>
      <c r="R8" s="664" t="s">
        <v>14</v>
      </c>
      <c r="S8" s="665">
        <f t="shared" si="0"/>
        <v>100</v>
      </c>
      <c r="T8" s="664" t="s">
        <v>14</v>
      </c>
      <c r="U8" s="665">
        <f t="shared" si="1"/>
        <v>100</v>
      </c>
      <c r="V8" s="664" t="s">
        <v>14</v>
      </c>
      <c r="W8" s="665">
        <f t="shared" si="2"/>
        <v>100</v>
      </c>
      <c r="X8" s="666"/>
      <c r="Y8" s="3458" t="s">
        <v>1683</v>
      </c>
      <c r="Z8" s="345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34" t="s">
        <v>1686</v>
      </c>
      <c r="Q9" s="530" t="str">
        <f t="shared" ref="Q9:Q15" si="6">B9</f>
        <v>用途</v>
      </c>
      <c r="R9" s="664" t="s">
        <v>14</v>
      </c>
      <c r="S9" s="665">
        <f t="shared" si="0"/>
        <v>100</v>
      </c>
      <c r="T9" s="664" t="s">
        <v>14</v>
      </c>
      <c r="U9" s="665">
        <f t="shared" si="1"/>
        <v>100</v>
      </c>
      <c r="V9" s="664" t="s">
        <v>14</v>
      </c>
      <c r="W9" s="665">
        <f t="shared" si="2"/>
        <v>100</v>
      </c>
      <c r="X9" s="666"/>
      <c r="Y9" s="3298"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34"/>
      <c r="Q10" s="530" t="str">
        <f t="shared" si="6"/>
        <v>土地使用年限（年）</v>
      </c>
      <c r="R10" s="664" t="s">
        <v>14</v>
      </c>
      <c r="S10" s="665">
        <f t="shared" si="0"/>
        <v>100</v>
      </c>
      <c r="T10" s="664" t="s">
        <v>14</v>
      </c>
      <c r="U10" s="665">
        <f t="shared" si="1"/>
        <v>100</v>
      </c>
      <c r="V10" s="664" t="s">
        <v>14</v>
      </c>
      <c r="W10" s="665">
        <f t="shared" si="2"/>
        <v>100</v>
      </c>
      <c r="X10" s="666"/>
      <c r="Y10" s="329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34"/>
      <c r="Q11" s="530" t="str">
        <f t="shared" si="6"/>
        <v>容积率</v>
      </c>
      <c r="R11" s="664" t="s">
        <v>14</v>
      </c>
      <c r="S11" s="665">
        <f t="shared" si="0"/>
        <v>100</v>
      </c>
      <c r="T11" s="664" t="s">
        <v>14</v>
      </c>
      <c r="U11" s="665">
        <f t="shared" si="1"/>
        <v>100</v>
      </c>
      <c r="V11" s="664" t="s">
        <v>14</v>
      </c>
      <c r="W11" s="665">
        <f t="shared" si="2"/>
        <v>100</v>
      </c>
      <c r="X11" s="666"/>
      <c r="Y11" s="329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34"/>
      <c r="Q12" s="530">
        <f t="shared" si="6"/>
        <v>111</v>
      </c>
      <c r="R12" s="664" t="s">
        <v>14</v>
      </c>
      <c r="S12" s="665">
        <f t="shared" si="0"/>
        <v>100</v>
      </c>
      <c r="T12" s="664" t="s">
        <v>14</v>
      </c>
      <c r="U12" s="665">
        <f t="shared" si="1"/>
        <v>100</v>
      </c>
      <c r="V12" s="664" t="s">
        <v>14</v>
      </c>
      <c r="W12" s="665">
        <f t="shared" si="2"/>
        <v>100</v>
      </c>
      <c r="X12" s="666"/>
      <c r="Y12" s="329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34"/>
      <c r="Q13" s="530">
        <f t="shared" si="6"/>
        <v>111</v>
      </c>
      <c r="R13" s="664" t="s">
        <v>14</v>
      </c>
      <c r="S13" s="665">
        <f t="shared" si="0"/>
        <v>100</v>
      </c>
      <c r="T13" s="664" t="s">
        <v>14</v>
      </c>
      <c r="U13" s="665">
        <f t="shared" si="1"/>
        <v>100</v>
      </c>
      <c r="V13" s="664" t="s">
        <v>14</v>
      </c>
      <c r="W13" s="665">
        <f t="shared" si="2"/>
        <v>100</v>
      </c>
      <c r="X13" s="666"/>
      <c r="Y13" s="329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34"/>
      <c r="Q14" s="530">
        <f t="shared" si="6"/>
        <v>111</v>
      </c>
      <c r="R14" s="664" t="s">
        <v>14</v>
      </c>
      <c r="S14" s="665">
        <f t="shared" si="0"/>
        <v>100</v>
      </c>
      <c r="T14" s="664" t="s">
        <v>14</v>
      </c>
      <c r="U14" s="665">
        <f t="shared" si="1"/>
        <v>100</v>
      </c>
      <c r="V14" s="664" t="s">
        <v>14</v>
      </c>
      <c r="W14" s="665">
        <f t="shared" si="2"/>
        <v>100</v>
      </c>
      <c r="X14" s="666"/>
      <c r="Y14" s="3298"/>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32" t="s">
        <v>1691</v>
      </c>
      <c r="Q15" s="1263" t="str">
        <f t="shared" si="6"/>
        <v>办公集聚程度</v>
      </c>
      <c r="R15" s="667" t="s">
        <v>14</v>
      </c>
      <c r="S15" s="668">
        <f t="shared" si="0"/>
        <v>100</v>
      </c>
      <c r="T15" s="667" t="s">
        <v>14</v>
      </c>
      <c r="U15" s="668">
        <f t="shared" si="1"/>
        <v>100</v>
      </c>
      <c r="V15" s="667" t="s">
        <v>14</v>
      </c>
      <c r="W15" s="668">
        <f t="shared" si="2"/>
        <v>100</v>
      </c>
      <c r="X15" s="1265"/>
      <c r="Y15" s="342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33"/>
      <c r="Q16" s="1263"/>
      <c r="R16" s="667"/>
      <c r="S16" s="668"/>
      <c r="T16" s="667"/>
      <c r="U16" s="668"/>
      <c r="V16" s="667"/>
      <c r="W16" s="668"/>
      <c r="X16" s="1265"/>
      <c r="Y16" s="3426"/>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33"/>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33"/>
      <c r="Q18" s="1263"/>
      <c r="R18" s="667"/>
      <c r="S18" s="668"/>
      <c r="T18" s="667"/>
      <c r="U18" s="668"/>
      <c r="V18" s="667"/>
      <c r="W18" s="668"/>
      <c r="X18" s="1265"/>
      <c r="Y18" s="3426"/>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33"/>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33"/>
      <c r="Q20" s="1263"/>
      <c r="R20" s="667"/>
      <c r="S20" s="668"/>
      <c r="T20" s="667"/>
      <c r="U20" s="668"/>
      <c r="V20" s="667"/>
      <c r="W20" s="668"/>
      <c r="X20" s="1265"/>
      <c r="Y20" s="342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33"/>
      <c r="Q22" s="1263"/>
      <c r="R22" s="667"/>
      <c r="S22" s="668"/>
      <c r="T22" s="667"/>
      <c r="U22" s="668"/>
      <c r="V22" s="667"/>
      <c r="W22" s="668"/>
      <c r="X22" s="1265"/>
      <c r="Y22" s="3426"/>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33"/>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33"/>
      <c r="Q24" s="1263"/>
      <c r="R24" s="667"/>
      <c r="S24" s="668"/>
      <c r="T24" s="667"/>
      <c r="U24" s="668"/>
      <c r="V24" s="667"/>
      <c r="W24" s="668"/>
      <c r="X24" s="1265"/>
      <c r="Y24" s="342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33"/>
      <c r="Q25" s="1263" t="str">
        <f>B25</f>
        <v>毗邻道路的类型与等级</v>
      </c>
      <c r="R25" s="667" t="s">
        <v>14</v>
      </c>
      <c r="S25" s="668">
        <f>F25</f>
        <v>100</v>
      </c>
      <c r="T25" s="667" t="s">
        <v>14</v>
      </c>
      <c r="U25" s="668">
        <f>H25</f>
        <v>100</v>
      </c>
      <c r="V25" s="667" t="s">
        <v>14</v>
      </c>
      <c r="W25" s="668">
        <f>J25</f>
        <v>100</v>
      </c>
      <c r="X25" s="1265"/>
      <c r="Y25" s="342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33"/>
      <c r="Q26" s="1263"/>
      <c r="R26" s="667"/>
      <c r="S26" s="668"/>
      <c r="T26" s="667"/>
      <c r="U26" s="668"/>
      <c r="V26" s="667"/>
      <c r="W26" s="668"/>
      <c r="X26" s="1265"/>
      <c r="Y26" s="342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33"/>
      <c r="Q27" s="1263" t="str">
        <f t="shared" ref="Q27:Q47" si="11">B27</f>
        <v>楼层</v>
      </c>
      <c r="R27" s="667" t="s">
        <v>14</v>
      </c>
      <c r="S27" s="668">
        <f>F27</f>
        <v>100</v>
      </c>
      <c r="T27" s="667" t="s">
        <v>14</v>
      </c>
      <c r="U27" s="668">
        <f>H27</f>
        <v>100</v>
      </c>
      <c r="V27" s="667" t="s">
        <v>14</v>
      </c>
      <c r="W27" s="668">
        <f>J27</f>
        <v>100</v>
      </c>
      <c r="X27" s="1265"/>
      <c r="Y27" s="342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33"/>
      <c r="Q28" s="530" t="str">
        <f t="shared" si="11"/>
        <v>朝向</v>
      </c>
      <c r="R28" s="664" t="s">
        <v>14</v>
      </c>
      <c r="S28" s="665">
        <f>F28</f>
        <v>100</v>
      </c>
      <c r="T28" s="664" t="s">
        <v>14</v>
      </c>
      <c r="U28" s="665">
        <f>H28</f>
        <v>100</v>
      </c>
      <c r="V28" s="664" t="s">
        <v>14</v>
      </c>
      <c r="W28" s="665">
        <f>J28</f>
        <v>100</v>
      </c>
      <c r="X28" s="666"/>
      <c r="Y28" s="342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33"/>
      <c r="Q29" s="1263">
        <f t="shared" si="11"/>
        <v>111</v>
      </c>
      <c r="R29" s="667" t="s">
        <v>14</v>
      </c>
      <c r="S29" s="668">
        <f t="shared" ref="S29:S47" si="12">F29</f>
        <v>100</v>
      </c>
      <c r="T29" s="667" t="s">
        <v>14</v>
      </c>
      <c r="U29" s="668">
        <f t="shared" ref="U29:U47" si="13">H29</f>
        <v>100</v>
      </c>
      <c r="V29" s="667" t="s">
        <v>14</v>
      </c>
      <c r="W29" s="668">
        <f t="shared" ref="W29:W47" si="14">J29</f>
        <v>100</v>
      </c>
      <c r="X29" s="1265"/>
      <c r="Y29" s="342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33"/>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33"/>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33"/>
      <c r="Q32" s="1263">
        <f t="shared" si="11"/>
        <v>111</v>
      </c>
      <c r="R32" s="667" t="s">
        <v>14</v>
      </c>
      <c r="S32" s="668">
        <f t="shared" si="12"/>
        <v>100</v>
      </c>
      <c r="T32" s="667" t="s">
        <v>14</v>
      </c>
      <c r="U32" s="668">
        <f t="shared" si="13"/>
        <v>100</v>
      </c>
      <c r="V32" s="667" t="s">
        <v>14</v>
      </c>
      <c r="W32" s="668">
        <f t="shared" si="14"/>
        <v>100</v>
      </c>
      <c r="X32" s="1265"/>
      <c r="Y32" s="342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7" t="s">
        <v>1696</v>
      </c>
      <c r="Q33" s="1263" t="str">
        <f t="shared" si="11"/>
        <v>建筑类型</v>
      </c>
      <c r="R33" s="667" t="s">
        <v>14</v>
      </c>
      <c r="S33" s="668">
        <f t="shared" si="12"/>
        <v>100</v>
      </c>
      <c r="T33" s="667" t="s">
        <v>14</v>
      </c>
      <c r="U33" s="668">
        <f t="shared" si="13"/>
        <v>100</v>
      </c>
      <c r="V33" s="667" t="s">
        <v>14</v>
      </c>
      <c r="W33" s="668">
        <f t="shared" si="14"/>
        <v>100</v>
      </c>
      <c r="X33" s="1265"/>
      <c r="Y33" s="343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8"/>
      <c r="Q34" s="531" t="str">
        <f t="shared" si="11"/>
        <v>项目建筑规模</v>
      </c>
      <c r="R34" s="669" t="s">
        <v>14</v>
      </c>
      <c r="S34" s="670" t="e">
        <f t="shared" si="12"/>
        <v>#N/A</v>
      </c>
      <c r="T34" s="669" t="s">
        <v>14</v>
      </c>
      <c r="U34" s="670" t="e">
        <f t="shared" si="13"/>
        <v>#N/A</v>
      </c>
      <c r="V34" s="669" t="s">
        <v>14</v>
      </c>
      <c r="W34" s="670" t="e">
        <f t="shared" si="14"/>
        <v>#N/A</v>
      </c>
      <c r="X34" s="671"/>
      <c r="Y34" s="343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8"/>
      <c r="Q35" s="1263" t="str">
        <f t="shared" si="11"/>
        <v>建筑结构</v>
      </c>
      <c r="R35" s="667" t="s">
        <v>14</v>
      </c>
      <c r="S35" s="668">
        <f t="shared" si="12"/>
        <v>100</v>
      </c>
      <c r="T35" s="667" t="s">
        <v>14</v>
      </c>
      <c r="U35" s="668">
        <f t="shared" si="13"/>
        <v>100</v>
      </c>
      <c r="V35" s="667" t="s">
        <v>14</v>
      </c>
      <c r="W35" s="668">
        <f t="shared" si="14"/>
        <v>100</v>
      </c>
      <c r="X35" s="1265"/>
      <c r="Y35" s="343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8"/>
      <c r="Q36" s="1263" t="str">
        <f t="shared" si="11"/>
        <v>公共部分装修</v>
      </c>
      <c r="R36" s="667" t="s">
        <v>14</v>
      </c>
      <c r="S36" s="668">
        <f t="shared" si="12"/>
        <v>100</v>
      </c>
      <c r="T36" s="667" t="s">
        <v>14</v>
      </c>
      <c r="U36" s="668">
        <f t="shared" si="13"/>
        <v>100</v>
      </c>
      <c r="V36" s="667" t="s">
        <v>14</v>
      </c>
      <c r="W36" s="668">
        <f t="shared" si="14"/>
        <v>100</v>
      </c>
      <c r="X36" s="1265"/>
      <c r="Y36" s="343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8"/>
      <c r="Q37" s="1263" t="str">
        <f t="shared" si="11"/>
        <v>成新度</v>
      </c>
      <c r="R37" s="667" t="s">
        <v>14</v>
      </c>
      <c r="S37" s="668" t="e">
        <f t="shared" si="12"/>
        <v>#N/A</v>
      </c>
      <c r="T37" s="667" t="s">
        <v>14</v>
      </c>
      <c r="U37" s="668" t="e">
        <f t="shared" si="13"/>
        <v>#N/A</v>
      </c>
      <c r="V37" s="667" t="s">
        <v>14</v>
      </c>
      <c r="W37" s="668" t="e">
        <f t="shared" si="14"/>
        <v>#N/A</v>
      </c>
      <c r="X37" s="1265"/>
      <c r="Y37" s="343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8"/>
      <c r="Q38" s="530" t="str">
        <f t="shared" si="11"/>
        <v>写字楼等级</v>
      </c>
      <c r="R38" s="664" t="s">
        <v>14</v>
      </c>
      <c r="S38" s="665">
        <f t="shared" si="12"/>
        <v>100</v>
      </c>
      <c r="T38" s="664" t="s">
        <v>14</v>
      </c>
      <c r="U38" s="665">
        <f t="shared" si="13"/>
        <v>100</v>
      </c>
      <c r="V38" s="664" t="s">
        <v>14</v>
      </c>
      <c r="W38" s="665">
        <f t="shared" si="14"/>
        <v>100</v>
      </c>
      <c r="X38" s="666"/>
      <c r="Y38" s="343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8" t="s">
        <v>1696</v>
      </c>
      <c r="Q39" s="1263" t="str">
        <f t="shared" si="11"/>
        <v>物业管理</v>
      </c>
      <c r="R39" s="667" t="s">
        <v>14</v>
      </c>
      <c r="S39" s="668">
        <f t="shared" si="12"/>
        <v>100</v>
      </c>
      <c r="T39" s="667" t="s">
        <v>14</v>
      </c>
      <c r="U39" s="668">
        <f t="shared" si="13"/>
        <v>100</v>
      </c>
      <c r="V39" s="667" t="s">
        <v>14</v>
      </c>
      <c r="W39" s="668">
        <f t="shared" si="14"/>
        <v>100</v>
      </c>
      <c r="X39" s="1265"/>
      <c r="Y39" s="343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8"/>
      <c r="Q40" s="1263" t="str">
        <f t="shared" si="11"/>
        <v>市政基础设施</v>
      </c>
      <c r="R40" s="667" t="s">
        <v>14</v>
      </c>
      <c r="S40" s="668">
        <f t="shared" si="12"/>
        <v>100</v>
      </c>
      <c r="T40" s="667" t="s">
        <v>14</v>
      </c>
      <c r="U40" s="668">
        <f t="shared" si="13"/>
        <v>100</v>
      </c>
      <c r="V40" s="667" t="s">
        <v>14</v>
      </c>
      <c r="W40" s="668">
        <f t="shared" si="14"/>
        <v>100</v>
      </c>
      <c r="X40" s="1265"/>
      <c r="Y40" s="343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8"/>
      <c r="Q41" s="1263" t="str">
        <f t="shared" si="11"/>
        <v>层高</v>
      </c>
      <c r="R41" s="667" t="s">
        <v>14</v>
      </c>
      <c r="S41" s="668">
        <f t="shared" si="12"/>
        <v>100</v>
      </c>
      <c r="T41" s="667" t="s">
        <v>14</v>
      </c>
      <c r="U41" s="668">
        <f t="shared" si="13"/>
        <v>100</v>
      </c>
      <c r="V41" s="667" t="s">
        <v>14</v>
      </c>
      <c r="W41" s="668">
        <f t="shared" si="14"/>
        <v>100</v>
      </c>
      <c r="X41" s="1265"/>
      <c r="Y41" s="343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8"/>
      <c r="Q42" s="531" t="str">
        <f t="shared" si="11"/>
        <v>单套建筑面积</v>
      </c>
      <c r="R42" s="669" t="s">
        <v>14</v>
      </c>
      <c r="S42" s="670">
        <f t="shared" si="12"/>
        <v>100</v>
      </c>
      <c r="T42" s="669" t="s">
        <v>14</v>
      </c>
      <c r="U42" s="670">
        <f t="shared" si="13"/>
        <v>100</v>
      </c>
      <c r="V42" s="669" t="s">
        <v>14</v>
      </c>
      <c r="W42" s="670">
        <f t="shared" si="14"/>
        <v>100</v>
      </c>
      <c r="X42" s="671"/>
      <c r="Y42" s="343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8"/>
      <c r="Q43" s="1263" t="str">
        <f t="shared" si="11"/>
        <v>内部装修</v>
      </c>
      <c r="R43" s="667" t="s">
        <v>14</v>
      </c>
      <c r="S43" s="668">
        <f t="shared" si="12"/>
        <v>100</v>
      </c>
      <c r="T43" s="667" t="s">
        <v>14</v>
      </c>
      <c r="U43" s="668">
        <f t="shared" si="13"/>
        <v>100</v>
      </c>
      <c r="V43" s="667" t="s">
        <v>14</v>
      </c>
      <c r="W43" s="668">
        <f t="shared" si="14"/>
        <v>100</v>
      </c>
      <c r="X43" s="1265"/>
      <c r="Y43" s="343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8"/>
      <c r="Q44" s="1263" t="str">
        <f t="shared" si="11"/>
        <v>内部装修维护情况</v>
      </c>
      <c r="R44" s="667" t="s">
        <v>14</v>
      </c>
      <c r="S44" s="668">
        <f t="shared" si="12"/>
        <v>100</v>
      </c>
      <c r="T44" s="667" t="s">
        <v>14</v>
      </c>
      <c r="U44" s="668">
        <f t="shared" si="13"/>
        <v>100</v>
      </c>
      <c r="V44" s="667" t="s">
        <v>14</v>
      </c>
      <c r="W44" s="668">
        <f t="shared" si="14"/>
        <v>100</v>
      </c>
      <c r="X44" s="1265"/>
      <c r="Y44" s="343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8"/>
      <c r="Q45" s="530">
        <f t="shared" si="11"/>
        <v>111</v>
      </c>
      <c r="R45" s="664" t="s">
        <v>14</v>
      </c>
      <c r="S45" s="665">
        <f t="shared" si="12"/>
        <v>100</v>
      </c>
      <c r="T45" s="664" t="s">
        <v>14</v>
      </c>
      <c r="U45" s="665">
        <f t="shared" si="13"/>
        <v>100</v>
      </c>
      <c r="V45" s="664" t="s">
        <v>14</v>
      </c>
      <c r="W45" s="665">
        <f t="shared" si="14"/>
        <v>100</v>
      </c>
      <c r="X45" s="666"/>
      <c r="Y45" s="343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9"/>
      <c r="Q47" s="1263">
        <f t="shared" si="11"/>
        <v>111</v>
      </c>
      <c r="R47" s="667" t="s">
        <v>14</v>
      </c>
      <c r="S47" s="668">
        <f t="shared" si="12"/>
        <v>100</v>
      </c>
      <c r="T47" s="667" t="s">
        <v>14</v>
      </c>
      <c r="U47" s="668">
        <f t="shared" si="13"/>
        <v>100</v>
      </c>
      <c r="V47" s="667" t="s">
        <v>14</v>
      </c>
      <c r="W47" s="668">
        <f t="shared" si="14"/>
        <v>100</v>
      </c>
      <c r="X47" s="1265"/>
      <c r="Y47" s="343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34" t="str">
        <f>A48</f>
        <v>成交单价（元/平方米）</v>
      </c>
      <c r="Q48" s="3423"/>
      <c r="R48" s="3424">
        <f>E48</f>
        <v>0</v>
      </c>
      <c r="S48" s="3424"/>
      <c r="T48" s="3424">
        <f>G48</f>
        <v>0</v>
      </c>
      <c r="U48" s="3424"/>
      <c r="V48" s="3424">
        <f>I48</f>
        <v>0</v>
      </c>
      <c r="W48" s="342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34" t="str">
        <f>A49</f>
        <v>比较价值（元/平方米）</v>
      </c>
      <c r="Q49" s="3423"/>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F7:F47 H7:H47 J7:J47">
    <cfRule type="cellIs" dxfId="90" priority="1" operator="notEqual">
      <formula>100</formula>
    </cfRule>
  </conditionalFormatting>
  <conditionalFormatting sqref="F49">
    <cfRule type="expression" dxfId="89" priority="4">
      <formula>$D$49="简单平均"</formula>
    </cfRule>
  </conditionalFormatting>
  <conditionalFormatting sqref="F53:F55 H53:H55">
    <cfRule type="containsText" dxfId="88" priority="17" stopIfTrue="1" operator="containsText" text="超过">
      <formula>NOT(ISERROR(SEARCH("超过",F53)))</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G55">
    <cfRule type="expression" dxfId="85" priority="13" stopIfTrue="1">
      <formula>$H$55="超过30%"</formula>
    </cfRule>
  </conditionalFormatting>
  <conditionalFormatting sqref="H49">
    <cfRule type="expression" dxfId="84" priority="3">
      <formula>$D$49="简单平均"</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J49">
    <cfRule type="expression" dxfId="80" priority="2">
      <formula>$D$49="简单平均"</formula>
    </cfRule>
  </conditionalFormatting>
  <conditionalFormatting sqref="J53:J55">
    <cfRule type="containsText" dxfId="7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8908.0000000000018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38" t="s">
        <v>1770</v>
      </c>
      <c r="D4" s="3439"/>
      <c r="E4" s="3440" t="s">
        <v>1771</v>
      </c>
      <c r="F4" s="3441"/>
      <c r="G4" s="3438" t="s">
        <v>1772</v>
      </c>
      <c r="H4" s="3439"/>
      <c r="I4" s="3438" t="s">
        <v>1773</v>
      </c>
      <c r="J4" s="3439"/>
      <c r="K4" s="537" t="s">
        <v>1774</v>
      </c>
      <c r="L4" s="860"/>
      <c r="M4" s="861"/>
      <c r="N4" s="861"/>
      <c r="O4" s="861"/>
      <c r="P4" s="3442" t="s">
        <v>1775</v>
      </c>
      <c r="Q4" s="3443"/>
      <c r="R4" s="3448" t="s">
        <v>1771</v>
      </c>
      <c r="S4" s="3449"/>
      <c r="T4" s="3448" t="s">
        <v>1772</v>
      </c>
      <c r="U4" s="3449"/>
      <c r="V4" s="3424" t="s">
        <v>1773</v>
      </c>
      <c r="W4" s="3424"/>
      <c r="X4" s="1265"/>
      <c r="Y4" s="3448" t="s">
        <v>1775</v>
      </c>
      <c r="Z4" s="3449"/>
      <c r="AA4" s="3435" t="s">
        <v>1771</v>
      </c>
      <c r="AB4" s="3436" t="s">
        <v>1772</v>
      </c>
      <c r="AC4" s="3435" t="s">
        <v>1773</v>
      </c>
    </row>
    <row r="5" spans="1:29" ht="15">
      <c r="A5" s="348"/>
      <c r="B5" s="349"/>
      <c r="C5" s="3456" t="s">
        <v>1673</v>
      </c>
      <c r="D5" s="3457"/>
      <c r="E5" s="3463" t="s">
        <v>1674</v>
      </c>
      <c r="F5" s="3464"/>
      <c r="G5" s="3456" t="s">
        <v>1675</v>
      </c>
      <c r="H5" s="3457"/>
      <c r="I5" s="3456" t="s">
        <v>1676</v>
      </c>
      <c r="J5" s="3457"/>
      <c r="K5" s="537"/>
      <c r="L5" s="860"/>
      <c r="M5" s="861"/>
      <c r="N5" s="861"/>
      <c r="O5" s="861"/>
      <c r="P5" s="3444"/>
      <c r="Q5" s="3445"/>
      <c r="R5" s="3450"/>
      <c r="S5" s="3451"/>
      <c r="T5" s="3450"/>
      <c r="U5" s="3451"/>
      <c r="V5" s="3424"/>
      <c r="W5" s="3424"/>
      <c r="X5" s="1265"/>
      <c r="Y5" s="3450"/>
      <c r="Z5" s="3451"/>
      <c r="AA5" s="3436"/>
      <c r="AB5" s="3436"/>
      <c r="AC5" s="3436"/>
    </row>
    <row r="6" spans="1:29" ht="15.75" thickBot="1">
      <c r="A6" s="350"/>
      <c r="B6" s="351"/>
      <c r="C6" s="3454" t="s">
        <v>1677</v>
      </c>
      <c r="D6" s="3455"/>
      <c r="E6" s="3461" t="s">
        <v>1677</v>
      </c>
      <c r="F6" s="3462"/>
      <c r="G6" s="3454" t="s">
        <v>1677</v>
      </c>
      <c r="H6" s="3455"/>
      <c r="I6" s="3454" t="s">
        <v>1677</v>
      </c>
      <c r="J6" s="3455"/>
      <c r="K6" s="537" t="s">
        <v>1678</v>
      </c>
      <c r="L6" s="860"/>
      <c r="M6" s="861"/>
      <c r="N6" s="861"/>
      <c r="O6" s="861"/>
      <c r="P6" s="3446"/>
      <c r="Q6" s="3447"/>
      <c r="R6" s="3450"/>
      <c r="S6" s="3451"/>
      <c r="T6" s="3452"/>
      <c r="U6" s="3453"/>
      <c r="V6" s="3424"/>
      <c r="W6" s="3424"/>
      <c r="X6" s="1265"/>
      <c r="Y6" s="3452"/>
      <c r="Z6" s="3453"/>
      <c r="AA6" s="3437"/>
      <c r="AB6" s="3437"/>
      <c r="AC6" s="3437"/>
    </row>
    <row r="7" spans="1:29" s="102" customFormat="1" ht="15.75" thickBot="1">
      <c r="A7" s="352" t="s">
        <v>1679</v>
      </c>
      <c r="B7" s="353"/>
      <c r="C7" s="354">
        <f>'数据-取费表'!B2</f>
        <v>46022</v>
      </c>
      <c r="D7" s="355">
        <v>100</v>
      </c>
      <c r="E7" s="356"/>
      <c r="F7" s="357">
        <f>SUMIF(52:52,YEAR(E7)&amp;"-"&amp;MONTH(E7),53:53)</f>
        <v>0</v>
      </c>
      <c r="G7" s="356"/>
      <c r="H7" s="355">
        <f>SUMIF(52:52,YEAR(G7)&amp;"-"&amp;MONTH(G7),53:53)</f>
        <v>0</v>
      </c>
      <c r="I7" s="356"/>
      <c r="J7" s="355">
        <f>SUMIF(52:52,YEAR(I7)&amp;"-"&amp;MONTH(I7),53:53)</f>
        <v>0</v>
      </c>
      <c r="K7" s="38"/>
      <c r="L7" s="862"/>
      <c r="M7" s="863"/>
      <c r="N7" s="863"/>
      <c r="O7" s="863"/>
      <c r="P7" s="3458" t="s">
        <v>1680</v>
      </c>
      <c r="Q7" s="3460"/>
      <c r="R7" s="664" t="s">
        <v>14</v>
      </c>
      <c r="S7" s="665">
        <f t="shared" ref="S7:S15" si="0">F7</f>
        <v>0</v>
      </c>
      <c r="T7" s="664" t="s">
        <v>14</v>
      </c>
      <c r="U7" s="665">
        <f t="shared" ref="U7:U15" si="1">H7</f>
        <v>0</v>
      </c>
      <c r="V7" s="664" t="s">
        <v>14</v>
      </c>
      <c r="W7" s="665">
        <f t="shared" ref="W7:W15" si="2">J7</f>
        <v>0</v>
      </c>
      <c r="X7" s="666"/>
      <c r="Y7" s="3458" t="s">
        <v>1680</v>
      </c>
      <c r="Z7" s="345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58" t="s">
        <v>1683</v>
      </c>
      <c r="Q8" s="3459"/>
      <c r="R8" s="664" t="s">
        <v>14</v>
      </c>
      <c r="S8" s="665">
        <f t="shared" si="0"/>
        <v>100</v>
      </c>
      <c r="T8" s="664" t="s">
        <v>14</v>
      </c>
      <c r="U8" s="665">
        <f t="shared" si="1"/>
        <v>100</v>
      </c>
      <c r="V8" s="664" t="s">
        <v>14</v>
      </c>
      <c r="W8" s="665">
        <f t="shared" si="2"/>
        <v>100</v>
      </c>
      <c r="X8" s="666"/>
      <c r="Y8" s="3458" t="s">
        <v>1683</v>
      </c>
      <c r="Z8" s="345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3" t="s">
        <v>1686</v>
      </c>
      <c r="Q9" s="530" t="str">
        <f t="shared" ref="Q9:Q15" si="6">B9</f>
        <v>用途</v>
      </c>
      <c r="R9" s="664" t="s">
        <v>14</v>
      </c>
      <c r="S9" s="665">
        <f t="shared" si="0"/>
        <v>100</v>
      </c>
      <c r="T9" s="664" t="s">
        <v>14</v>
      </c>
      <c r="U9" s="665">
        <f t="shared" si="1"/>
        <v>100</v>
      </c>
      <c r="V9" s="664" t="s">
        <v>14</v>
      </c>
      <c r="W9" s="665">
        <f t="shared" si="2"/>
        <v>100</v>
      </c>
      <c r="X9" s="666"/>
      <c r="Y9" s="329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3"/>
      <c r="Q10" s="530" t="str">
        <f t="shared" si="6"/>
        <v>土地使用年限（年）</v>
      </c>
      <c r="R10" s="664" t="s">
        <v>14</v>
      </c>
      <c r="S10" s="665">
        <f t="shared" si="0"/>
        <v>100</v>
      </c>
      <c r="T10" s="664" t="s">
        <v>14</v>
      </c>
      <c r="U10" s="665">
        <f t="shared" si="1"/>
        <v>100</v>
      </c>
      <c r="V10" s="664" t="s">
        <v>14</v>
      </c>
      <c r="W10" s="665">
        <f t="shared" si="2"/>
        <v>100</v>
      </c>
      <c r="X10" s="666"/>
      <c r="Y10" s="329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3"/>
      <c r="Q11" s="530" t="str">
        <f t="shared" si="6"/>
        <v>容积率</v>
      </c>
      <c r="R11" s="664" t="s">
        <v>14</v>
      </c>
      <c r="S11" s="665">
        <f t="shared" si="0"/>
        <v>100</v>
      </c>
      <c r="T11" s="664" t="s">
        <v>14</v>
      </c>
      <c r="U11" s="665">
        <f t="shared" si="1"/>
        <v>100</v>
      </c>
      <c r="V11" s="664" t="s">
        <v>14</v>
      </c>
      <c r="W11" s="665">
        <f t="shared" si="2"/>
        <v>100</v>
      </c>
      <c r="X11" s="666"/>
      <c r="Y11" s="329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3"/>
      <c r="Q12" s="530">
        <f t="shared" si="6"/>
        <v>111</v>
      </c>
      <c r="R12" s="664" t="s">
        <v>14</v>
      </c>
      <c r="S12" s="665">
        <f t="shared" si="0"/>
        <v>100</v>
      </c>
      <c r="T12" s="664" t="s">
        <v>14</v>
      </c>
      <c r="U12" s="665">
        <f t="shared" si="1"/>
        <v>100</v>
      </c>
      <c r="V12" s="664" t="s">
        <v>14</v>
      </c>
      <c r="W12" s="665">
        <f t="shared" si="2"/>
        <v>100</v>
      </c>
      <c r="X12" s="666"/>
      <c r="Y12" s="329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3"/>
      <c r="Q13" s="530">
        <f t="shared" si="6"/>
        <v>111</v>
      </c>
      <c r="R13" s="664" t="s">
        <v>14</v>
      </c>
      <c r="S13" s="665">
        <f t="shared" si="0"/>
        <v>100</v>
      </c>
      <c r="T13" s="664" t="s">
        <v>14</v>
      </c>
      <c r="U13" s="665">
        <f t="shared" si="1"/>
        <v>100</v>
      </c>
      <c r="V13" s="664" t="s">
        <v>14</v>
      </c>
      <c r="W13" s="665">
        <f t="shared" si="2"/>
        <v>100</v>
      </c>
      <c r="X13" s="666"/>
      <c r="Y13" s="329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3"/>
      <c r="Q14" s="530">
        <f t="shared" si="6"/>
        <v>111</v>
      </c>
      <c r="R14" s="664" t="s">
        <v>14</v>
      </c>
      <c r="S14" s="665">
        <f t="shared" si="0"/>
        <v>100</v>
      </c>
      <c r="T14" s="664" t="s">
        <v>14</v>
      </c>
      <c r="U14" s="665">
        <f t="shared" si="1"/>
        <v>100</v>
      </c>
      <c r="V14" s="664" t="s">
        <v>14</v>
      </c>
      <c r="W14" s="665">
        <f t="shared" si="2"/>
        <v>100</v>
      </c>
      <c r="X14" s="666"/>
      <c r="Y14" s="329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5" t="s">
        <v>1691</v>
      </c>
      <c r="Q15" s="1263" t="str">
        <f t="shared" si="6"/>
        <v>产业集聚程度</v>
      </c>
      <c r="R15" s="667" t="s">
        <v>14</v>
      </c>
      <c r="S15" s="668">
        <f t="shared" si="0"/>
        <v>100</v>
      </c>
      <c r="T15" s="667" t="s">
        <v>14</v>
      </c>
      <c r="U15" s="668">
        <f t="shared" si="1"/>
        <v>100</v>
      </c>
      <c r="V15" s="667" t="s">
        <v>14</v>
      </c>
      <c r="W15" s="668">
        <f t="shared" si="2"/>
        <v>100</v>
      </c>
      <c r="X15" s="1265"/>
      <c r="Y15" s="342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6"/>
      <c r="Q16" s="1263"/>
      <c r="R16" s="667"/>
      <c r="S16" s="668"/>
      <c r="T16" s="667"/>
      <c r="U16" s="668"/>
      <c r="V16" s="667"/>
      <c r="W16" s="668"/>
      <c r="X16" s="1265"/>
      <c r="Y16" s="342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6"/>
      <c r="Q18" s="1263"/>
      <c r="R18" s="667"/>
      <c r="S18" s="668"/>
      <c r="T18" s="667"/>
      <c r="U18" s="668"/>
      <c r="V18" s="667"/>
      <c r="W18" s="668"/>
      <c r="X18" s="1265"/>
      <c r="Y18" s="342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6"/>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6"/>
      <c r="Q20" s="1263"/>
      <c r="R20" s="667"/>
      <c r="S20" s="668"/>
      <c r="T20" s="667"/>
      <c r="U20" s="668"/>
      <c r="V20" s="667"/>
      <c r="W20" s="668"/>
      <c r="X20" s="1265"/>
      <c r="Y20" s="342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6"/>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6"/>
      <c r="Q22" s="1263"/>
      <c r="R22" s="667"/>
      <c r="S22" s="668"/>
      <c r="T22" s="667"/>
      <c r="U22" s="668"/>
      <c r="V22" s="667"/>
      <c r="W22" s="668"/>
      <c r="X22" s="1265"/>
      <c r="Y22" s="342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6"/>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6"/>
      <c r="Q24" s="1263"/>
      <c r="R24" s="667"/>
      <c r="S24" s="668"/>
      <c r="T24" s="667"/>
      <c r="U24" s="668"/>
      <c r="V24" s="667"/>
      <c r="W24" s="668"/>
      <c r="X24" s="1265"/>
      <c r="Y24" s="342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6"/>
      <c r="Q25" s="1263">
        <f>B25</f>
        <v>111</v>
      </c>
      <c r="R25" s="667" t="s">
        <v>14</v>
      </c>
      <c r="S25" s="668">
        <f>F25</f>
        <v>100</v>
      </c>
      <c r="T25" s="667" t="s">
        <v>14</v>
      </c>
      <c r="U25" s="668">
        <f>H25</f>
        <v>100</v>
      </c>
      <c r="V25" s="667" t="s">
        <v>14</v>
      </c>
      <c r="W25" s="668">
        <f>J25</f>
        <v>100</v>
      </c>
      <c r="X25" s="1265"/>
      <c r="Y25" s="342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6"/>
      <c r="Q26" s="1263">
        <f t="shared" ref="Q26:Q40" si="11">B26</f>
        <v>111</v>
      </c>
      <c r="R26" s="667" t="s">
        <v>14</v>
      </c>
      <c r="S26" s="668">
        <f>F26</f>
        <v>100</v>
      </c>
      <c r="T26" s="667" t="s">
        <v>14</v>
      </c>
      <c r="U26" s="668">
        <f>H26</f>
        <v>100</v>
      </c>
      <c r="V26" s="667" t="s">
        <v>14</v>
      </c>
      <c r="W26" s="668">
        <f>J26</f>
        <v>100</v>
      </c>
      <c r="X26" s="1265"/>
      <c r="Y26" s="342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6"/>
      <c r="Q27" s="530">
        <f t="shared" si="11"/>
        <v>111</v>
      </c>
      <c r="R27" s="664" t="s">
        <v>14</v>
      </c>
      <c r="S27" s="665">
        <f>F27</f>
        <v>100</v>
      </c>
      <c r="T27" s="664" t="s">
        <v>14</v>
      </c>
      <c r="U27" s="665">
        <f>H27</f>
        <v>100</v>
      </c>
      <c r="V27" s="664" t="s">
        <v>14</v>
      </c>
      <c r="W27" s="665">
        <f>J27</f>
        <v>100</v>
      </c>
      <c r="X27" s="666"/>
      <c r="Y27" s="342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6"/>
      <c r="Q28" s="1263">
        <f t="shared" si="11"/>
        <v>111</v>
      </c>
      <c r="R28" s="667" t="s">
        <v>14</v>
      </c>
      <c r="S28" s="668">
        <f t="shared" ref="S28:S40" si="12">F28</f>
        <v>100</v>
      </c>
      <c r="T28" s="667" t="s">
        <v>14</v>
      </c>
      <c r="U28" s="668">
        <f t="shared" ref="U28:U40" si="13">H28</f>
        <v>100</v>
      </c>
      <c r="V28" s="667" t="s">
        <v>14</v>
      </c>
      <c r="W28" s="668">
        <f t="shared" ref="W28:W40" si="14">J28</f>
        <v>100</v>
      </c>
      <c r="X28" s="1265"/>
      <c r="Y28" s="342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0" t="s">
        <v>1696</v>
      </c>
      <c r="Q29" s="1263" t="str">
        <f t="shared" si="11"/>
        <v>建筑类型</v>
      </c>
      <c r="R29" s="667" t="s">
        <v>14</v>
      </c>
      <c r="S29" s="668">
        <f t="shared" si="12"/>
        <v>100</v>
      </c>
      <c r="T29" s="667" t="s">
        <v>14</v>
      </c>
      <c r="U29" s="668">
        <f t="shared" si="13"/>
        <v>100</v>
      </c>
      <c r="V29" s="667" t="s">
        <v>14</v>
      </c>
      <c r="W29" s="668">
        <f t="shared" si="14"/>
        <v>100</v>
      </c>
      <c r="X29" s="1265"/>
      <c r="Y29" s="343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0"/>
      <c r="Q30" s="531" t="str">
        <f t="shared" si="11"/>
        <v>项目建筑规模</v>
      </c>
      <c r="R30" s="669" t="s">
        <v>14</v>
      </c>
      <c r="S30" s="670" t="e">
        <f t="shared" si="12"/>
        <v>#N/A</v>
      </c>
      <c r="T30" s="669" t="s">
        <v>14</v>
      </c>
      <c r="U30" s="670" t="e">
        <f t="shared" si="13"/>
        <v>#N/A</v>
      </c>
      <c r="V30" s="669" t="s">
        <v>14</v>
      </c>
      <c r="W30" s="670" t="e">
        <f t="shared" si="14"/>
        <v>#N/A</v>
      </c>
      <c r="X30" s="671"/>
      <c r="Y30" s="343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0"/>
      <c r="Q31" s="1263" t="str">
        <f t="shared" si="11"/>
        <v>建筑结构</v>
      </c>
      <c r="R31" s="667" t="s">
        <v>14</v>
      </c>
      <c r="S31" s="668">
        <f t="shared" si="12"/>
        <v>100</v>
      </c>
      <c r="T31" s="667" t="s">
        <v>14</v>
      </c>
      <c r="U31" s="668">
        <f t="shared" si="13"/>
        <v>100</v>
      </c>
      <c r="V31" s="667" t="s">
        <v>14</v>
      </c>
      <c r="W31" s="668">
        <f t="shared" si="14"/>
        <v>100</v>
      </c>
      <c r="X31" s="1265"/>
      <c r="Y31" s="343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0"/>
      <c r="Q32" s="1263" t="str">
        <f t="shared" si="11"/>
        <v>公共部分装修</v>
      </c>
      <c r="R32" s="667" t="s">
        <v>14</v>
      </c>
      <c r="S32" s="668">
        <f t="shared" si="12"/>
        <v>100</v>
      </c>
      <c r="T32" s="667" t="s">
        <v>14</v>
      </c>
      <c r="U32" s="668">
        <f t="shared" si="13"/>
        <v>100</v>
      </c>
      <c r="V32" s="667" t="s">
        <v>14</v>
      </c>
      <c r="W32" s="668">
        <f t="shared" si="14"/>
        <v>100</v>
      </c>
      <c r="X32" s="1265"/>
      <c r="Y32" s="343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0"/>
      <c r="Q33" s="1263" t="str">
        <f t="shared" si="11"/>
        <v>成新度</v>
      </c>
      <c r="R33" s="667" t="s">
        <v>14</v>
      </c>
      <c r="S33" s="668" t="e">
        <f t="shared" si="12"/>
        <v>#N/A</v>
      </c>
      <c r="T33" s="667" t="s">
        <v>14</v>
      </c>
      <c r="U33" s="668" t="e">
        <f t="shared" si="13"/>
        <v>#N/A</v>
      </c>
      <c r="V33" s="667" t="s">
        <v>14</v>
      </c>
      <c r="W33" s="668" t="e">
        <f t="shared" si="14"/>
        <v>#N/A</v>
      </c>
      <c r="X33" s="1265"/>
      <c r="Y33" s="343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0"/>
      <c r="Q34" s="530" t="str">
        <f t="shared" si="11"/>
        <v>物业管理</v>
      </c>
      <c r="R34" s="664" t="s">
        <v>14</v>
      </c>
      <c r="S34" s="665">
        <f t="shared" si="12"/>
        <v>100</v>
      </c>
      <c r="T34" s="664" t="s">
        <v>14</v>
      </c>
      <c r="U34" s="665">
        <f t="shared" si="13"/>
        <v>100</v>
      </c>
      <c r="V34" s="664" t="s">
        <v>14</v>
      </c>
      <c r="W34" s="665">
        <f t="shared" si="14"/>
        <v>100</v>
      </c>
      <c r="X34" s="666"/>
      <c r="Y34" s="343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0" t="s">
        <v>1696</v>
      </c>
      <c r="Q35" s="1263" t="str">
        <f t="shared" si="11"/>
        <v>市政基础设施</v>
      </c>
      <c r="R35" s="667" t="s">
        <v>14</v>
      </c>
      <c r="S35" s="668">
        <f t="shared" si="12"/>
        <v>100</v>
      </c>
      <c r="T35" s="667" t="s">
        <v>14</v>
      </c>
      <c r="U35" s="668">
        <f t="shared" si="13"/>
        <v>100</v>
      </c>
      <c r="V35" s="667" t="s">
        <v>14</v>
      </c>
      <c r="W35" s="668">
        <f t="shared" si="14"/>
        <v>100</v>
      </c>
      <c r="X35" s="1265"/>
      <c r="Y35" s="343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0"/>
      <c r="Q36" s="1263" t="str">
        <f t="shared" si="11"/>
        <v>内部装修</v>
      </c>
      <c r="R36" s="667" t="s">
        <v>14</v>
      </c>
      <c r="S36" s="668">
        <f t="shared" si="12"/>
        <v>100</v>
      </c>
      <c r="T36" s="667" t="s">
        <v>14</v>
      </c>
      <c r="U36" s="668">
        <f t="shared" si="13"/>
        <v>100</v>
      </c>
      <c r="V36" s="667" t="s">
        <v>14</v>
      </c>
      <c r="W36" s="668">
        <f t="shared" si="14"/>
        <v>100</v>
      </c>
      <c r="X36" s="1265"/>
      <c r="Y36" s="343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0"/>
      <c r="Q37" s="1263" t="str">
        <f t="shared" si="11"/>
        <v>内部装修状况</v>
      </c>
      <c r="R37" s="667" t="s">
        <v>14</v>
      </c>
      <c r="S37" s="668">
        <f t="shared" si="12"/>
        <v>100</v>
      </c>
      <c r="T37" s="667" t="s">
        <v>14</v>
      </c>
      <c r="U37" s="668">
        <f t="shared" si="13"/>
        <v>100</v>
      </c>
      <c r="V37" s="667" t="s">
        <v>14</v>
      </c>
      <c r="W37" s="668">
        <f t="shared" si="14"/>
        <v>100</v>
      </c>
      <c r="X37" s="1265"/>
      <c r="Y37" s="343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0"/>
      <c r="Q38" s="531">
        <f t="shared" si="11"/>
        <v>111</v>
      </c>
      <c r="R38" s="669" t="s">
        <v>14</v>
      </c>
      <c r="S38" s="670">
        <f t="shared" si="12"/>
        <v>100</v>
      </c>
      <c r="T38" s="669" t="s">
        <v>14</v>
      </c>
      <c r="U38" s="670">
        <f t="shared" si="13"/>
        <v>100</v>
      </c>
      <c r="V38" s="669" t="s">
        <v>14</v>
      </c>
      <c r="W38" s="670">
        <f t="shared" si="14"/>
        <v>100</v>
      </c>
      <c r="X38" s="671"/>
      <c r="Y38" s="343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0"/>
      <c r="Q39" s="1263">
        <f t="shared" si="11"/>
        <v>111</v>
      </c>
      <c r="R39" s="667" t="s">
        <v>14</v>
      </c>
      <c r="S39" s="668">
        <f t="shared" si="12"/>
        <v>100</v>
      </c>
      <c r="T39" s="667" t="s">
        <v>14</v>
      </c>
      <c r="U39" s="668">
        <f t="shared" si="13"/>
        <v>100</v>
      </c>
      <c r="V39" s="667" t="s">
        <v>14</v>
      </c>
      <c r="W39" s="668">
        <f t="shared" si="14"/>
        <v>100</v>
      </c>
      <c r="X39" s="1265"/>
      <c r="Y39" s="343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1"/>
      <c r="Q40" s="1263">
        <f t="shared" si="11"/>
        <v>111</v>
      </c>
      <c r="R40" s="667" t="s">
        <v>14</v>
      </c>
      <c r="S40" s="668">
        <f t="shared" si="12"/>
        <v>100</v>
      </c>
      <c r="T40" s="667" t="s">
        <v>14</v>
      </c>
      <c r="U40" s="668">
        <f t="shared" si="13"/>
        <v>100</v>
      </c>
      <c r="V40" s="667" t="s">
        <v>14</v>
      </c>
      <c r="W40" s="668">
        <f t="shared" si="14"/>
        <v>100</v>
      </c>
      <c r="X40" s="1265"/>
      <c r="Y40" s="343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3" t="str">
        <f>A41</f>
        <v>成交单价（元/平方米）</v>
      </c>
      <c r="Q41" s="3423"/>
      <c r="R41" s="3424">
        <f>E41</f>
        <v>0</v>
      </c>
      <c r="S41" s="3424"/>
      <c r="T41" s="3424">
        <f>G41</f>
        <v>0</v>
      </c>
      <c r="U41" s="3424"/>
      <c r="V41" s="3424">
        <f>I41</f>
        <v>0</v>
      </c>
      <c r="W41" s="342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3" t="str">
        <f>A42</f>
        <v>比较价值（元/平方米）</v>
      </c>
      <c r="Q42" s="3423"/>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8" priority="16" stopIfTrue="1">
      <formula>$F$46="超过30%"</formula>
    </cfRule>
  </conditionalFormatting>
  <conditionalFormatting sqref="E47">
    <cfRule type="expression" dxfId="77" priority="15" stopIfTrue="1">
      <formula>$F$47="超过20%"</formula>
    </cfRule>
  </conditionalFormatting>
  <conditionalFormatting sqref="E48">
    <cfRule type="expression" dxfId="76" priority="14" stopIfTrue="1">
      <formula>$F$48="超过30%"</formula>
    </cfRule>
  </conditionalFormatting>
  <conditionalFormatting sqref="F7:F40 H7:H40 J7:J40">
    <cfRule type="cellIs" dxfId="75" priority="1" operator="notEqual">
      <formula>100</formula>
    </cfRule>
  </conditionalFormatting>
  <conditionalFormatting sqref="F42">
    <cfRule type="expression" dxfId="74" priority="4">
      <formula>$D$42="简单平均"</formula>
    </cfRule>
  </conditionalFormatting>
  <conditionalFormatting sqref="F46:F48 H46:H48">
    <cfRule type="containsText" dxfId="73" priority="17" stopIfTrue="1" operator="containsText" text="超过">
      <formula>NOT(ISERROR(SEARCH("超过",F46)))</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G48">
    <cfRule type="expression" dxfId="70" priority="13" stopIfTrue="1">
      <formula>$H$48="超过30%"</formula>
    </cfRule>
  </conditionalFormatting>
  <conditionalFormatting sqref="H42">
    <cfRule type="expression" dxfId="69" priority="3">
      <formula>$D$42="简单平均"</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2">
    <cfRule type="expression" dxfId="65" priority="2">
      <formula>$D$42="简单平均"</formula>
    </cfRule>
  </conditionalFormatting>
  <conditionalFormatting sqref="J46:J48">
    <cfRule type="containsText" dxfId="6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38" t="s">
        <v>1770</v>
      </c>
      <c r="D4" s="3439"/>
      <c r="E4" s="3440" t="s">
        <v>1771</v>
      </c>
      <c r="F4" s="3441"/>
      <c r="G4" s="3438" t="s">
        <v>1772</v>
      </c>
      <c r="H4" s="3439"/>
      <c r="I4" s="3438" t="s">
        <v>1773</v>
      </c>
      <c r="J4" s="3439"/>
      <c r="K4" s="537" t="s">
        <v>1774</v>
      </c>
      <c r="L4" s="2487"/>
      <c r="M4" s="2488"/>
      <c r="N4" s="2488"/>
      <c r="O4" s="2488"/>
      <c r="P4" s="3442" t="s">
        <v>1775</v>
      </c>
      <c r="Q4" s="3443"/>
      <c r="R4" s="3448" t="s">
        <v>1771</v>
      </c>
      <c r="S4" s="3449"/>
      <c r="T4" s="3448" t="s">
        <v>1772</v>
      </c>
      <c r="U4" s="3449"/>
      <c r="V4" s="3424" t="s">
        <v>1773</v>
      </c>
      <c r="W4" s="3424"/>
      <c r="X4" s="1265"/>
      <c r="Y4" s="3448" t="s">
        <v>1775</v>
      </c>
      <c r="Z4" s="3449"/>
      <c r="AA4" s="3435" t="s">
        <v>1771</v>
      </c>
      <c r="AB4" s="3436" t="s">
        <v>1772</v>
      </c>
      <c r="AC4" s="3435" t="s">
        <v>1773</v>
      </c>
    </row>
    <row r="5" spans="1:29" ht="15">
      <c r="A5" s="348"/>
      <c r="B5" s="349"/>
      <c r="C5" s="3456" t="s">
        <v>1673</v>
      </c>
      <c r="D5" s="3457"/>
      <c r="E5" s="3463" t="s">
        <v>1674</v>
      </c>
      <c r="F5" s="3464"/>
      <c r="G5" s="3456" t="s">
        <v>1675</v>
      </c>
      <c r="H5" s="3457"/>
      <c r="I5" s="3456" t="s">
        <v>1676</v>
      </c>
      <c r="J5" s="3457"/>
      <c r="K5" s="537"/>
      <c r="L5" s="2487"/>
      <c r="M5" s="2488"/>
      <c r="N5" s="2488"/>
      <c r="O5" s="2488"/>
      <c r="P5" s="3444"/>
      <c r="Q5" s="3445"/>
      <c r="R5" s="3450"/>
      <c r="S5" s="3451"/>
      <c r="T5" s="3450"/>
      <c r="U5" s="3451"/>
      <c r="V5" s="3424"/>
      <c r="W5" s="3424"/>
      <c r="X5" s="1265"/>
      <c r="Y5" s="3450"/>
      <c r="Z5" s="3451"/>
      <c r="AA5" s="3436"/>
      <c r="AB5" s="3436"/>
      <c r="AC5" s="3436"/>
    </row>
    <row r="6" spans="1:29" ht="15.75" thickBot="1">
      <c r="A6" s="350"/>
      <c r="B6" s="351"/>
      <c r="C6" s="3454" t="s">
        <v>1677</v>
      </c>
      <c r="D6" s="3455"/>
      <c r="E6" s="3461" t="s">
        <v>1677</v>
      </c>
      <c r="F6" s="3462"/>
      <c r="G6" s="3454" t="s">
        <v>1677</v>
      </c>
      <c r="H6" s="3455"/>
      <c r="I6" s="3454" t="s">
        <v>1677</v>
      </c>
      <c r="J6" s="3455"/>
      <c r="K6" s="537" t="s">
        <v>1678</v>
      </c>
      <c r="L6" s="2487"/>
      <c r="M6" s="2488"/>
      <c r="N6" s="2488"/>
      <c r="O6" s="2488"/>
      <c r="P6" s="3446"/>
      <c r="Q6" s="3447"/>
      <c r="R6" s="3450"/>
      <c r="S6" s="3451"/>
      <c r="T6" s="3452"/>
      <c r="U6" s="3453"/>
      <c r="V6" s="3424"/>
      <c r="W6" s="3424"/>
      <c r="X6" s="1265"/>
      <c r="Y6" s="3452"/>
      <c r="Z6" s="3453"/>
      <c r="AA6" s="3437"/>
      <c r="AB6" s="3437"/>
      <c r="AC6" s="3437"/>
    </row>
    <row r="7" spans="1:29" s="102" customFormat="1" ht="15.75" thickBot="1">
      <c r="A7" s="352" t="s">
        <v>1679</v>
      </c>
      <c r="B7" s="353"/>
      <c r="C7" s="354">
        <f>'数据-取费表'!B2</f>
        <v>46022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58" t="s">
        <v>1680</v>
      </c>
      <c r="Q7" s="3460"/>
      <c r="R7" s="664" t="s">
        <v>14</v>
      </c>
      <c r="S7" s="665">
        <f t="shared" ref="S7:S14" si="0">F7</f>
        <v>0</v>
      </c>
      <c r="T7" s="664" t="s">
        <v>14</v>
      </c>
      <c r="U7" s="665">
        <f t="shared" ref="U7:U14" si="1">H7</f>
        <v>0</v>
      </c>
      <c r="V7" s="664" t="s">
        <v>14</v>
      </c>
      <c r="W7" s="665">
        <f t="shared" ref="W7:W14" si="2">J7</f>
        <v>0</v>
      </c>
      <c r="X7" s="666"/>
      <c r="Y7" s="3458" t="s">
        <v>1680</v>
      </c>
      <c r="Z7" s="345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58" t="s">
        <v>1683</v>
      </c>
      <c r="Q8" s="3459"/>
      <c r="R8" s="664" t="s">
        <v>14</v>
      </c>
      <c r="S8" s="665">
        <f t="shared" si="0"/>
        <v>100</v>
      </c>
      <c r="T8" s="664" t="s">
        <v>14</v>
      </c>
      <c r="U8" s="665">
        <f t="shared" si="1"/>
        <v>100</v>
      </c>
      <c r="V8" s="664" t="s">
        <v>14</v>
      </c>
      <c r="W8" s="665">
        <f t="shared" si="2"/>
        <v>100</v>
      </c>
      <c r="X8" s="666"/>
      <c r="Y8" s="3458" t="s">
        <v>1683</v>
      </c>
      <c r="Z8" s="345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3" t="s">
        <v>1686</v>
      </c>
      <c r="Q9" s="530" t="str">
        <f t="shared" ref="Q9:Q14" si="6">B9</f>
        <v>用途</v>
      </c>
      <c r="R9" s="664" t="s">
        <v>14</v>
      </c>
      <c r="S9" s="665">
        <f t="shared" si="0"/>
        <v>100</v>
      </c>
      <c r="T9" s="664" t="s">
        <v>14</v>
      </c>
      <c r="U9" s="665">
        <f t="shared" si="1"/>
        <v>100</v>
      </c>
      <c r="V9" s="664" t="s">
        <v>14</v>
      </c>
      <c r="W9" s="665">
        <f t="shared" si="2"/>
        <v>100</v>
      </c>
      <c r="X9" s="666"/>
      <c r="Y9" s="3298"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3"/>
      <c r="Q10" s="530" t="str">
        <f t="shared" si="6"/>
        <v>土地使用年限（年）</v>
      </c>
      <c r="R10" s="664" t="s">
        <v>14</v>
      </c>
      <c r="S10" s="665">
        <f t="shared" si="0"/>
        <v>100</v>
      </c>
      <c r="T10" s="664" t="s">
        <v>14</v>
      </c>
      <c r="U10" s="665">
        <f t="shared" si="1"/>
        <v>100</v>
      </c>
      <c r="V10" s="664" t="s">
        <v>14</v>
      </c>
      <c r="W10" s="665">
        <f t="shared" si="2"/>
        <v>100</v>
      </c>
      <c r="X10" s="666"/>
      <c r="Y10" s="329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3"/>
      <c r="Q11" s="530">
        <f t="shared" si="6"/>
        <v>111</v>
      </c>
      <c r="R11" s="664" t="s">
        <v>14</v>
      </c>
      <c r="S11" s="665">
        <f t="shared" si="0"/>
        <v>100</v>
      </c>
      <c r="T11" s="664" t="s">
        <v>14</v>
      </c>
      <c r="U11" s="665">
        <f t="shared" si="1"/>
        <v>100</v>
      </c>
      <c r="V11" s="664" t="s">
        <v>14</v>
      </c>
      <c r="W11" s="665">
        <f t="shared" si="2"/>
        <v>100</v>
      </c>
      <c r="X11" s="666"/>
      <c r="Y11" s="329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3"/>
      <c r="Q12" s="530">
        <f t="shared" si="6"/>
        <v>111</v>
      </c>
      <c r="R12" s="664" t="s">
        <v>14</v>
      </c>
      <c r="S12" s="665">
        <f t="shared" si="0"/>
        <v>100</v>
      </c>
      <c r="T12" s="664" t="s">
        <v>14</v>
      </c>
      <c r="U12" s="665">
        <f t="shared" si="1"/>
        <v>100</v>
      </c>
      <c r="V12" s="664" t="s">
        <v>14</v>
      </c>
      <c r="W12" s="665">
        <f t="shared" si="2"/>
        <v>100</v>
      </c>
      <c r="X12" s="666"/>
      <c r="Y12" s="329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3"/>
      <c r="Q13" s="530">
        <f t="shared" si="6"/>
        <v>111</v>
      </c>
      <c r="R13" s="664" t="s">
        <v>14</v>
      </c>
      <c r="S13" s="665">
        <f t="shared" si="0"/>
        <v>100</v>
      </c>
      <c r="T13" s="664" t="s">
        <v>14</v>
      </c>
      <c r="U13" s="665">
        <f t="shared" si="1"/>
        <v>100</v>
      </c>
      <c r="V13" s="664" t="s">
        <v>14</v>
      </c>
      <c r="W13" s="665">
        <f t="shared" si="2"/>
        <v>100</v>
      </c>
      <c r="X13" s="666"/>
      <c r="Y13" s="3298"/>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5" t="s">
        <v>1691</v>
      </c>
      <c r="Q14" s="1263" t="str">
        <f t="shared" si="6"/>
        <v>交通便捷度</v>
      </c>
      <c r="R14" s="667" t="s">
        <v>14</v>
      </c>
      <c r="S14" s="668">
        <f t="shared" si="0"/>
        <v>100</v>
      </c>
      <c r="T14" s="667" t="s">
        <v>14</v>
      </c>
      <c r="U14" s="668">
        <f t="shared" si="1"/>
        <v>100</v>
      </c>
      <c r="V14" s="667" t="s">
        <v>14</v>
      </c>
      <c r="W14" s="668">
        <f t="shared" si="2"/>
        <v>100</v>
      </c>
      <c r="X14" s="1265"/>
      <c r="Y14" s="342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6"/>
      <c r="Q15" s="1263"/>
      <c r="R15" s="667"/>
      <c r="S15" s="668"/>
      <c r="T15" s="667"/>
      <c r="U15" s="668"/>
      <c r="V15" s="667"/>
      <c r="W15" s="668"/>
      <c r="X15" s="1265"/>
      <c r="Y15" s="342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6"/>
      <c r="Q17" s="1263"/>
      <c r="R17" s="667"/>
      <c r="S17" s="668"/>
      <c r="T17" s="667"/>
      <c r="U17" s="668"/>
      <c r="V17" s="667"/>
      <c r="W17" s="668"/>
      <c r="X17" s="1265"/>
      <c r="Y17" s="342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6"/>
      <c r="Q19" s="1263"/>
      <c r="R19" s="667"/>
      <c r="S19" s="668"/>
      <c r="T19" s="667"/>
      <c r="U19" s="668"/>
      <c r="V19" s="667"/>
      <c r="W19" s="668"/>
      <c r="X19" s="1265"/>
      <c r="Y19" s="342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6"/>
      <c r="Q21" s="1263"/>
      <c r="R21" s="667"/>
      <c r="S21" s="668"/>
      <c r="T21" s="667"/>
      <c r="U21" s="668"/>
      <c r="V21" s="667"/>
      <c r="W21" s="668"/>
      <c r="X21" s="1265"/>
      <c r="Y21" s="342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6"/>
      <c r="Q24" s="1263">
        <f t="shared" ref="Q24:Q36"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8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30"/>
      <c r="Q27" s="531" t="str">
        <f t="shared" si="11"/>
        <v>项目停车位配比</v>
      </c>
      <c r="R27" s="669" t="s">
        <v>14</v>
      </c>
      <c r="S27" s="670">
        <f t="shared" si="12"/>
        <v>100</v>
      </c>
      <c r="T27" s="669" t="s">
        <v>14</v>
      </c>
      <c r="U27" s="670">
        <f t="shared" si="13"/>
        <v>100</v>
      </c>
      <c r="V27" s="669" t="s">
        <v>14</v>
      </c>
      <c r="W27" s="670">
        <f t="shared" si="14"/>
        <v>100</v>
      </c>
      <c r="X27" s="671"/>
      <c r="Y27" s="343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30"/>
      <c r="Q28" s="1263" t="str">
        <f t="shared" si="11"/>
        <v>公共部分装修</v>
      </c>
      <c r="R28" s="667" t="s">
        <v>14</v>
      </c>
      <c r="S28" s="668">
        <f t="shared" si="12"/>
        <v>100</v>
      </c>
      <c r="T28" s="667" t="s">
        <v>14</v>
      </c>
      <c r="U28" s="668">
        <f t="shared" si="13"/>
        <v>100</v>
      </c>
      <c r="V28" s="667" t="s">
        <v>14</v>
      </c>
      <c r="W28" s="668">
        <f t="shared" si="14"/>
        <v>100</v>
      </c>
      <c r="X28" s="1265"/>
      <c r="Y28" s="343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30"/>
      <c r="Q29" s="1263" t="str">
        <f t="shared" si="11"/>
        <v>成新率</v>
      </c>
      <c r="R29" s="667" t="s">
        <v>14</v>
      </c>
      <c r="S29" s="668" t="e">
        <f t="shared" si="12"/>
        <v>#N/A</v>
      </c>
      <c r="T29" s="667" t="s">
        <v>14</v>
      </c>
      <c r="U29" s="668" t="e">
        <f t="shared" si="13"/>
        <v>#N/A</v>
      </c>
      <c r="V29" s="667" t="s">
        <v>14</v>
      </c>
      <c r="W29" s="668" t="e">
        <f t="shared" si="14"/>
        <v>#N/A</v>
      </c>
      <c r="X29" s="1265"/>
      <c r="Y29" s="343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30"/>
      <c r="Q30" s="1263" t="str">
        <f t="shared" si="11"/>
        <v>物业等级</v>
      </c>
      <c r="R30" s="667" t="s">
        <v>14</v>
      </c>
      <c r="S30" s="668">
        <f t="shared" si="12"/>
        <v>100</v>
      </c>
      <c r="T30" s="667" t="s">
        <v>14</v>
      </c>
      <c r="U30" s="668">
        <f t="shared" si="13"/>
        <v>100</v>
      </c>
      <c r="V30" s="667" t="s">
        <v>14</v>
      </c>
      <c r="W30" s="668">
        <f t="shared" si="14"/>
        <v>100</v>
      </c>
      <c r="X30" s="1265"/>
      <c r="Y30" s="343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30"/>
      <c r="Q31" s="530" t="str">
        <f t="shared" si="11"/>
        <v>停车位面积</v>
      </c>
      <c r="R31" s="664" t="s">
        <v>14</v>
      </c>
      <c r="S31" s="665" t="e">
        <f t="shared" si="12"/>
        <v>#N/A</v>
      </c>
      <c r="T31" s="664" t="s">
        <v>14</v>
      </c>
      <c r="U31" s="665" t="e">
        <f t="shared" si="13"/>
        <v>#N/A</v>
      </c>
      <c r="V31" s="664" t="s">
        <v>14</v>
      </c>
      <c r="W31" s="665" t="e">
        <f t="shared" si="14"/>
        <v>#N/A</v>
      </c>
      <c r="X31" s="666"/>
      <c r="Y31" s="343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30" t="s">
        <v>1696</v>
      </c>
      <c r="Q32" s="1263" t="str">
        <f t="shared" si="11"/>
        <v>车位类型</v>
      </c>
      <c r="R32" s="667" t="s">
        <v>14</v>
      </c>
      <c r="S32" s="668">
        <f t="shared" si="12"/>
        <v>100</v>
      </c>
      <c r="T32" s="667" t="s">
        <v>14</v>
      </c>
      <c r="U32" s="668">
        <f t="shared" si="13"/>
        <v>100</v>
      </c>
      <c r="V32" s="667" t="s">
        <v>14</v>
      </c>
      <c r="W32" s="668">
        <f t="shared" si="14"/>
        <v>100</v>
      </c>
      <c r="X32" s="1265"/>
      <c r="Y32" s="343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30"/>
      <c r="Q33" s="1263" t="str">
        <f t="shared" si="11"/>
        <v>是否直接入户</v>
      </c>
      <c r="R33" s="667" t="s">
        <v>14</v>
      </c>
      <c r="S33" s="668">
        <f t="shared" si="12"/>
        <v>100</v>
      </c>
      <c r="T33" s="667" t="s">
        <v>14</v>
      </c>
      <c r="U33" s="668">
        <f t="shared" si="13"/>
        <v>100</v>
      </c>
      <c r="V33" s="667" t="s">
        <v>14</v>
      </c>
      <c r="W33" s="668">
        <f t="shared" si="14"/>
        <v>100</v>
      </c>
      <c r="X33" s="1265"/>
      <c r="Y33" s="343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30"/>
      <c r="Q34" s="1263">
        <f t="shared" si="11"/>
        <v>111</v>
      </c>
      <c r="R34" s="667" t="s">
        <v>14</v>
      </c>
      <c r="S34" s="668">
        <f t="shared" si="12"/>
        <v>100</v>
      </c>
      <c r="T34" s="667" t="s">
        <v>14</v>
      </c>
      <c r="U34" s="668">
        <f t="shared" si="13"/>
        <v>100</v>
      </c>
      <c r="V34" s="667" t="s">
        <v>14</v>
      </c>
      <c r="W34" s="668">
        <f t="shared" si="14"/>
        <v>100</v>
      </c>
      <c r="X34" s="1265"/>
      <c r="Y34" s="343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30"/>
      <c r="Q35" s="531">
        <f t="shared" si="11"/>
        <v>111</v>
      </c>
      <c r="R35" s="669" t="s">
        <v>14</v>
      </c>
      <c r="S35" s="670">
        <f t="shared" si="12"/>
        <v>100</v>
      </c>
      <c r="T35" s="669" t="s">
        <v>14</v>
      </c>
      <c r="U35" s="670">
        <f t="shared" si="13"/>
        <v>100</v>
      </c>
      <c r="V35" s="669" t="s">
        <v>14</v>
      </c>
      <c r="W35" s="670">
        <f t="shared" si="14"/>
        <v>100</v>
      </c>
      <c r="X35" s="671"/>
      <c r="Y35" s="343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30"/>
      <c r="Q36" s="1263">
        <f t="shared" si="11"/>
        <v>111</v>
      </c>
      <c r="R36" s="667" t="s">
        <v>14</v>
      </c>
      <c r="S36" s="668">
        <f t="shared" si="12"/>
        <v>100</v>
      </c>
      <c r="T36" s="667" t="s">
        <v>14</v>
      </c>
      <c r="U36" s="668">
        <f t="shared" si="13"/>
        <v>100</v>
      </c>
      <c r="V36" s="667" t="s">
        <v>14</v>
      </c>
      <c r="W36" s="668">
        <f t="shared" si="14"/>
        <v>100</v>
      </c>
      <c r="X36" s="1265"/>
      <c r="Y36" s="3430"/>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23" t="str">
        <f>A37</f>
        <v>成交单价</v>
      </c>
      <c r="Q37" s="3423"/>
      <c r="R37" s="3424">
        <f>E37</f>
        <v>0</v>
      </c>
      <c r="S37" s="3424"/>
      <c r="T37" s="3424">
        <f>G37</f>
        <v>0</v>
      </c>
      <c r="U37" s="3424"/>
      <c r="V37" s="3424">
        <f>I37</f>
        <v>0</v>
      </c>
      <c r="W37" s="342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23" t="str">
        <f>A38</f>
        <v>比较价值（元/平方米）</v>
      </c>
      <c r="Q38" s="3423"/>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20" t="str">
        <f>A39</f>
        <v>估价对象XX用房的比较价值（楼面单价，元/平方米）</v>
      </c>
      <c r="Q39" s="3421"/>
      <c r="R39" s="3481" t="e">
        <f>IF(F1="售价",ROUND(IF(D38="简单平均",AVERAGE(R38:W38),R38*F38+T38*H38+V38*J38),0),ROUND(IF(D38="简单平均",AVERAGE(R38:V38),R38*F38+T38*H38+V38*J38),1))</f>
        <v>#DIV/0!</v>
      </c>
      <c r="S39" s="3481"/>
      <c r="T39" s="3481"/>
      <c r="U39" s="3481"/>
      <c r="V39" s="3481"/>
      <c r="W39" s="348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3" priority="13" stopIfTrue="1">
      <formula>$F$42="超过30%"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F7:F36 H7:H36 J7:J36">
    <cfRule type="cellIs" dxfId="60" priority="1" operator="notEqual">
      <formula>100</formula>
    </cfRule>
  </conditionalFormatting>
  <conditionalFormatting sqref="F38">
    <cfRule type="expression" dxfId="59" priority="4">
      <formula>$D$38="简单平均"</formula>
    </cfRule>
  </conditionalFormatting>
  <conditionalFormatting sqref="F42:F44 H42:H44 J42:J44">
    <cfRule type="containsText" dxfId="58" priority="14" stopIfTrue="1" operator="containsText" text="超过">
      <formula>NOT(ISERROR(SEARCH("超过",F42)))</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G44">
    <cfRule type="expression" dxfId="55" priority="12" stopIfTrue="1">
      <formula>$H$54+$H$44="超过30%"</formula>
    </cfRule>
  </conditionalFormatting>
  <conditionalFormatting sqref="H38">
    <cfRule type="expression" dxfId="54" priority="3">
      <formula>$D$38="简单平均"</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J38">
    <cfRule type="expression" dxfId="5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估价对象为房地产，为所有。根据《国有土地使用证》[]，估价对象（分摊）出让国有建设用地使用权面积为0平方米，建筑面积为8908平方米。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估价对象为房地产,属开发建设的，该项目尚在开发建设中。根据《国有土地使用证》[]，估价对象（分摊）出让国有建设用地使用权面积为0平方米，规划建筑面积为8908平方米。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2025年12月31日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本次评估采用的主估价方法为收益法和收益法。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8" t="s">
        <v>1770</v>
      </c>
      <c r="D4" s="3439"/>
      <c r="E4" s="3440" t="s">
        <v>1771</v>
      </c>
      <c r="F4" s="3441"/>
      <c r="G4" s="3438" t="s">
        <v>1772</v>
      </c>
      <c r="H4" s="3439"/>
      <c r="I4" s="3438" t="s">
        <v>1773</v>
      </c>
      <c r="J4" s="3439"/>
      <c r="K4" s="537" t="s">
        <v>1774</v>
      </c>
      <c r="L4" s="2487"/>
      <c r="M4" s="2488"/>
      <c r="N4" s="2488"/>
      <c r="O4" s="2488"/>
      <c r="P4" s="3442" t="s">
        <v>1775</v>
      </c>
      <c r="Q4" s="3443"/>
      <c r="R4" s="3448" t="s">
        <v>1771</v>
      </c>
      <c r="S4" s="3449"/>
      <c r="T4" s="3448" t="s">
        <v>1772</v>
      </c>
      <c r="U4" s="3449"/>
      <c r="V4" s="3424" t="s">
        <v>1773</v>
      </c>
      <c r="W4" s="3424"/>
      <c r="X4" s="1265"/>
      <c r="Y4" s="3448" t="s">
        <v>1775</v>
      </c>
      <c r="Z4" s="3449"/>
      <c r="AA4" s="3435" t="s">
        <v>1771</v>
      </c>
      <c r="AB4" s="3436" t="s">
        <v>1772</v>
      </c>
      <c r="AC4" s="3435" t="s">
        <v>1773</v>
      </c>
    </row>
    <row r="5" spans="1:29" ht="15">
      <c r="A5" s="348"/>
      <c r="B5" s="349"/>
      <c r="C5" s="3456" t="s">
        <v>1673</v>
      </c>
      <c r="D5" s="3457"/>
      <c r="E5" s="3463" t="s">
        <v>1674</v>
      </c>
      <c r="F5" s="3464"/>
      <c r="G5" s="3456" t="s">
        <v>1675</v>
      </c>
      <c r="H5" s="3457"/>
      <c r="I5" s="3456" t="s">
        <v>1676</v>
      </c>
      <c r="J5" s="3457"/>
      <c r="K5" s="537"/>
      <c r="L5" s="2487"/>
      <c r="M5" s="2488"/>
      <c r="N5" s="2488"/>
      <c r="O5" s="2488"/>
      <c r="P5" s="3444"/>
      <c r="Q5" s="3445"/>
      <c r="R5" s="3450"/>
      <c r="S5" s="3451"/>
      <c r="T5" s="3450"/>
      <c r="U5" s="3451"/>
      <c r="V5" s="3424"/>
      <c r="W5" s="3424"/>
      <c r="X5" s="1265"/>
      <c r="Y5" s="3450"/>
      <c r="Z5" s="3451"/>
      <c r="AA5" s="3436"/>
      <c r="AB5" s="3436"/>
      <c r="AC5" s="3436"/>
    </row>
    <row r="6" spans="1:29" ht="15.75" thickBot="1">
      <c r="A6" s="350"/>
      <c r="B6" s="351"/>
      <c r="C6" s="3454" t="s">
        <v>1677</v>
      </c>
      <c r="D6" s="3455"/>
      <c r="E6" s="3461" t="s">
        <v>1677</v>
      </c>
      <c r="F6" s="3462"/>
      <c r="G6" s="3454" t="s">
        <v>1677</v>
      </c>
      <c r="H6" s="3455"/>
      <c r="I6" s="3454" t="s">
        <v>1677</v>
      </c>
      <c r="J6" s="3455"/>
      <c r="K6" s="537" t="s">
        <v>1678</v>
      </c>
      <c r="L6" s="2487"/>
      <c r="M6" s="2488"/>
      <c r="N6" s="2488"/>
      <c r="O6" s="2488"/>
      <c r="P6" s="3446"/>
      <c r="Q6" s="3447"/>
      <c r="R6" s="3450"/>
      <c r="S6" s="3451"/>
      <c r="T6" s="3452"/>
      <c r="U6" s="3453"/>
      <c r="V6" s="3424"/>
      <c r="W6" s="3424"/>
      <c r="X6" s="1265"/>
      <c r="Y6" s="3452"/>
      <c r="Z6" s="3453"/>
      <c r="AA6" s="3437"/>
      <c r="AB6" s="3437"/>
      <c r="AC6" s="3437"/>
    </row>
    <row r="7" spans="1:29" s="102" customFormat="1" ht="15.75" thickBot="1">
      <c r="A7" s="352" t="s">
        <v>1679</v>
      </c>
      <c r="B7" s="353"/>
      <c r="C7" s="354">
        <f>'数据-取费表'!B2</f>
        <v>46022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58" t="s">
        <v>1680</v>
      </c>
      <c r="Q7" s="3460"/>
      <c r="R7" s="664" t="s">
        <v>14</v>
      </c>
      <c r="S7" s="665">
        <f t="shared" ref="S7:S14" si="0">F7</f>
        <v>0</v>
      </c>
      <c r="T7" s="664" t="s">
        <v>14</v>
      </c>
      <c r="U7" s="665">
        <f t="shared" ref="U7:U14" si="1">H7</f>
        <v>0</v>
      </c>
      <c r="V7" s="664" t="s">
        <v>14</v>
      </c>
      <c r="W7" s="665">
        <f t="shared" ref="W7:W14" si="2">J7</f>
        <v>0</v>
      </c>
      <c r="X7" s="666"/>
      <c r="Y7" s="3458" t="s">
        <v>1680</v>
      </c>
      <c r="Z7" s="345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58" t="s">
        <v>1683</v>
      </c>
      <c r="Q8" s="3459"/>
      <c r="R8" s="664" t="s">
        <v>14</v>
      </c>
      <c r="S8" s="665">
        <f t="shared" si="0"/>
        <v>100</v>
      </c>
      <c r="T8" s="664" t="s">
        <v>14</v>
      </c>
      <c r="U8" s="665">
        <f t="shared" si="1"/>
        <v>100</v>
      </c>
      <c r="V8" s="664" t="s">
        <v>14</v>
      </c>
      <c r="W8" s="665">
        <f t="shared" si="2"/>
        <v>100</v>
      </c>
      <c r="X8" s="666"/>
      <c r="Y8" s="3458" t="s">
        <v>1683</v>
      </c>
      <c r="Z8" s="345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3" t="s">
        <v>1686</v>
      </c>
      <c r="Q9" s="530" t="str">
        <f t="shared" ref="Q9:Q14" si="6">B9</f>
        <v>用途</v>
      </c>
      <c r="R9" s="664" t="s">
        <v>14</v>
      </c>
      <c r="S9" s="665">
        <f t="shared" si="0"/>
        <v>100</v>
      </c>
      <c r="T9" s="664" t="s">
        <v>14</v>
      </c>
      <c r="U9" s="665">
        <f t="shared" si="1"/>
        <v>100</v>
      </c>
      <c r="V9" s="664" t="s">
        <v>14</v>
      </c>
      <c r="W9" s="665">
        <f t="shared" si="2"/>
        <v>100</v>
      </c>
      <c r="X9" s="666"/>
      <c r="Y9" s="3298"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3"/>
      <c r="Q10" s="530" t="str">
        <f t="shared" si="6"/>
        <v>土地使用年限（年）</v>
      </c>
      <c r="R10" s="664" t="s">
        <v>14</v>
      </c>
      <c r="S10" s="665">
        <f t="shared" si="0"/>
        <v>100</v>
      </c>
      <c r="T10" s="664" t="s">
        <v>14</v>
      </c>
      <c r="U10" s="665">
        <f t="shared" si="1"/>
        <v>100</v>
      </c>
      <c r="V10" s="664" t="s">
        <v>14</v>
      </c>
      <c r="W10" s="665">
        <f t="shared" si="2"/>
        <v>100</v>
      </c>
      <c r="X10" s="666"/>
      <c r="Y10" s="329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3"/>
      <c r="Q11" s="530">
        <f t="shared" si="6"/>
        <v>111</v>
      </c>
      <c r="R11" s="664" t="s">
        <v>14</v>
      </c>
      <c r="S11" s="665">
        <f t="shared" si="0"/>
        <v>100</v>
      </c>
      <c r="T11" s="664" t="s">
        <v>14</v>
      </c>
      <c r="U11" s="665">
        <f t="shared" si="1"/>
        <v>100</v>
      </c>
      <c r="V11" s="664" t="s">
        <v>14</v>
      </c>
      <c r="W11" s="665">
        <f t="shared" si="2"/>
        <v>100</v>
      </c>
      <c r="X11" s="666"/>
      <c r="Y11" s="329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3"/>
      <c r="Q12" s="530">
        <f t="shared" si="6"/>
        <v>111</v>
      </c>
      <c r="R12" s="664" t="s">
        <v>14</v>
      </c>
      <c r="S12" s="665">
        <f t="shared" si="0"/>
        <v>100</v>
      </c>
      <c r="T12" s="664" t="s">
        <v>14</v>
      </c>
      <c r="U12" s="665">
        <f t="shared" si="1"/>
        <v>100</v>
      </c>
      <c r="V12" s="664" t="s">
        <v>14</v>
      </c>
      <c r="W12" s="665">
        <f t="shared" si="2"/>
        <v>100</v>
      </c>
      <c r="X12" s="666"/>
      <c r="Y12" s="329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3"/>
      <c r="Q13" s="530">
        <f t="shared" si="6"/>
        <v>111</v>
      </c>
      <c r="R13" s="664" t="s">
        <v>14</v>
      </c>
      <c r="S13" s="665">
        <f t="shared" si="0"/>
        <v>100</v>
      </c>
      <c r="T13" s="664" t="s">
        <v>14</v>
      </c>
      <c r="U13" s="665">
        <f t="shared" si="1"/>
        <v>100</v>
      </c>
      <c r="V13" s="664" t="s">
        <v>14</v>
      </c>
      <c r="W13" s="665">
        <f t="shared" si="2"/>
        <v>100</v>
      </c>
      <c r="X13" s="666"/>
      <c r="Y13" s="3298"/>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5" t="s">
        <v>1691</v>
      </c>
      <c r="Q14" s="1263" t="str">
        <f t="shared" si="6"/>
        <v>交通便捷度</v>
      </c>
      <c r="R14" s="667" t="s">
        <v>14</v>
      </c>
      <c r="S14" s="668">
        <f t="shared" si="0"/>
        <v>100</v>
      </c>
      <c r="T14" s="667" t="s">
        <v>14</v>
      </c>
      <c r="U14" s="668">
        <f t="shared" si="1"/>
        <v>100</v>
      </c>
      <c r="V14" s="667" t="s">
        <v>14</v>
      </c>
      <c r="W14" s="668">
        <f t="shared" si="2"/>
        <v>100</v>
      </c>
      <c r="X14" s="1265"/>
      <c r="Y14" s="342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6"/>
      <c r="Q15" s="1263"/>
      <c r="R15" s="667"/>
      <c r="S15" s="668"/>
      <c r="T15" s="667"/>
      <c r="U15" s="668"/>
      <c r="V15" s="667"/>
      <c r="W15" s="668"/>
      <c r="X15" s="1265"/>
      <c r="Y15" s="342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6"/>
      <c r="Q17" s="1263"/>
      <c r="R17" s="667"/>
      <c r="S17" s="668"/>
      <c r="T17" s="667"/>
      <c r="U17" s="668"/>
      <c r="V17" s="667"/>
      <c r="W17" s="668"/>
      <c r="X17" s="1265"/>
      <c r="Y17" s="342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6"/>
      <c r="Q19" s="1263"/>
      <c r="R19" s="667"/>
      <c r="S19" s="668"/>
      <c r="T19" s="667"/>
      <c r="U19" s="668"/>
      <c r="V19" s="667"/>
      <c r="W19" s="668"/>
      <c r="X19" s="1265"/>
      <c r="Y19" s="342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6"/>
      <c r="Q21" s="1263"/>
      <c r="R21" s="667"/>
      <c r="S21" s="668"/>
      <c r="T21" s="667"/>
      <c r="U21" s="668"/>
      <c r="V21" s="667"/>
      <c r="W21" s="668"/>
      <c r="X21" s="1265"/>
      <c r="Y21" s="342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6"/>
      <c r="Q24" s="1263">
        <f t="shared" ref="Q24:Q34"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8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30"/>
      <c r="Q27" s="531" t="str">
        <f t="shared" si="11"/>
        <v>成新率</v>
      </c>
      <c r="R27" s="669" t="s">
        <v>14</v>
      </c>
      <c r="S27" s="670" t="e">
        <f t="shared" si="12"/>
        <v>#N/A</v>
      </c>
      <c r="T27" s="669" t="s">
        <v>14</v>
      </c>
      <c r="U27" s="670" t="e">
        <f t="shared" si="13"/>
        <v>#N/A</v>
      </c>
      <c r="V27" s="669" t="s">
        <v>14</v>
      </c>
      <c r="W27" s="670" t="e">
        <f t="shared" si="14"/>
        <v>#N/A</v>
      </c>
      <c r="X27" s="671"/>
      <c r="Y27" s="343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30"/>
      <c r="Q28" s="1263" t="str">
        <f t="shared" si="11"/>
        <v>物业等级</v>
      </c>
      <c r="R28" s="667" t="s">
        <v>14</v>
      </c>
      <c r="S28" s="668">
        <f t="shared" si="12"/>
        <v>100</v>
      </c>
      <c r="T28" s="667" t="s">
        <v>14</v>
      </c>
      <c r="U28" s="668">
        <f t="shared" si="13"/>
        <v>100</v>
      </c>
      <c r="V28" s="667" t="s">
        <v>14</v>
      </c>
      <c r="W28" s="668">
        <f t="shared" si="14"/>
        <v>100</v>
      </c>
      <c r="X28" s="1265"/>
      <c r="Y28" s="343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30"/>
      <c r="Q29" s="1263" t="str">
        <f t="shared" si="11"/>
        <v>有无电梯</v>
      </c>
      <c r="R29" s="667" t="s">
        <v>14</v>
      </c>
      <c r="S29" s="668">
        <f t="shared" si="12"/>
        <v>100</v>
      </c>
      <c r="T29" s="667" t="s">
        <v>14</v>
      </c>
      <c r="U29" s="668">
        <f t="shared" si="13"/>
        <v>100</v>
      </c>
      <c r="V29" s="667" t="s">
        <v>14</v>
      </c>
      <c r="W29" s="668">
        <f t="shared" si="14"/>
        <v>100</v>
      </c>
      <c r="X29" s="1265"/>
      <c r="Y29" s="343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30"/>
      <c r="Q30" s="1263" t="str">
        <f t="shared" si="11"/>
        <v>建筑面积</v>
      </c>
      <c r="R30" s="667" t="s">
        <v>14</v>
      </c>
      <c r="S30" s="668" t="e">
        <f t="shared" si="12"/>
        <v>#N/A</v>
      </c>
      <c r="T30" s="667" t="s">
        <v>14</v>
      </c>
      <c r="U30" s="668" t="e">
        <f t="shared" si="13"/>
        <v>#N/A</v>
      </c>
      <c r="V30" s="667" t="s">
        <v>14</v>
      </c>
      <c r="W30" s="668" t="e">
        <f t="shared" si="14"/>
        <v>#N/A</v>
      </c>
      <c r="X30" s="1265"/>
      <c r="Y30" s="343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30"/>
      <c r="Q31" s="530" t="str">
        <f t="shared" si="11"/>
        <v>是否封闭</v>
      </c>
      <c r="R31" s="664" t="s">
        <v>14</v>
      </c>
      <c r="S31" s="665">
        <f t="shared" si="12"/>
        <v>100</v>
      </c>
      <c r="T31" s="664" t="s">
        <v>14</v>
      </c>
      <c r="U31" s="665">
        <f t="shared" si="13"/>
        <v>100</v>
      </c>
      <c r="V31" s="664" t="s">
        <v>14</v>
      </c>
      <c r="W31" s="665">
        <f t="shared" si="14"/>
        <v>100</v>
      </c>
      <c r="X31" s="666"/>
      <c r="Y31" s="343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30" t="s">
        <v>1696</v>
      </c>
      <c r="Q32" s="1263">
        <f t="shared" si="11"/>
        <v>111</v>
      </c>
      <c r="R32" s="667" t="s">
        <v>14</v>
      </c>
      <c r="S32" s="668">
        <f t="shared" si="12"/>
        <v>100</v>
      </c>
      <c r="T32" s="667" t="s">
        <v>14</v>
      </c>
      <c r="U32" s="668">
        <f t="shared" si="13"/>
        <v>100</v>
      </c>
      <c r="V32" s="667" t="s">
        <v>14</v>
      </c>
      <c r="W32" s="668">
        <f t="shared" si="14"/>
        <v>100</v>
      </c>
      <c r="X32" s="1265"/>
      <c r="Y32" s="343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30"/>
      <c r="Q33" s="1263">
        <f t="shared" si="11"/>
        <v>111</v>
      </c>
      <c r="R33" s="667" t="s">
        <v>14</v>
      </c>
      <c r="S33" s="668">
        <f t="shared" si="12"/>
        <v>100</v>
      </c>
      <c r="T33" s="667" t="s">
        <v>14</v>
      </c>
      <c r="U33" s="668">
        <f t="shared" si="13"/>
        <v>100</v>
      </c>
      <c r="V33" s="667" t="s">
        <v>14</v>
      </c>
      <c r="W33" s="668">
        <f t="shared" si="14"/>
        <v>100</v>
      </c>
      <c r="X33" s="1265"/>
      <c r="Y33" s="343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30"/>
      <c r="Q34" s="1263">
        <f t="shared" si="11"/>
        <v>111</v>
      </c>
      <c r="R34" s="667" t="s">
        <v>14</v>
      </c>
      <c r="S34" s="668">
        <f t="shared" si="12"/>
        <v>100</v>
      </c>
      <c r="T34" s="667" t="s">
        <v>14</v>
      </c>
      <c r="U34" s="668">
        <f t="shared" si="13"/>
        <v>100</v>
      </c>
      <c r="V34" s="667" t="s">
        <v>14</v>
      </c>
      <c r="W34" s="668">
        <f t="shared" si="14"/>
        <v>100</v>
      </c>
      <c r="X34" s="1265"/>
      <c r="Y34" s="343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23" t="str">
        <f>A35</f>
        <v>成交单价（元/平方米）</v>
      </c>
      <c r="Q35" s="3423"/>
      <c r="R35" s="3424">
        <f>E35</f>
        <v>0</v>
      </c>
      <c r="S35" s="3424"/>
      <c r="T35" s="3424">
        <f>G35</f>
        <v>0</v>
      </c>
      <c r="U35" s="3424"/>
      <c r="V35" s="3424">
        <f>I35</f>
        <v>0</v>
      </c>
      <c r="W35" s="342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23" t="str">
        <f>A36</f>
        <v>比较价值（元/平方米）</v>
      </c>
      <c r="Q36" s="3423"/>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20" t="str">
        <f>A37</f>
        <v>估价对象XX用房的比较价值（楼面单价，元/平方米）</v>
      </c>
      <c r="Q37" s="3421"/>
      <c r="R37" s="3481" t="e">
        <f>IF(F1="售价",ROUND(IF(D36="简单平均",AVERAGE(R36:W36),R36*F36+T36*H36+V36*J36),0),ROUND(IF(D36="简单平均",AVERAGE(R36:V36),R36*F36+T36*H36+V36*J36),1))</f>
        <v>#DIV/0!</v>
      </c>
      <c r="S37" s="3481"/>
      <c r="T37" s="3481"/>
      <c r="U37" s="3481"/>
      <c r="V37" s="3481"/>
      <c r="W37" s="348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9" priority="13" stopIfTrue="1">
      <formula>$F$40="超过30%"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F7:F34 H7:H34 J7:J34">
    <cfRule type="cellIs" dxfId="46" priority="1" operator="notEqual">
      <formula>100</formula>
    </cfRule>
  </conditionalFormatting>
  <conditionalFormatting sqref="F36">
    <cfRule type="expression" dxfId="45" priority="4">
      <formula>$D$36="简单平均"</formula>
    </cfRule>
  </conditionalFormatting>
  <conditionalFormatting sqref="F40:F42 H40:H42 J40:J42">
    <cfRule type="containsText" dxfId="44" priority="14" stopIfTrue="1" operator="containsText" text="超过">
      <formula>NOT(ISERROR(SEARCH("超过",F40)))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G42">
    <cfRule type="expression" dxfId="41" priority="12" stopIfTrue="1">
      <formula>$H$54+$H$42="超过30%"</formula>
    </cfRule>
  </conditionalFormatting>
  <conditionalFormatting sqref="H36">
    <cfRule type="expression" dxfId="40" priority="3">
      <formula>$D$36="简单平均"</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J36">
    <cfRule type="expression" dxfId="36"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8" t="s">
        <v>1770</v>
      </c>
      <c r="D4" s="3439"/>
      <c r="E4" s="3440" t="s">
        <v>1771</v>
      </c>
      <c r="F4" s="3441"/>
      <c r="G4" s="3438" t="s">
        <v>1772</v>
      </c>
      <c r="H4" s="3439"/>
      <c r="I4" s="3438" t="s">
        <v>1773</v>
      </c>
      <c r="J4" s="3439"/>
      <c r="K4" s="537" t="s">
        <v>1774</v>
      </c>
      <c r="L4" s="2487"/>
      <c r="M4" s="2488"/>
      <c r="N4" s="2488"/>
      <c r="O4" s="2488"/>
      <c r="P4" s="3442" t="s">
        <v>1775</v>
      </c>
      <c r="Q4" s="3443"/>
      <c r="R4" s="3448" t="s">
        <v>1771</v>
      </c>
      <c r="S4" s="3449"/>
      <c r="T4" s="3448" t="s">
        <v>1772</v>
      </c>
      <c r="U4" s="3449"/>
      <c r="V4" s="3424" t="s">
        <v>1773</v>
      </c>
      <c r="W4" s="3424"/>
      <c r="X4" s="1265"/>
      <c r="Y4" s="3448" t="s">
        <v>1775</v>
      </c>
      <c r="Z4" s="3449"/>
      <c r="AA4" s="3435" t="s">
        <v>1771</v>
      </c>
      <c r="AB4" s="3436" t="s">
        <v>1772</v>
      </c>
      <c r="AC4" s="3435" t="s">
        <v>1773</v>
      </c>
    </row>
    <row r="5" spans="1:29" ht="15">
      <c r="A5" s="348"/>
      <c r="B5" s="349"/>
      <c r="C5" s="3456" t="s">
        <v>1673</v>
      </c>
      <c r="D5" s="3457"/>
      <c r="E5" s="3463" t="s">
        <v>1674</v>
      </c>
      <c r="F5" s="3464"/>
      <c r="G5" s="3456" t="s">
        <v>1675</v>
      </c>
      <c r="H5" s="3457"/>
      <c r="I5" s="3456" t="s">
        <v>1676</v>
      </c>
      <c r="J5" s="3457"/>
      <c r="K5" s="537"/>
      <c r="L5" s="2487"/>
      <c r="M5" s="2488"/>
      <c r="N5" s="2488"/>
      <c r="O5" s="2488"/>
      <c r="P5" s="3444"/>
      <c r="Q5" s="3445"/>
      <c r="R5" s="3450"/>
      <c r="S5" s="3451"/>
      <c r="T5" s="3450"/>
      <c r="U5" s="3451"/>
      <c r="V5" s="3424"/>
      <c r="W5" s="3424"/>
      <c r="X5" s="1265"/>
      <c r="Y5" s="3450"/>
      <c r="Z5" s="3451"/>
      <c r="AA5" s="3436"/>
      <c r="AB5" s="3436"/>
      <c r="AC5" s="3436"/>
    </row>
    <row r="6" spans="1:29" ht="15.75" thickBot="1">
      <c r="A6" s="350"/>
      <c r="B6" s="351"/>
      <c r="C6" s="3454" t="s">
        <v>1677</v>
      </c>
      <c r="D6" s="3455"/>
      <c r="E6" s="3461" t="s">
        <v>1677</v>
      </c>
      <c r="F6" s="3462"/>
      <c r="G6" s="3454" t="s">
        <v>1677</v>
      </c>
      <c r="H6" s="3455"/>
      <c r="I6" s="3454" t="s">
        <v>1677</v>
      </c>
      <c r="J6" s="3455"/>
      <c r="K6" s="537" t="s">
        <v>1678</v>
      </c>
      <c r="L6" s="2487"/>
      <c r="M6" s="2488"/>
      <c r="N6" s="2488"/>
      <c r="O6" s="2488"/>
      <c r="P6" s="3446"/>
      <c r="Q6" s="3447"/>
      <c r="R6" s="3450"/>
      <c r="S6" s="3451"/>
      <c r="T6" s="3452"/>
      <c r="U6" s="3453"/>
      <c r="V6" s="3424"/>
      <c r="W6" s="3424"/>
      <c r="X6" s="1265"/>
      <c r="Y6" s="3452"/>
      <c r="Z6" s="3453"/>
      <c r="AA6" s="3437"/>
      <c r="AB6" s="3437"/>
      <c r="AC6" s="3437"/>
    </row>
    <row r="7" spans="1:29" s="102" customFormat="1" ht="15.75" thickBot="1">
      <c r="A7" s="352" t="s">
        <v>1679</v>
      </c>
      <c r="B7" s="353"/>
      <c r="C7" s="354">
        <f>'数据-取费表'!B2</f>
        <v>46022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58" t="s">
        <v>1680</v>
      </c>
      <c r="Q7" s="3460"/>
      <c r="R7" s="664" t="s">
        <v>14</v>
      </c>
      <c r="S7" s="665">
        <f t="shared" ref="S7:S15" si="0">F7</f>
        <v>0</v>
      </c>
      <c r="T7" s="664" t="s">
        <v>14</v>
      </c>
      <c r="U7" s="665">
        <f t="shared" ref="U7:U15" si="1">H7</f>
        <v>0</v>
      </c>
      <c r="V7" s="664" t="s">
        <v>14</v>
      </c>
      <c r="W7" s="665">
        <f t="shared" ref="W7:W15" si="2">J7</f>
        <v>0</v>
      </c>
      <c r="X7" s="666"/>
      <c r="Y7" s="3458" t="s">
        <v>1680</v>
      </c>
      <c r="Z7" s="345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58" t="s">
        <v>1683</v>
      </c>
      <c r="Q8" s="3459"/>
      <c r="R8" s="664" t="s">
        <v>14</v>
      </c>
      <c r="S8" s="665">
        <f t="shared" si="0"/>
        <v>0</v>
      </c>
      <c r="T8" s="664" t="s">
        <v>14</v>
      </c>
      <c r="U8" s="665">
        <f t="shared" si="1"/>
        <v>0</v>
      </c>
      <c r="V8" s="664" t="s">
        <v>14</v>
      </c>
      <c r="W8" s="665">
        <f t="shared" si="2"/>
        <v>0</v>
      </c>
      <c r="X8" s="666"/>
      <c r="Y8" s="3458" t="s">
        <v>1683</v>
      </c>
      <c r="Z8" s="345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3" t="s">
        <v>1686</v>
      </c>
      <c r="Q9" s="530" t="str">
        <f t="shared" ref="Q9:Q15" si="6">B9</f>
        <v>用途</v>
      </c>
      <c r="R9" s="664" t="s">
        <v>14</v>
      </c>
      <c r="S9" s="665">
        <f t="shared" si="0"/>
        <v>100</v>
      </c>
      <c r="T9" s="664" t="s">
        <v>14</v>
      </c>
      <c r="U9" s="665">
        <f t="shared" si="1"/>
        <v>100</v>
      </c>
      <c r="V9" s="664" t="s">
        <v>14</v>
      </c>
      <c r="W9" s="665">
        <f t="shared" si="2"/>
        <v>100</v>
      </c>
      <c r="X9" s="666"/>
      <c r="Y9" s="329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2"/>
      <c r="L10" s="2490"/>
      <c r="M10" s="2491"/>
      <c r="N10" s="2491"/>
      <c r="O10" s="2542"/>
      <c r="P10" s="3423"/>
      <c r="Q10" s="530" t="str">
        <f t="shared" si="6"/>
        <v>土地使用年限（年）</v>
      </c>
      <c r="R10" s="664" t="s">
        <v>14</v>
      </c>
      <c r="S10" s="665">
        <f t="shared" si="0"/>
        <v>101</v>
      </c>
      <c r="T10" s="664" t="s">
        <v>14</v>
      </c>
      <c r="U10" s="665">
        <f t="shared" si="1"/>
        <v>101</v>
      </c>
      <c r="V10" s="664" t="s">
        <v>14</v>
      </c>
      <c r="W10" s="665">
        <f t="shared" si="2"/>
        <v>101</v>
      </c>
      <c r="X10" s="666"/>
      <c r="Y10" s="3298"/>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3"/>
      <c r="Q11" s="530" t="str">
        <f t="shared" si="6"/>
        <v>容积率</v>
      </c>
      <c r="R11" s="664" t="s">
        <v>14</v>
      </c>
      <c r="S11" s="665" t="e">
        <f t="shared" si="0"/>
        <v>#N/A</v>
      </c>
      <c r="T11" s="664" t="s">
        <v>14</v>
      </c>
      <c r="U11" s="665" t="e">
        <f t="shared" si="1"/>
        <v>#N/A</v>
      </c>
      <c r="V11" s="664" t="s">
        <v>14</v>
      </c>
      <c r="W11" s="665" t="e">
        <f t="shared" si="2"/>
        <v>#N/A</v>
      </c>
      <c r="X11" s="666"/>
      <c r="Y11" s="329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3"/>
      <c r="Q12" s="530" t="str">
        <f t="shared" si="6"/>
        <v>配建</v>
      </c>
      <c r="R12" s="664" t="s">
        <v>14</v>
      </c>
      <c r="S12" s="665">
        <f t="shared" si="0"/>
        <v>100</v>
      </c>
      <c r="T12" s="664" t="s">
        <v>14</v>
      </c>
      <c r="U12" s="665">
        <f t="shared" si="1"/>
        <v>100</v>
      </c>
      <c r="V12" s="664" t="s">
        <v>14</v>
      </c>
      <c r="W12" s="665">
        <f t="shared" si="2"/>
        <v>100</v>
      </c>
      <c r="X12" s="666"/>
      <c r="Y12" s="329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3"/>
      <c r="Q13" s="530">
        <f t="shared" si="6"/>
        <v>111</v>
      </c>
      <c r="R13" s="664" t="s">
        <v>14</v>
      </c>
      <c r="S13" s="665">
        <f t="shared" si="0"/>
        <v>100</v>
      </c>
      <c r="T13" s="664" t="s">
        <v>14</v>
      </c>
      <c r="U13" s="665">
        <f t="shared" si="1"/>
        <v>100</v>
      </c>
      <c r="V13" s="664" t="s">
        <v>14</v>
      </c>
      <c r="W13" s="665">
        <f t="shared" si="2"/>
        <v>100</v>
      </c>
      <c r="X13" s="666"/>
      <c r="Y13" s="329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3"/>
      <c r="Q14" s="530">
        <f t="shared" si="6"/>
        <v>111</v>
      </c>
      <c r="R14" s="664" t="s">
        <v>14</v>
      </c>
      <c r="S14" s="665">
        <f t="shared" si="0"/>
        <v>100</v>
      </c>
      <c r="T14" s="664" t="s">
        <v>14</v>
      </c>
      <c r="U14" s="665">
        <f t="shared" si="1"/>
        <v>100</v>
      </c>
      <c r="V14" s="664" t="s">
        <v>14</v>
      </c>
      <c r="W14" s="665">
        <f t="shared" si="2"/>
        <v>100</v>
      </c>
      <c r="X14" s="666"/>
      <c r="Y14" s="3298"/>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5" t="s">
        <v>1691</v>
      </c>
      <c r="Q15" s="1263" t="str">
        <f t="shared" si="6"/>
        <v>居住社区成熟度</v>
      </c>
      <c r="R15" s="667" t="s">
        <v>14</v>
      </c>
      <c r="S15" s="668">
        <f t="shared" si="0"/>
        <v>100</v>
      </c>
      <c r="T15" s="667" t="s">
        <v>14</v>
      </c>
      <c r="U15" s="668">
        <f t="shared" si="1"/>
        <v>100</v>
      </c>
      <c r="V15" s="667" t="s">
        <v>14</v>
      </c>
      <c r="W15" s="668">
        <f t="shared" si="2"/>
        <v>100</v>
      </c>
      <c r="X15" s="1265"/>
      <c r="Y15" s="342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6"/>
      <c r="Q16" s="1263"/>
      <c r="R16" s="667"/>
      <c r="S16" s="668"/>
      <c r="T16" s="667"/>
      <c r="U16" s="668"/>
      <c r="V16" s="667"/>
      <c r="W16" s="668"/>
      <c r="X16" s="1265"/>
      <c r="Y16" s="342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6"/>
      <c r="Q17" s="1263" t="str">
        <f>B17</f>
        <v>商业繁华度</v>
      </c>
      <c r="R17" s="667" t="s">
        <v>14</v>
      </c>
      <c r="S17" s="668">
        <f>F17</f>
        <v>100</v>
      </c>
      <c r="T17" s="667" t="s">
        <v>14</v>
      </c>
      <c r="U17" s="668">
        <f>H17</f>
        <v>100</v>
      </c>
      <c r="V17" s="667" t="s">
        <v>14</v>
      </c>
      <c r="W17" s="668">
        <f>J17</f>
        <v>100</v>
      </c>
      <c r="X17" s="1265"/>
      <c r="Y17" s="342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6"/>
      <c r="Q18" s="1263"/>
      <c r="R18" s="667"/>
      <c r="S18" s="668"/>
      <c r="T18" s="667"/>
      <c r="U18" s="668"/>
      <c r="V18" s="667"/>
      <c r="W18" s="668"/>
      <c r="X18" s="1265"/>
      <c r="Y18" s="342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6"/>
      <c r="Q19" s="1263" t="str">
        <f>B19</f>
        <v>办公集聚程度</v>
      </c>
      <c r="R19" s="667" t="s">
        <v>14</v>
      </c>
      <c r="S19" s="668">
        <f>F19</f>
        <v>100</v>
      </c>
      <c r="T19" s="667" t="s">
        <v>14</v>
      </c>
      <c r="U19" s="668">
        <f>H19</f>
        <v>100</v>
      </c>
      <c r="V19" s="667" t="s">
        <v>14</v>
      </c>
      <c r="W19" s="668">
        <f>J19</f>
        <v>100</v>
      </c>
      <c r="X19" s="1265"/>
      <c r="Y19" s="342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6"/>
      <c r="Q20" s="1263"/>
      <c r="R20" s="667"/>
      <c r="S20" s="668"/>
      <c r="T20" s="667"/>
      <c r="U20" s="668"/>
      <c r="V20" s="667"/>
      <c r="W20" s="668"/>
      <c r="X20" s="1265"/>
      <c r="Y20" s="342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6"/>
      <c r="Q21" s="1263" t="str">
        <f>B21</f>
        <v>交通便捷度</v>
      </c>
      <c r="R21" s="667" t="s">
        <v>14</v>
      </c>
      <c r="S21" s="668">
        <f>F21</f>
        <v>100</v>
      </c>
      <c r="T21" s="667" t="s">
        <v>14</v>
      </c>
      <c r="U21" s="668">
        <f>H21</f>
        <v>100</v>
      </c>
      <c r="V21" s="667" t="s">
        <v>14</v>
      </c>
      <c r="W21" s="668">
        <f>J21</f>
        <v>100</v>
      </c>
      <c r="X21" s="1265"/>
      <c r="Y21" s="342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6"/>
      <c r="Q22" s="1263"/>
      <c r="R22" s="667"/>
      <c r="S22" s="668"/>
      <c r="T22" s="667"/>
      <c r="U22" s="668"/>
      <c r="V22" s="667"/>
      <c r="W22" s="668"/>
      <c r="X22" s="1265"/>
      <c r="Y22" s="342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6"/>
      <c r="Q23" s="1263" t="str">
        <f t="shared" ref="Q23:Q37" si="8">B23</f>
        <v>区域土地利用方向</v>
      </c>
      <c r="R23" s="667" t="s">
        <v>14</v>
      </c>
      <c r="S23" s="668">
        <f>F23</f>
        <v>100</v>
      </c>
      <c r="T23" s="667" t="s">
        <v>14</v>
      </c>
      <c r="U23" s="668">
        <f>H23</f>
        <v>100</v>
      </c>
      <c r="V23" s="667" t="s">
        <v>14</v>
      </c>
      <c r="W23" s="668">
        <f>J23</f>
        <v>100</v>
      </c>
      <c r="X23" s="1265"/>
      <c r="Y23" s="342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6"/>
      <c r="Q24" s="1263"/>
      <c r="R24" s="667"/>
      <c r="S24" s="668"/>
      <c r="T24" s="667"/>
      <c r="U24" s="668"/>
      <c r="V24" s="667"/>
      <c r="W24" s="668"/>
      <c r="X24" s="1265"/>
      <c r="Y24" s="3426"/>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6"/>
      <c r="Q25" s="1263" t="str">
        <f t="shared" si="8"/>
        <v>自然及人文环境状况</v>
      </c>
      <c r="R25" s="667" t="s">
        <v>14</v>
      </c>
      <c r="S25" s="668">
        <f>F25</f>
        <v>100</v>
      </c>
      <c r="T25" s="667" t="s">
        <v>14</v>
      </c>
      <c r="U25" s="668">
        <f>H25</f>
        <v>100</v>
      </c>
      <c r="V25" s="667" t="s">
        <v>14</v>
      </c>
      <c r="W25" s="668">
        <f>J25</f>
        <v>100</v>
      </c>
      <c r="X25" s="1265"/>
      <c r="Y25" s="342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6"/>
      <c r="Q26" s="1263"/>
      <c r="R26" s="667"/>
      <c r="S26" s="668"/>
      <c r="T26" s="667"/>
      <c r="U26" s="668"/>
      <c r="V26" s="667"/>
      <c r="W26" s="668"/>
      <c r="X26" s="1265"/>
      <c r="Y26" s="342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6"/>
      <c r="Q27" s="530" t="str">
        <f t="shared" si="8"/>
        <v>公共配套设施</v>
      </c>
      <c r="R27" s="664" t="s">
        <v>14</v>
      </c>
      <c r="S27" s="665">
        <f>F27</f>
        <v>100</v>
      </c>
      <c r="T27" s="664" t="s">
        <v>14</v>
      </c>
      <c r="U27" s="665">
        <f>H27</f>
        <v>100</v>
      </c>
      <c r="V27" s="664" t="s">
        <v>14</v>
      </c>
      <c r="W27" s="665">
        <f>J27</f>
        <v>100</v>
      </c>
      <c r="X27" s="666"/>
      <c r="Y27" s="342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6"/>
      <c r="Q28" s="530"/>
      <c r="R28" s="664"/>
      <c r="S28" s="665"/>
      <c r="T28" s="664"/>
      <c r="U28" s="665"/>
      <c r="V28" s="664"/>
      <c r="W28" s="665"/>
      <c r="X28" s="666"/>
      <c r="Y28" s="342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6"/>
      <c r="Q29" s="530" t="str">
        <f t="shared" ref="Q29" si="9">B29</f>
        <v>基础设施水平</v>
      </c>
      <c r="R29" s="664" t="s">
        <v>14</v>
      </c>
      <c r="S29" s="665">
        <f>F29</f>
        <v>100</v>
      </c>
      <c r="T29" s="664" t="s">
        <v>14</v>
      </c>
      <c r="U29" s="665">
        <f>H29</f>
        <v>100</v>
      </c>
      <c r="V29" s="664" t="s">
        <v>14</v>
      </c>
      <c r="W29" s="665">
        <f>J29</f>
        <v>100</v>
      </c>
      <c r="X29" s="666"/>
      <c r="Y29" s="342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6"/>
      <c r="Q30" s="530"/>
      <c r="R30" s="664"/>
      <c r="S30" s="665"/>
      <c r="T30" s="664"/>
      <c r="U30" s="665"/>
      <c r="V30" s="664"/>
      <c r="W30" s="665"/>
      <c r="X30" s="666"/>
      <c r="Y30" s="342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6"/>
      <c r="Q32" s="1263" t="str">
        <f t="shared" si="8"/>
        <v>毗邻道路的类型与等级</v>
      </c>
      <c r="R32" s="667" t="s">
        <v>14</v>
      </c>
      <c r="S32" s="668">
        <f t="shared" si="10"/>
        <v>100</v>
      </c>
      <c r="T32" s="667" t="s">
        <v>14</v>
      </c>
      <c r="U32" s="668">
        <f t="shared" si="11"/>
        <v>100</v>
      </c>
      <c r="V32" s="667" t="s">
        <v>14</v>
      </c>
      <c r="W32" s="668">
        <f t="shared" si="12"/>
        <v>100</v>
      </c>
      <c r="X32" s="1265"/>
      <c r="Y32" s="342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6"/>
      <c r="Q33" s="1263"/>
      <c r="R33" s="667"/>
      <c r="S33" s="668"/>
      <c r="T33" s="667"/>
      <c r="U33" s="668"/>
      <c r="V33" s="667"/>
      <c r="W33" s="668"/>
      <c r="X33" s="1265"/>
      <c r="Y33" s="342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6"/>
      <c r="Q34" s="1263" t="str">
        <f t="shared" si="8"/>
        <v>土地级别</v>
      </c>
      <c r="R34" s="667" t="s">
        <v>14</v>
      </c>
      <c r="S34" s="668">
        <f t="shared" si="10"/>
        <v>100</v>
      </c>
      <c r="T34" s="667" t="s">
        <v>14</v>
      </c>
      <c r="U34" s="668">
        <f t="shared" si="11"/>
        <v>100</v>
      </c>
      <c r="V34" s="667" t="s">
        <v>14</v>
      </c>
      <c r="W34" s="668">
        <f t="shared" si="12"/>
        <v>100</v>
      </c>
      <c r="X34" s="1265"/>
      <c r="Y34" s="342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6"/>
      <c r="Q35" s="1263">
        <f t="shared" si="8"/>
        <v>111</v>
      </c>
      <c r="R35" s="667" t="s">
        <v>14</v>
      </c>
      <c r="S35" s="668">
        <f t="shared" si="10"/>
        <v>100</v>
      </c>
      <c r="T35" s="667" t="s">
        <v>14</v>
      </c>
      <c r="U35" s="668">
        <f t="shared" si="11"/>
        <v>100</v>
      </c>
      <c r="V35" s="667" t="s">
        <v>14</v>
      </c>
      <c r="W35" s="668">
        <f t="shared" si="12"/>
        <v>100</v>
      </c>
      <c r="X35" s="1265"/>
      <c r="Y35" s="342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80" t="s">
        <v>1696</v>
      </c>
      <c r="Q36" s="1263">
        <f t="shared" si="8"/>
        <v>111</v>
      </c>
      <c r="R36" s="667" t="s">
        <v>14</v>
      </c>
      <c r="S36" s="668">
        <f t="shared" si="10"/>
        <v>100</v>
      </c>
      <c r="T36" s="667" t="s">
        <v>14</v>
      </c>
      <c r="U36" s="668">
        <f t="shared" si="11"/>
        <v>100</v>
      </c>
      <c r="V36" s="667" t="s">
        <v>14</v>
      </c>
      <c r="W36" s="668">
        <f t="shared" si="12"/>
        <v>100</v>
      </c>
      <c r="X36" s="1265"/>
      <c r="Y36" s="343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30"/>
      <c r="Q37" s="1263">
        <f t="shared" si="8"/>
        <v>111</v>
      </c>
      <c r="R37" s="669" t="s">
        <v>14</v>
      </c>
      <c r="S37" s="670">
        <f t="shared" si="10"/>
        <v>100</v>
      </c>
      <c r="T37" s="669" t="s">
        <v>14</v>
      </c>
      <c r="U37" s="670">
        <f t="shared" si="11"/>
        <v>100</v>
      </c>
      <c r="V37" s="669" t="s">
        <v>14</v>
      </c>
      <c r="W37" s="670">
        <f t="shared" si="12"/>
        <v>100</v>
      </c>
      <c r="X37" s="671"/>
      <c r="Y37" s="343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30"/>
      <c r="Q38" s="1263" t="str">
        <f>B38</f>
        <v>宗地面积</v>
      </c>
      <c r="R38" s="667" t="s">
        <v>14</v>
      </c>
      <c r="S38" s="668" t="e">
        <f t="shared" si="10"/>
        <v>#N/A</v>
      </c>
      <c r="T38" s="667" t="s">
        <v>14</v>
      </c>
      <c r="U38" s="668" t="e">
        <f t="shared" si="11"/>
        <v>#N/A</v>
      </c>
      <c r="V38" s="667" t="s">
        <v>14</v>
      </c>
      <c r="W38" s="668" t="e">
        <f t="shared" si="12"/>
        <v>#N/A</v>
      </c>
      <c r="X38" s="1265"/>
      <c r="Y38" s="343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30"/>
      <c r="Q39" s="1263" t="str">
        <f t="shared" ref="Q39:Q45" si="14">B39</f>
        <v>宗地形状</v>
      </c>
      <c r="R39" s="667" t="s">
        <v>14</v>
      </c>
      <c r="S39" s="668">
        <f t="shared" si="10"/>
        <v>100</v>
      </c>
      <c r="T39" s="667" t="s">
        <v>14</v>
      </c>
      <c r="U39" s="668">
        <f t="shared" si="11"/>
        <v>100</v>
      </c>
      <c r="V39" s="667" t="s">
        <v>14</v>
      </c>
      <c r="W39" s="668">
        <f t="shared" si="12"/>
        <v>100</v>
      </c>
      <c r="X39" s="1265"/>
      <c r="Y39" s="343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30"/>
      <c r="Q40" s="1263" t="str">
        <f t="shared" si="14"/>
        <v>临街宽度及深度</v>
      </c>
      <c r="R40" s="667" t="s">
        <v>14</v>
      </c>
      <c r="S40" s="668">
        <f t="shared" si="10"/>
        <v>100</v>
      </c>
      <c r="T40" s="667" t="s">
        <v>14</v>
      </c>
      <c r="U40" s="668">
        <f t="shared" si="11"/>
        <v>100</v>
      </c>
      <c r="V40" s="667" t="s">
        <v>14</v>
      </c>
      <c r="W40" s="668">
        <f t="shared" si="12"/>
        <v>100</v>
      </c>
      <c r="X40" s="1265"/>
      <c r="Y40" s="343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30"/>
      <c r="Q41" s="1263" t="str">
        <f t="shared" si="14"/>
        <v>宗地开发程度</v>
      </c>
      <c r="R41" s="664" t="s">
        <v>14</v>
      </c>
      <c r="S41" s="665">
        <f t="shared" si="10"/>
        <v>100</v>
      </c>
      <c r="T41" s="664" t="s">
        <v>14</v>
      </c>
      <c r="U41" s="665">
        <f t="shared" si="11"/>
        <v>100</v>
      </c>
      <c r="V41" s="664" t="s">
        <v>14</v>
      </c>
      <c r="W41" s="665">
        <f t="shared" si="12"/>
        <v>100</v>
      </c>
      <c r="X41" s="666"/>
      <c r="Y41" s="343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30" t="s">
        <v>1696</v>
      </c>
      <c r="Q42" s="1263" t="str">
        <f t="shared" si="14"/>
        <v>工程地质条件</v>
      </c>
      <c r="R42" s="667" t="s">
        <v>14</v>
      </c>
      <c r="S42" s="668">
        <f t="shared" si="10"/>
        <v>100</v>
      </c>
      <c r="T42" s="667" t="s">
        <v>14</v>
      </c>
      <c r="U42" s="668">
        <f t="shared" si="11"/>
        <v>100</v>
      </c>
      <c r="V42" s="667" t="s">
        <v>14</v>
      </c>
      <c r="W42" s="668">
        <f t="shared" si="12"/>
        <v>100</v>
      </c>
      <c r="X42" s="1265"/>
      <c r="Y42" s="343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30"/>
      <c r="Q43" s="1263">
        <f t="shared" si="14"/>
        <v>111</v>
      </c>
      <c r="R43" s="667" t="s">
        <v>14</v>
      </c>
      <c r="S43" s="668">
        <f t="shared" si="10"/>
        <v>100</v>
      </c>
      <c r="T43" s="667" t="s">
        <v>14</v>
      </c>
      <c r="U43" s="668">
        <f t="shared" si="11"/>
        <v>100</v>
      </c>
      <c r="V43" s="667" t="s">
        <v>14</v>
      </c>
      <c r="W43" s="668">
        <f t="shared" si="12"/>
        <v>100</v>
      </c>
      <c r="X43" s="1265"/>
      <c r="Y43" s="343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30"/>
      <c r="Q44" s="1263">
        <f t="shared" si="14"/>
        <v>111</v>
      </c>
      <c r="R44" s="667" t="s">
        <v>14</v>
      </c>
      <c r="S44" s="668">
        <f t="shared" si="10"/>
        <v>100</v>
      </c>
      <c r="T44" s="667" t="s">
        <v>14</v>
      </c>
      <c r="U44" s="668">
        <f t="shared" si="11"/>
        <v>100</v>
      </c>
      <c r="V44" s="667" t="s">
        <v>14</v>
      </c>
      <c r="W44" s="668">
        <f t="shared" si="12"/>
        <v>100</v>
      </c>
      <c r="X44" s="1265"/>
      <c r="Y44" s="343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30"/>
      <c r="Q45" s="1263">
        <f t="shared" si="14"/>
        <v>111</v>
      </c>
      <c r="R45" s="669" t="s">
        <v>14</v>
      </c>
      <c r="S45" s="670">
        <f t="shared" si="10"/>
        <v>100</v>
      </c>
      <c r="T45" s="669" t="s">
        <v>14</v>
      </c>
      <c r="U45" s="670">
        <f t="shared" si="11"/>
        <v>100</v>
      </c>
      <c r="V45" s="669" t="s">
        <v>14</v>
      </c>
      <c r="W45" s="670">
        <f t="shared" si="12"/>
        <v>100</v>
      </c>
      <c r="X45" s="671"/>
      <c r="Y45" s="343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23" t="str">
        <f>A46</f>
        <v>成交单价</v>
      </c>
      <c r="Q46" s="3423"/>
      <c r="R46" s="3424">
        <f>E46</f>
        <v>0</v>
      </c>
      <c r="S46" s="3424"/>
      <c r="T46" s="3424">
        <f>G46</f>
        <v>0</v>
      </c>
      <c r="U46" s="3424"/>
      <c r="V46" s="3424">
        <f>I46</f>
        <v>0</v>
      </c>
      <c r="W46" s="342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23" t="str">
        <f>A47</f>
        <v>比较价值（元/平方米）</v>
      </c>
      <c r="Q47" s="3423"/>
      <c r="R47" s="3482" t="e">
        <f>ROUND(PRODUCT(R46,AA7:AA45),0)</f>
        <v>#DIV/0!</v>
      </c>
      <c r="S47" s="3482"/>
      <c r="T47" s="3482" t="e">
        <f>ROUND(PRODUCT(T46,AB7:AB45),0)</f>
        <v>#DIV/0!</v>
      </c>
      <c r="U47" s="3482"/>
      <c r="V47" s="3482" t="e">
        <f>ROUND(PRODUCT(V46,AC7:AC45),0)</f>
        <v>#DIV/0!</v>
      </c>
      <c r="W47" s="348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20" t="str">
        <f>A48</f>
        <v>估价对象XX用房的比较价值（楼面单价，元/平方米）</v>
      </c>
      <c r="Q48" s="3421"/>
      <c r="R48" s="3483" t="e">
        <f>ROUND(IF(D47="简单平均",AVERAGE(R47:W47),R47*F47+T47*H47+V47*J47),0)</f>
        <v>#DIV/0!</v>
      </c>
      <c r="S48" s="3483"/>
      <c r="T48" s="3483"/>
      <c r="U48" s="3483"/>
      <c r="V48" s="3483"/>
      <c r="W48" s="348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38" t="s">
        <v>1887</v>
      </c>
      <c r="H55" s="348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8908.0000000000018</v>
      </c>
      <c r="F56" s="833" t="e">
        <f t="shared" ref="F56:F64" si="15">ROUND(B56*E56/10000,0)</f>
        <v>#DIV/0!</v>
      </c>
      <c r="G56" s="3434"/>
      <c r="H56" s="342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0.1</v>
      </c>
      <c r="D62" s="891">
        <v>0.25</v>
      </c>
      <c r="E62" s="209">
        <f>'数据-汇总表'!E13</f>
        <v>0</v>
      </c>
      <c r="F62" s="833" t="e">
        <f t="shared" si="15"/>
        <v>#DIV/0!</v>
      </c>
      <c r="G62" s="839" t="s">
        <v>1900</v>
      </c>
      <c r="H62" s="834" t="str">
        <f>IF(G62="商业",项目基本情况!B37,IF(G62="办公",项目基本情况!C37,IF(G62="住宅",项目基本情况!D37,项目基本情况!E37)))</f>
        <v>九级</v>
      </c>
      <c r="I62" s="838">
        <f>SUMIF(修正!A59:A70,H62,修正!G59:G70)</f>
        <v>0.1</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8908.0000000000018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5" priority="13" stopIfTrue="1">
      <formula>$F$51="超过30%"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F7:F45 H7:H45 J7:J45">
    <cfRule type="cellIs" dxfId="32" priority="1" operator="notEqual">
      <formula>100</formula>
    </cfRule>
  </conditionalFormatting>
  <conditionalFormatting sqref="F47">
    <cfRule type="expression" dxfId="31" priority="4">
      <formula>$D$47="简单平均"</formula>
    </cfRule>
  </conditionalFormatting>
  <conditionalFormatting sqref="F51:F53 H51:H53 J51:J53">
    <cfRule type="containsText" dxfId="30" priority="14" stopIfTrue="1" operator="containsText" text="超过">
      <formula>NOT(ISERROR(SEARCH("超过",F51)))</formula>
    </cfRule>
  </conditionalFormatting>
  <conditionalFormatting sqref="G51">
    <cfRule type="expression" dxfId="29" priority="9" stopIfTrue="1">
      <formula>$H$53+$H$51="超过30%"</formula>
    </cfRule>
  </conditionalFormatting>
  <conditionalFormatting sqref="G52">
    <cfRule type="expression" dxfId="28" priority="8" stopIfTrue="1">
      <formula>$H$52="超过20%"</formula>
    </cfRule>
  </conditionalFormatting>
  <conditionalFormatting sqref="G53">
    <cfRule type="expression" dxfId="27" priority="12" stopIfTrue="1">
      <formula>$H$53="超过30%"</formula>
    </cfRule>
  </conditionalFormatting>
  <conditionalFormatting sqref="H47">
    <cfRule type="expression" dxfId="26" priority="3">
      <formula>$D$47="简单平均"</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J47">
    <cfRule type="expression" dxfId="22"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8" t="s">
        <v>1770</v>
      </c>
      <c r="D4" s="3439"/>
      <c r="E4" s="3440" t="s">
        <v>1771</v>
      </c>
      <c r="F4" s="3441"/>
      <c r="G4" s="3438" t="s">
        <v>1772</v>
      </c>
      <c r="H4" s="3439"/>
      <c r="I4" s="3438" t="s">
        <v>1773</v>
      </c>
      <c r="J4" s="3439"/>
      <c r="K4" s="537" t="s">
        <v>1774</v>
      </c>
      <c r="L4" s="2487"/>
      <c r="M4" s="2488"/>
      <c r="N4" s="2488"/>
      <c r="O4" s="2488"/>
      <c r="P4" s="3442" t="s">
        <v>1775</v>
      </c>
      <c r="Q4" s="3443"/>
      <c r="R4" s="3448" t="s">
        <v>1771</v>
      </c>
      <c r="S4" s="3449"/>
      <c r="T4" s="3448" t="s">
        <v>1772</v>
      </c>
      <c r="U4" s="3449"/>
      <c r="V4" s="3424" t="s">
        <v>1773</v>
      </c>
      <c r="W4" s="3424"/>
      <c r="X4" s="1265"/>
      <c r="Y4" s="3448" t="s">
        <v>1775</v>
      </c>
      <c r="Z4" s="3449"/>
      <c r="AA4" s="3435" t="s">
        <v>1771</v>
      </c>
      <c r="AB4" s="3436" t="s">
        <v>1772</v>
      </c>
      <c r="AC4" s="3435" t="s">
        <v>1773</v>
      </c>
    </row>
    <row r="5" spans="1:29" ht="15">
      <c r="A5" s="348"/>
      <c r="B5" s="349"/>
      <c r="C5" s="3456" t="s">
        <v>1673</v>
      </c>
      <c r="D5" s="3457"/>
      <c r="E5" s="3463" t="s">
        <v>1674</v>
      </c>
      <c r="F5" s="3464"/>
      <c r="G5" s="3456" t="s">
        <v>1675</v>
      </c>
      <c r="H5" s="3457"/>
      <c r="I5" s="3456" t="s">
        <v>1676</v>
      </c>
      <c r="J5" s="3457"/>
      <c r="K5" s="537"/>
      <c r="L5" s="2487"/>
      <c r="M5" s="2488"/>
      <c r="N5" s="2488"/>
      <c r="O5" s="2488"/>
      <c r="P5" s="3444"/>
      <c r="Q5" s="3445"/>
      <c r="R5" s="3450"/>
      <c r="S5" s="3451"/>
      <c r="T5" s="3450"/>
      <c r="U5" s="3451"/>
      <c r="V5" s="3424"/>
      <c r="W5" s="3424"/>
      <c r="X5" s="1265"/>
      <c r="Y5" s="3450"/>
      <c r="Z5" s="3451"/>
      <c r="AA5" s="3436"/>
      <c r="AB5" s="3436"/>
      <c r="AC5" s="3436"/>
    </row>
    <row r="6" spans="1:29" ht="15.75" thickBot="1">
      <c r="A6" s="350"/>
      <c r="B6" s="351"/>
      <c r="C6" s="3485" t="s">
        <v>1919</v>
      </c>
      <c r="D6" s="3486"/>
      <c r="E6" s="3487" t="s">
        <v>1919</v>
      </c>
      <c r="F6" s="3488"/>
      <c r="G6" s="3485" t="s">
        <v>1919</v>
      </c>
      <c r="H6" s="3486"/>
      <c r="I6" s="3485" t="s">
        <v>1919</v>
      </c>
      <c r="J6" s="3486"/>
      <c r="K6" s="537" t="s">
        <v>1678</v>
      </c>
      <c r="L6" s="2487"/>
      <c r="M6" s="2488"/>
      <c r="N6" s="2488"/>
      <c r="O6" s="2488"/>
      <c r="P6" s="3446"/>
      <c r="Q6" s="3447"/>
      <c r="R6" s="3450"/>
      <c r="S6" s="3451"/>
      <c r="T6" s="3452"/>
      <c r="U6" s="3453"/>
      <c r="V6" s="3424"/>
      <c r="W6" s="3424"/>
      <c r="X6" s="1265"/>
      <c r="Y6" s="3452"/>
      <c r="Z6" s="3453"/>
      <c r="AA6" s="3437"/>
      <c r="AB6" s="3437"/>
      <c r="AC6" s="3437"/>
    </row>
    <row r="7" spans="1:29" s="102" customFormat="1" ht="15.75" thickBot="1">
      <c r="A7" s="352" t="s">
        <v>1679</v>
      </c>
      <c r="B7" s="353"/>
      <c r="C7" s="354">
        <f>'数据-取费表'!B2</f>
        <v>46022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58" t="s">
        <v>1680</v>
      </c>
      <c r="Q7" s="3460"/>
      <c r="R7" s="664" t="s">
        <v>14</v>
      </c>
      <c r="S7" s="665">
        <f t="shared" ref="S7:S15" si="0">F7</f>
        <v>0</v>
      </c>
      <c r="T7" s="664" t="s">
        <v>14</v>
      </c>
      <c r="U7" s="665">
        <f t="shared" ref="U7:U15" si="1">H7</f>
        <v>0</v>
      </c>
      <c r="V7" s="664" t="s">
        <v>14</v>
      </c>
      <c r="W7" s="665">
        <f t="shared" ref="W7:W15" si="2">J7</f>
        <v>0</v>
      </c>
      <c r="X7" s="666"/>
      <c r="Y7" s="3458" t="s">
        <v>1680</v>
      </c>
      <c r="Z7" s="345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58" t="s">
        <v>1683</v>
      </c>
      <c r="Q8" s="3459"/>
      <c r="R8" s="664" t="s">
        <v>14</v>
      </c>
      <c r="S8" s="665">
        <f t="shared" si="0"/>
        <v>0</v>
      </c>
      <c r="T8" s="664" t="s">
        <v>14</v>
      </c>
      <c r="U8" s="665">
        <f t="shared" si="1"/>
        <v>0</v>
      </c>
      <c r="V8" s="664" t="s">
        <v>14</v>
      </c>
      <c r="W8" s="665">
        <f t="shared" si="2"/>
        <v>0</v>
      </c>
      <c r="X8" s="666"/>
      <c r="Y8" s="3458" t="s">
        <v>1683</v>
      </c>
      <c r="Z8" s="345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3" t="s">
        <v>1686</v>
      </c>
      <c r="Q9" s="530" t="str">
        <f t="shared" ref="Q9:Q15" si="6">B9</f>
        <v>用途</v>
      </c>
      <c r="R9" s="664" t="s">
        <v>14</v>
      </c>
      <c r="S9" s="665">
        <f t="shared" si="0"/>
        <v>100</v>
      </c>
      <c r="T9" s="664" t="s">
        <v>14</v>
      </c>
      <c r="U9" s="665">
        <f t="shared" si="1"/>
        <v>100</v>
      </c>
      <c r="V9" s="664" t="s">
        <v>14</v>
      </c>
      <c r="W9" s="665">
        <f t="shared" si="2"/>
        <v>100</v>
      </c>
      <c r="X9" s="666"/>
      <c r="Y9" s="329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2"/>
      <c r="L10" s="2490"/>
      <c r="M10" s="2491"/>
      <c r="N10" s="2491"/>
      <c r="O10" s="2542"/>
      <c r="P10" s="3423"/>
      <c r="Q10" s="530" t="str">
        <f t="shared" si="6"/>
        <v>土地使用年限（年）</v>
      </c>
      <c r="R10" s="664" t="s">
        <v>14</v>
      </c>
      <c r="S10" s="665">
        <f t="shared" si="0"/>
        <v>101</v>
      </c>
      <c r="T10" s="664" t="s">
        <v>14</v>
      </c>
      <c r="U10" s="665">
        <f t="shared" si="1"/>
        <v>101</v>
      </c>
      <c r="V10" s="664" t="s">
        <v>14</v>
      </c>
      <c r="W10" s="665">
        <f t="shared" si="2"/>
        <v>101</v>
      </c>
      <c r="X10" s="666"/>
      <c r="Y10" s="3298"/>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3"/>
      <c r="Q11" s="530" t="str">
        <f t="shared" si="6"/>
        <v>容积率</v>
      </c>
      <c r="R11" s="664" t="s">
        <v>14</v>
      </c>
      <c r="S11" s="665" t="e">
        <f t="shared" si="0"/>
        <v>#N/A</v>
      </c>
      <c r="T11" s="664" t="s">
        <v>14</v>
      </c>
      <c r="U11" s="665" t="e">
        <f t="shared" si="1"/>
        <v>#N/A</v>
      </c>
      <c r="V11" s="664" t="s">
        <v>14</v>
      </c>
      <c r="W11" s="665" t="e">
        <f t="shared" si="2"/>
        <v>#N/A</v>
      </c>
      <c r="X11" s="666"/>
      <c r="Y11" s="329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3"/>
      <c r="Q12" s="530">
        <f t="shared" si="6"/>
        <v>111</v>
      </c>
      <c r="R12" s="664" t="s">
        <v>14</v>
      </c>
      <c r="S12" s="665">
        <f t="shared" si="0"/>
        <v>100</v>
      </c>
      <c r="T12" s="664" t="s">
        <v>14</v>
      </c>
      <c r="U12" s="665">
        <f t="shared" si="1"/>
        <v>100</v>
      </c>
      <c r="V12" s="664" t="s">
        <v>14</v>
      </c>
      <c r="W12" s="665">
        <f t="shared" si="2"/>
        <v>100</v>
      </c>
      <c r="X12" s="666"/>
      <c r="Y12" s="329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3"/>
      <c r="Q13" s="530">
        <f t="shared" si="6"/>
        <v>111</v>
      </c>
      <c r="R13" s="664" t="s">
        <v>14</v>
      </c>
      <c r="S13" s="665">
        <f t="shared" si="0"/>
        <v>100</v>
      </c>
      <c r="T13" s="664" t="s">
        <v>14</v>
      </c>
      <c r="U13" s="665">
        <f t="shared" si="1"/>
        <v>100</v>
      </c>
      <c r="V13" s="664" t="s">
        <v>14</v>
      </c>
      <c r="W13" s="665">
        <f t="shared" si="2"/>
        <v>100</v>
      </c>
      <c r="X13" s="666"/>
      <c r="Y13" s="329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3"/>
      <c r="Q14" s="530">
        <f t="shared" si="6"/>
        <v>111</v>
      </c>
      <c r="R14" s="664" t="s">
        <v>14</v>
      </c>
      <c r="S14" s="665">
        <f t="shared" si="0"/>
        <v>100</v>
      </c>
      <c r="T14" s="664" t="s">
        <v>14</v>
      </c>
      <c r="U14" s="665">
        <f t="shared" si="1"/>
        <v>100</v>
      </c>
      <c r="V14" s="664" t="s">
        <v>14</v>
      </c>
      <c r="W14" s="665">
        <f t="shared" si="2"/>
        <v>100</v>
      </c>
      <c r="X14" s="666"/>
      <c r="Y14" s="329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5" t="s">
        <v>1691</v>
      </c>
      <c r="Q15" s="1263" t="str">
        <f t="shared" si="6"/>
        <v>产业集聚程度</v>
      </c>
      <c r="R15" s="667" t="s">
        <v>14</v>
      </c>
      <c r="S15" s="668">
        <f t="shared" si="0"/>
        <v>100</v>
      </c>
      <c r="T15" s="667" t="s">
        <v>14</v>
      </c>
      <c r="U15" s="668">
        <f t="shared" si="1"/>
        <v>100</v>
      </c>
      <c r="V15" s="667" t="s">
        <v>14</v>
      </c>
      <c r="W15" s="668">
        <f t="shared" si="2"/>
        <v>100</v>
      </c>
      <c r="X15" s="1265"/>
      <c r="Y15" s="342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6"/>
      <c r="Q16" s="1263"/>
      <c r="R16" s="667"/>
      <c r="S16" s="668"/>
      <c r="T16" s="667"/>
      <c r="U16" s="668"/>
      <c r="V16" s="667"/>
      <c r="W16" s="668"/>
      <c r="X16" s="1265"/>
      <c r="Y16" s="342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6"/>
      <c r="Q18" s="1263"/>
      <c r="R18" s="667"/>
      <c r="S18" s="668"/>
      <c r="T18" s="667"/>
      <c r="U18" s="668"/>
      <c r="V18" s="667"/>
      <c r="W18" s="668"/>
      <c r="X18" s="1265"/>
      <c r="Y18" s="342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6"/>
      <c r="Q19" s="1263" t="str">
        <f t="shared" ref="Q19:Q33" si="8">B19</f>
        <v>区域土地利用方向</v>
      </c>
      <c r="R19" s="667" t="s">
        <v>14</v>
      </c>
      <c r="S19" s="668">
        <f>F19</f>
        <v>100</v>
      </c>
      <c r="T19" s="667" t="s">
        <v>14</v>
      </c>
      <c r="U19" s="668">
        <f>H19</f>
        <v>100</v>
      </c>
      <c r="V19" s="667" t="s">
        <v>14</v>
      </c>
      <c r="W19" s="668">
        <f>J19</f>
        <v>100</v>
      </c>
      <c r="X19" s="1265"/>
      <c r="Y19" s="342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6"/>
      <c r="Q20" s="1263"/>
      <c r="R20" s="667"/>
      <c r="S20" s="668"/>
      <c r="T20" s="667"/>
      <c r="U20" s="668"/>
      <c r="V20" s="667"/>
      <c r="W20" s="668"/>
      <c r="X20" s="1265"/>
      <c r="Y20" s="342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6"/>
      <c r="Q21" s="1263" t="str">
        <f t="shared" si="8"/>
        <v>环境状况</v>
      </c>
      <c r="R21" s="667" t="s">
        <v>14</v>
      </c>
      <c r="S21" s="668">
        <f>F21</f>
        <v>100</v>
      </c>
      <c r="T21" s="667" t="s">
        <v>14</v>
      </c>
      <c r="U21" s="668">
        <f>H21</f>
        <v>100</v>
      </c>
      <c r="V21" s="667" t="s">
        <v>14</v>
      </c>
      <c r="W21" s="668">
        <f>J21</f>
        <v>100</v>
      </c>
      <c r="X21" s="1265"/>
      <c r="Y21" s="342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6"/>
      <c r="Q22" s="1263"/>
      <c r="R22" s="667"/>
      <c r="S22" s="668"/>
      <c r="T22" s="667"/>
      <c r="U22" s="668"/>
      <c r="V22" s="667"/>
      <c r="W22" s="668"/>
      <c r="X22" s="1265"/>
      <c r="Y22" s="342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6"/>
      <c r="Q23" s="530" t="str">
        <f t="shared" si="8"/>
        <v>公共配套设施</v>
      </c>
      <c r="R23" s="664" t="s">
        <v>14</v>
      </c>
      <c r="S23" s="665">
        <f>F23</f>
        <v>100</v>
      </c>
      <c r="T23" s="664" t="s">
        <v>14</v>
      </c>
      <c r="U23" s="665">
        <f>H23</f>
        <v>100</v>
      </c>
      <c r="V23" s="664" t="s">
        <v>14</v>
      </c>
      <c r="W23" s="665">
        <f>J23</f>
        <v>100</v>
      </c>
      <c r="X23" s="666"/>
      <c r="Y23" s="342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6"/>
      <c r="Q24" s="530"/>
      <c r="R24" s="664"/>
      <c r="S24" s="665"/>
      <c r="T24" s="664"/>
      <c r="U24" s="665"/>
      <c r="V24" s="664"/>
      <c r="W24" s="665"/>
      <c r="X24" s="666"/>
      <c r="Y24" s="342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6"/>
      <c r="Q25" s="530" t="str">
        <f t="shared" ref="Q25" si="9">B25</f>
        <v>基础设施水平</v>
      </c>
      <c r="R25" s="664" t="s">
        <v>14</v>
      </c>
      <c r="S25" s="665">
        <f>F25</f>
        <v>100</v>
      </c>
      <c r="T25" s="664" t="s">
        <v>14</v>
      </c>
      <c r="U25" s="665">
        <f>H25</f>
        <v>100</v>
      </c>
      <c r="V25" s="664" t="s">
        <v>14</v>
      </c>
      <c r="W25" s="665">
        <f>J25</f>
        <v>100</v>
      </c>
      <c r="X25" s="666"/>
      <c r="Y25" s="342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6"/>
      <c r="Q26" s="530"/>
      <c r="R26" s="664"/>
      <c r="S26" s="665"/>
      <c r="T26" s="664"/>
      <c r="U26" s="665"/>
      <c r="V26" s="664"/>
      <c r="W26" s="665"/>
      <c r="X26" s="666"/>
      <c r="Y26" s="342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6"/>
      <c r="Q28" s="1263" t="str">
        <f t="shared" si="8"/>
        <v>毗邻道路的类型与等级</v>
      </c>
      <c r="R28" s="667" t="s">
        <v>14</v>
      </c>
      <c r="S28" s="668">
        <f t="shared" si="10"/>
        <v>100</v>
      </c>
      <c r="T28" s="667" t="s">
        <v>14</v>
      </c>
      <c r="U28" s="668">
        <f t="shared" si="11"/>
        <v>100</v>
      </c>
      <c r="V28" s="667" t="s">
        <v>14</v>
      </c>
      <c r="W28" s="668">
        <f t="shared" si="12"/>
        <v>100</v>
      </c>
      <c r="X28" s="1265"/>
      <c r="Y28" s="342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6"/>
      <c r="Q29" s="1263"/>
      <c r="R29" s="667"/>
      <c r="S29" s="668"/>
      <c r="T29" s="667"/>
      <c r="U29" s="668"/>
      <c r="V29" s="667"/>
      <c r="W29" s="668"/>
      <c r="X29" s="1265"/>
      <c r="Y29" s="342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6"/>
      <c r="Q30" s="1263" t="str">
        <f t="shared" si="8"/>
        <v>土地级别</v>
      </c>
      <c r="R30" s="667" t="s">
        <v>14</v>
      </c>
      <c r="S30" s="668">
        <f t="shared" si="10"/>
        <v>100</v>
      </c>
      <c r="T30" s="667" t="s">
        <v>14</v>
      </c>
      <c r="U30" s="668">
        <f t="shared" si="11"/>
        <v>100</v>
      </c>
      <c r="V30" s="667" t="s">
        <v>14</v>
      </c>
      <c r="W30" s="668">
        <f t="shared" si="12"/>
        <v>100</v>
      </c>
      <c r="X30" s="1265"/>
      <c r="Y30" s="342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6"/>
      <c r="Q31" s="1263">
        <f t="shared" si="8"/>
        <v>111</v>
      </c>
      <c r="R31" s="667" t="s">
        <v>14</v>
      </c>
      <c r="S31" s="668">
        <f t="shared" si="10"/>
        <v>100</v>
      </c>
      <c r="T31" s="667" t="s">
        <v>14</v>
      </c>
      <c r="U31" s="668">
        <f t="shared" si="11"/>
        <v>100</v>
      </c>
      <c r="V31" s="667" t="s">
        <v>14</v>
      </c>
      <c r="W31" s="668">
        <f t="shared" si="12"/>
        <v>100</v>
      </c>
      <c r="X31" s="1265"/>
      <c r="Y31" s="342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80" t="s">
        <v>1696</v>
      </c>
      <c r="Q32" s="1263">
        <f t="shared" si="8"/>
        <v>111</v>
      </c>
      <c r="R32" s="667" t="s">
        <v>14</v>
      </c>
      <c r="S32" s="668">
        <f t="shared" si="10"/>
        <v>100</v>
      </c>
      <c r="T32" s="667" t="s">
        <v>14</v>
      </c>
      <c r="U32" s="668">
        <f t="shared" si="11"/>
        <v>100</v>
      </c>
      <c r="V32" s="667" t="s">
        <v>14</v>
      </c>
      <c r="W32" s="668">
        <f t="shared" si="12"/>
        <v>100</v>
      </c>
      <c r="X32" s="1265"/>
      <c r="Y32" s="343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30"/>
      <c r="Q33" s="1263">
        <f t="shared" si="8"/>
        <v>111</v>
      </c>
      <c r="R33" s="669" t="s">
        <v>14</v>
      </c>
      <c r="S33" s="670">
        <f t="shared" si="10"/>
        <v>100</v>
      </c>
      <c r="T33" s="669" t="s">
        <v>14</v>
      </c>
      <c r="U33" s="670">
        <f t="shared" si="11"/>
        <v>100</v>
      </c>
      <c r="V33" s="669" t="s">
        <v>14</v>
      </c>
      <c r="W33" s="670">
        <f t="shared" si="12"/>
        <v>100</v>
      </c>
      <c r="X33" s="671"/>
      <c r="Y33" s="343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30"/>
      <c r="Q34" s="1263" t="str">
        <f>B34</f>
        <v>宗地面积</v>
      </c>
      <c r="R34" s="667" t="s">
        <v>14</v>
      </c>
      <c r="S34" s="668" t="e">
        <f t="shared" si="10"/>
        <v>#N/A</v>
      </c>
      <c r="T34" s="667" t="s">
        <v>14</v>
      </c>
      <c r="U34" s="668" t="e">
        <f t="shared" si="11"/>
        <v>#N/A</v>
      </c>
      <c r="V34" s="667" t="s">
        <v>14</v>
      </c>
      <c r="W34" s="668" t="e">
        <f t="shared" si="12"/>
        <v>#N/A</v>
      </c>
      <c r="X34" s="1265"/>
      <c r="Y34" s="343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30"/>
      <c r="Q35" s="1263" t="str">
        <f t="shared" ref="Q35:Q40" si="14">B35</f>
        <v>宗地形状</v>
      </c>
      <c r="R35" s="667" t="s">
        <v>14</v>
      </c>
      <c r="S35" s="668">
        <f t="shared" si="10"/>
        <v>100</v>
      </c>
      <c r="T35" s="667" t="s">
        <v>14</v>
      </c>
      <c r="U35" s="668">
        <f t="shared" si="11"/>
        <v>100</v>
      </c>
      <c r="V35" s="667" t="s">
        <v>14</v>
      </c>
      <c r="W35" s="668">
        <f t="shared" si="12"/>
        <v>100</v>
      </c>
      <c r="X35" s="1265"/>
      <c r="Y35" s="343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30"/>
      <c r="Q36" s="1263" t="str">
        <f t="shared" si="14"/>
        <v>宗地开发程度</v>
      </c>
      <c r="R36" s="664" t="s">
        <v>14</v>
      </c>
      <c r="S36" s="665">
        <f t="shared" si="10"/>
        <v>100</v>
      </c>
      <c r="T36" s="664" t="s">
        <v>14</v>
      </c>
      <c r="U36" s="665">
        <f t="shared" si="11"/>
        <v>100</v>
      </c>
      <c r="V36" s="664" t="s">
        <v>14</v>
      </c>
      <c r="W36" s="665">
        <f t="shared" si="12"/>
        <v>100</v>
      </c>
      <c r="X36" s="666"/>
      <c r="Y36" s="343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30" t="s">
        <v>1696</v>
      </c>
      <c r="Q37" s="1263" t="str">
        <f t="shared" si="14"/>
        <v>工程地质条件</v>
      </c>
      <c r="R37" s="667" t="s">
        <v>14</v>
      </c>
      <c r="S37" s="668">
        <f t="shared" si="10"/>
        <v>100</v>
      </c>
      <c r="T37" s="667" t="s">
        <v>14</v>
      </c>
      <c r="U37" s="668">
        <f t="shared" si="11"/>
        <v>100</v>
      </c>
      <c r="V37" s="667" t="s">
        <v>14</v>
      </c>
      <c r="W37" s="668">
        <f t="shared" si="12"/>
        <v>100</v>
      </c>
      <c r="X37" s="1265"/>
      <c r="Y37" s="343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30"/>
      <c r="Q38" s="1263">
        <f t="shared" si="14"/>
        <v>111</v>
      </c>
      <c r="R38" s="667" t="s">
        <v>14</v>
      </c>
      <c r="S38" s="668">
        <f t="shared" si="10"/>
        <v>100</v>
      </c>
      <c r="T38" s="667" t="s">
        <v>14</v>
      </c>
      <c r="U38" s="668">
        <f t="shared" si="11"/>
        <v>100</v>
      </c>
      <c r="V38" s="667" t="s">
        <v>14</v>
      </c>
      <c r="W38" s="668">
        <f t="shared" si="12"/>
        <v>100</v>
      </c>
      <c r="X38" s="1265"/>
      <c r="Y38" s="343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30"/>
      <c r="Q39" s="1263">
        <f t="shared" si="14"/>
        <v>111</v>
      </c>
      <c r="R39" s="667" t="s">
        <v>14</v>
      </c>
      <c r="S39" s="668">
        <f t="shared" si="10"/>
        <v>100</v>
      </c>
      <c r="T39" s="667" t="s">
        <v>14</v>
      </c>
      <c r="U39" s="668">
        <f t="shared" si="11"/>
        <v>100</v>
      </c>
      <c r="V39" s="667" t="s">
        <v>14</v>
      </c>
      <c r="W39" s="668">
        <f t="shared" si="12"/>
        <v>100</v>
      </c>
      <c r="X39" s="1265"/>
      <c r="Y39" s="343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30"/>
      <c r="Q40" s="1263">
        <f t="shared" si="14"/>
        <v>111</v>
      </c>
      <c r="R40" s="669" t="s">
        <v>14</v>
      </c>
      <c r="S40" s="670">
        <f t="shared" si="10"/>
        <v>100</v>
      </c>
      <c r="T40" s="669" t="s">
        <v>14</v>
      </c>
      <c r="U40" s="670">
        <f t="shared" si="11"/>
        <v>100</v>
      </c>
      <c r="V40" s="669" t="s">
        <v>14</v>
      </c>
      <c r="W40" s="670">
        <f t="shared" si="12"/>
        <v>100</v>
      </c>
      <c r="X40" s="671"/>
      <c r="Y40" s="343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23" t="str">
        <f>A41</f>
        <v>成交单价</v>
      </c>
      <c r="Q41" s="3423"/>
      <c r="R41" s="3424">
        <f>E41</f>
        <v>0</v>
      </c>
      <c r="S41" s="3424"/>
      <c r="T41" s="3424">
        <f>G41</f>
        <v>0</v>
      </c>
      <c r="U41" s="3424"/>
      <c r="V41" s="3424">
        <f>I41</f>
        <v>0</v>
      </c>
      <c r="W41" s="342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23" t="str">
        <f>A42</f>
        <v>比较价值（元/平方米）</v>
      </c>
      <c r="Q42" s="3423"/>
      <c r="R42" s="3482" t="e">
        <f>ROUND(PRODUCT(R41,AA7:AA40),0)</f>
        <v>#DIV/0!</v>
      </c>
      <c r="S42" s="3482"/>
      <c r="T42" s="3482" t="e">
        <f>ROUND(PRODUCT(T41,AB7:AB40),0)</f>
        <v>#DIV/0!</v>
      </c>
      <c r="U42" s="3482"/>
      <c r="V42" s="3482" t="e">
        <f>ROUND(PRODUCT(V41,AC7:AC40),0)</f>
        <v>#DIV/0!</v>
      </c>
      <c r="W42" s="348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20" t="str">
        <f>A43</f>
        <v>估价对象XX用房的比较价值（楼面单价，元/平方米）</v>
      </c>
      <c r="Q43" s="3421"/>
      <c r="R43" s="3483" t="e">
        <f>ROUND(IF(D42="简单平均",AVERAGE(R42:W42),R42*F42+T42*H42+V42*J42),0)</f>
        <v>#DIV/0!</v>
      </c>
      <c r="S43" s="3483"/>
      <c r="T43" s="3483"/>
      <c r="U43" s="3483"/>
      <c r="V43" s="3483"/>
      <c r="W43" s="348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38" t="s">
        <v>1887</v>
      </c>
      <c r="H50" s="348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8908.0000000000018</v>
      </c>
      <c r="F51" s="611" t="e">
        <f t="shared" ref="F51:F60" si="15">ROUND(B51*E51/10000,0)</f>
        <v>#DIV/0!</v>
      </c>
      <c r="G51" s="3434"/>
      <c r="H51" s="342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0.1</v>
      </c>
      <c r="D58" s="891">
        <v>0.25</v>
      </c>
      <c r="E58" s="209">
        <f>'数据-汇总表'!E13</f>
        <v>0</v>
      </c>
      <c r="F58" s="611" t="e">
        <f t="shared" si="15"/>
        <v>#DIV/0!</v>
      </c>
      <c r="G58" s="839" t="s">
        <v>1900</v>
      </c>
      <c r="H58" s="834" t="str">
        <f>IF(G58="商业",项目基本情况!B37,IF(G58="办公",项目基本情况!C37,IF(G58="住宅",项目基本情况!D37,项目基本情况!E37)))</f>
        <v>九级</v>
      </c>
      <c r="I58" s="727">
        <f>SUMIF(修正!A59:A70,H58,修正!G59:G70)</f>
        <v>0.1</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1" priority="13" stopIfTrue="1">
      <formula>$F$46="超过30%"</formula>
    </cfRule>
  </conditionalFormatting>
  <conditionalFormatting sqref="E47">
    <cfRule type="expression" dxfId="20" priority="53" stopIfTrue="1">
      <formula>#REF!+$F$47="超过20%"</formula>
    </cfRule>
  </conditionalFormatting>
  <conditionalFormatting sqref="E48">
    <cfRule type="expression" dxfId="19" priority="10" stopIfTrue="1">
      <formula>$F$48="超过30%"</formula>
    </cfRule>
  </conditionalFormatting>
  <conditionalFormatting sqref="F7:F40 H7:H40 J7:J40">
    <cfRule type="cellIs" dxfId="18" priority="1" operator="notEqual">
      <formula>100</formula>
    </cfRule>
  </conditionalFormatting>
  <conditionalFormatting sqref="F42">
    <cfRule type="expression" dxfId="17" priority="4">
      <formula>$D$42="简单平均"</formula>
    </cfRule>
  </conditionalFormatting>
  <conditionalFormatting sqref="F46:F48 H46:H48 J46:J48">
    <cfRule type="containsText" dxfId="16" priority="14" stopIfTrue="1" operator="containsText" text="超过">
      <formula>NOT(ISERROR(SEARCH("超过",F46)))</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G48">
    <cfRule type="expression" dxfId="13" priority="12" stopIfTrue="1">
      <formula>$H$48="超过30%"</formula>
    </cfRule>
  </conditionalFormatting>
  <conditionalFormatting sqref="H42">
    <cfRule type="expression" dxfId="12" priority="3">
      <formula>$D$42="简单平均"</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J42">
    <cfRule type="expression" dxfId="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CBA13-219D-476C-9269-50F43F061F96}">
  <dimension ref="A1:W54"/>
  <sheetViews>
    <sheetView topLeftCell="A8" zoomScale="110" zoomScaleNormal="110" workbookViewId="0">
      <selection activeCell="F17" sqref="F17"/>
    </sheetView>
  </sheetViews>
  <sheetFormatPr defaultColWidth="8.875" defaultRowHeight="13.5"/>
  <cols>
    <col min="1" max="1" width="7.5" style="3171" customWidth="1"/>
    <col min="2" max="2" width="8.875" style="3171"/>
    <col min="3" max="3" width="23.25" style="3171" customWidth="1"/>
    <col min="4" max="4" width="6.5" style="3171" bestFit="1" customWidth="1"/>
    <col min="5" max="5" width="24.625" style="3171" customWidth="1"/>
    <col min="6" max="6" width="5.25" style="3171" customWidth="1"/>
    <col min="7" max="7" width="23.5" style="3171" customWidth="1"/>
    <col min="8" max="8" width="6" style="3171" customWidth="1"/>
    <col min="9" max="9" width="24.5" style="3171" customWidth="1"/>
    <col min="10" max="10" width="6.625" style="3171" customWidth="1"/>
    <col min="11" max="13" width="8.875" style="3171"/>
    <col min="14" max="14" width="16.375" style="3171" bestFit="1" customWidth="1"/>
    <col min="15" max="15" width="16.875" style="3171" bestFit="1" customWidth="1"/>
    <col min="16" max="16" width="16.375" style="3171" bestFit="1" customWidth="1"/>
    <col min="17" max="17" width="16.875" style="3171" bestFit="1" customWidth="1"/>
    <col min="18" max="18" width="14.875" style="3171" bestFit="1" customWidth="1"/>
    <col min="19" max="19" width="9" style="3171" bestFit="1" customWidth="1"/>
    <col min="20" max="16384" width="8.875" style="3171"/>
  </cols>
  <sheetData>
    <row r="1" spans="1:18">
      <c r="A1" s="3489" t="s">
        <v>3417</v>
      </c>
      <c r="B1" s="3489"/>
      <c r="C1" s="3489"/>
      <c r="D1" s="3489"/>
      <c r="E1" s="3489"/>
      <c r="F1" s="3489"/>
      <c r="G1" s="3489"/>
      <c r="H1" s="3489"/>
      <c r="I1" s="3489"/>
      <c r="J1" s="3489"/>
    </row>
    <row r="2" spans="1:18">
      <c r="A2" s="3170"/>
      <c r="B2" s="3170"/>
      <c r="C2" s="3170"/>
      <c r="D2" s="3170"/>
      <c r="E2" s="3170"/>
      <c r="F2" s="3170"/>
      <c r="G2" s="3170"/>
      <c r="H2" s="3170"/>
      <c r="I2" s="3170"/>
      <c r="J2" s="3170"/>
    </row>
    <row r="3" spans="1:18">
      <c r="A3" s="3490" t="s">
        <v>3418</v>
      </c>
      <c r="B3" s="3491"/>
      <c r="C3" s="3492" t="s">
        <v>3419</v>
      </c>
      <c r="D3" s="3493"/>
      <c r="E3" s="3493" t="s">
        <v>3420</v>
      </c>
      <c r="F3" s="3493"/>
      <c r="G3" s="3493" t="s">
        <v>3421</v>
      </c>
      <c r="H3" s="3493"/>
      <c r="I3" s="3490" t="s">
        <v>3422</v>
      </c>
      <c r="J3" s="3491"/>
    </row>
    <row r="4" spans="1:18">
      <c r="A4" s="3493" t="s">
        <v>3423</v>
      </c>
      <c r="B4" s="3493"/>
      <c r="C4" s="3495" t="s">
        <v>3424</v>
      </c>
      <c r="D4" s="3491"/>
      <c r="E4" s="3496" t="str">
        <f>住宅案例!E10</f>
        <v>世嘉光织谷东区</v>
      </c>
      <c r="F4" s="3491"/>
      <c r="G4" s="3496" t="str">
        <f>住宅案例!E15</f>
        <v>世嘉光织谷西区</v>
      </c>
      <c r="H4" s="3491"/>
      <c r="I4" s="3496" t="str">
        <f>住宅案例!E21</f>
        <v>雁栖一品园</v>
      </c>
      <c r="J4" s="3491"/>
    </row>
    <row r="5" spans="1:18" ht="17.100000000000001" customHeight="1">
      <c r="A5" s="3493" t="s">
        <v>3425</v>
      </c>
      <c r="B5" s="3493"/>
      <c r="C5" s="3490" t="s">
        <v>3426</v>
      </c>
      <c r="D5" s="3491"/>
      <c r="E5" s="3494">
        <f>住宅案例!J10</f>
        <v>29.3</v>
      </c>
      <c r="F5" s="3491"/>
      <c r="G5" s="3494">
        <f>住宅案例!J15</f>
        <v>30.13</v>
      </c>
      <c r="H5" s="3491"/>
      <c r="I5" s="3494">
        <f>住宅案例!J21</f>
        <v>30.17</v>
      </c>
      <c r="J5" s="3491"/>
    </row>
    <row r="6" spans="1:18" ht="39" customHeight="1">
      <c r="A6" s="3493" t="s">
        <v>3427</v>
      </c>
      <c r="B6" s="3493"/>
      <c r="C6" s="3174">
        <v>45925</v>
      </c>
      <c r="D6" s="3175">
        <v>100</v>
      </c>
      <c r="E6" s="3174">
        <v>45901</v>
      </c>
      <c r="F6" s="3175">
        <v>100</v>
      </c>
      <c r="G6" s="3174">
        <v>45901</v>
      </c>
      <c r="H6" s="3175">
        <v>100</v>
      </c>
      <c r="I6" s="3174">
        <v>45901</v>
      </c>
      <c r="J6" s="3175">
        <v>100</v>
      </c>
      <c r="M6" s="3171" t="s">
        <v>3428</v>
      </c>
      <c r="N6" s="3176" t="s">
        <v>3429</v>
      </c>
      <c r="O6" s="3171" t="s">
        <v>3430</v>
      </c>
      <c r="P6" s="3171" t="s">
        <v>3431</v>
      </c>
      <c r="Q6" s="3171" t="s">
        <v>3432</v>
      </c>
      <c r="R6" s="3171" t="s">
        <v>3433</v>
      </c>
    </row>
    <row r="7" spans="1:18">
      <c r="A7" s="3493" t="s">
        <v>3434</v>
      </c>
      <c r="B7" s="3493"/>
      <c r="C7" s="3173" t="s">
        <v>3435</v>
      </c>
      <c r="D7" s="3173">
        <v>100</v>
      </c>
      <c r="E7" s="3173" t="s">
        <v>3435</v>
      </c>
      <c r="F7" s="3173">
        <v>100</v>
      </c>
      <c r="G7" s="3173" t="s">
        <v>3435</v>
      </c>
      <c r="H7" s="3173">
        <f>IF(G7=C7,100,"请调整")</f>
        <v>100</v>
      </c>
      <c r="I7" s="3173" t="s">
        <v>3435</v>
      </c>
      <c r="J7" s="3173">
        <f>IF(I7=G7,100,"请调整")</f>
        <v>100</v>
      </c>
      <c r="M7" s="3177">
        <v>2</v>
      </c>
      <c r="N7" s="3176">
        <v>100</v>
      </c>
      <c r="O7" s="3171">
        <f>N7+$M$7</f>
        <v>102</v>
      </c>
      <c r="P7" s="3171">
        <f t="shared" ref="P7:R7" si="0">O7+$M$7</f>
        <v>104</v>
      </c>
      <c r="Q7" s="3171">
        <f t="shared" si="0"/>
        <v>106</v>
      </c>
      <c r="R7" s="3171">
        <f t="shared" si="0"/>
        <v>108</v>
      </c>
    </row>
    <row r="8" spans="1:18" ht="60">
      <c r="A8" s="3497" t="s">
        <v>3436</v>
      </c>
      <c r="B8" s="3172" t="s">
        <v>3437</v>
      </c>
      <c r="C8" s="3172" t="s">
        <v>3438</v>
      </c>
      <c r="D8" s="3173">
        <v>100</v>
      </c>
      <c r="E8" s="3172" t="s">
        <v>3439</v>
      </c>
      <c r="F8" s="3173">
        <v>100</v>
      </c>
      <c r="G8" s="3172" t="s">
        <v>3440</v>
      </c>
      <c r="H8" s="3173">
        <f>F8</f>
        <v>100</v>
      </c>
      <c r="I8" s="3172" t="s">
        <v>3441</v>
      </c>
      <c r="J8" s="3173">
        <f>H8</f>
        <v>100</v>
      </c>
      <c r="K8" s="3171">
        <v>2.5</v>
      </c>
      <c r="M8" s="3171" t="s">
        <v>3442</v>
      </c>
      <c r="N8" s="3171" t="s">
        <v>3443</v>
      </c>
      <c r="O8" s="3171" t="s">
        <v>3444</v>
      </c>
      <c r="P8" s="3171" t="s">
        <v>3445</v>
      </c>
      <c r="Q8" s="3176" t="s">
        <v>3446</v>
      </c>
      <c r="R8" s="3171" t="s">
        <v>3447</v>
      </c>
    </row>
    <row r="9" spans="1:18" ht="24">
      <c r="A9" s="3498"/>
      <c r="B9" s="3172" t="s">
        <v>3448</v>
      </c>
      <c r="C9" s="3172" t="s">
        <v>3449</v>
      </c>
      <c r="D9" s="3173">
        <v>100</v>
      </c>
      <c r="E9" s="3172" t="s">
        <v>3450</v>
      </c>
      <c r="F9" s="3173">
        <v>100</v>
      </c>
      <c r="G9" s="3172" t="s">
        <v>3450</v>
      </c>
      <c r="H9" s="3173">
        <v>100</v>
      </c>
      <c r="I9" s="3172" t="s">
        <v>3451</v>
      </c>
      <c r="J9" s="3173">
        <v>100</v>
      </c>
      <c r="M9" s="3177">
        <v>2</v>
      </c>
      <c r="N9" s="3171">
        <f t="shared" ref="N9:O9" si="1">O9+$M$9</f>
        <v>106</v>
      </c>
      <c r="O9" s="3171">
        <f t="shared" si="1"/>
        <v>104</v>
      </c>
      <c r="P9" s="3171">
        <f>Q9+$M$9</f>
        <v>102</v>
      </c>
      <c r="Q9" s="3176">
        <v>100</v>
      </c>
      <c r="R9" s="3171">
        <f>Q9-$M$9</f>
        <v>98</v>
      </c>
    </row>
    <row r="10" spans="1:18" ht="36">
      <c r="A10" s="3498"/>
      <c r="B10" s="3172" t="s">
        <v>3452</v>
      </c>
      <c r="C10" s="3172" t="s">
        <v>3453</v>
      </c>
      <c r="D10" s="3173">
        <v>100</v>
      </c>
      <c r="E10" s="3172" t="s">
        <v>3453</v>
      </c>
      <c r="F10" s="3173">
        <v>100</v>
      </c>
      <c r="G10" s="3172" t="s">
        <v>3453</v>
      </c>
      <c r="H10" s="3173">
        <v>100</v>
      </c>
      <c r="I10" s="3172" t="s">
        <v>3453</v>
      </c>
      <c r="J10" s="3173">
        <v>100</v>
      </c>
      <c r="M10" s="3171" t="s">
        <v>3454</v>
      </c>
      <c r="N10" s="3171" t="s">
        <v>3443</v>
      </c>
      <c r="O10" s="3176" t="s">
        <v>3444</v>
      </c>
      <c r="P10" s="3171" t="s">
        <v>3445</v>
      </c>
      <c r="Q10" s="3171" t="s">
        <v>3446</v>
      </c>
      <c r="R10" s="3171" t="s">
        <v>3447</v>
      </c>
    </row>
    <row r="11" spans="1:18" ht="59.45" customHeight="1">
      <c r="A11" s="3498"/>
      <c r="B11" s="3172" t="s">
        <v>3455</v>
      </c>
      <c r="C11" s="3172" t="s">
        <v>3456</v>
      </c>
      <c r="D11" s="3173">
        <v>100</v>
      </c>
      <c r="E11" s="3172" t="s">
        <v>3456</v>
      </c>
      <c r="F11" s="3173">
        <v>100</v>
      </c>
      <c r="G11" s="3172" t="s">
        <v>3456</v>
      </c>
      <c r="H11" s="3173">
        <v>100</v>
      </c>
      <c r="I11" s="3172" t="s">
        <v>3456</v>
      </c>
      <c r="J11" s="3173">
        <v>100</v>
      </c>
      <c r="M11" s="3177">
        <v>2</v>
      </c>
      <c r="N11" s="3171">
        <f>O11+$M$11</f>
        <v>102</v>
      </c>
      <c r="O11" s="3176">
        <v>100</v>
      </c>
      <c r="P11" s="3171">
        <f>O11-$M$11</f>
        <v>98</v>
      </c>
      <c r="Q11" s="3171">
        <f t="shared" ref="Q11:R11" si="2">P11-$M$11</f>
        <v>96</v>
      </c>
      <c r="R11" s="3171">
        <f t="shared" si="2"/>
        <v>94</v>
      </c>
    </row>
    <row r="12" spans="1:18" ht="60">
      <c r="A12" s="3498"/>
      <c r="B12" s="3172" t="s">
        <v>3457</v>
      </c>
      <c r="C12" s="3172" t="s">
        <v>3458</v>
      </c>
      <c r="D12" s="3173">
        <v>100</v>
      </c>
      <c r="E12" s="3172" t="s">
        <v>3458</v>
      </c>
      <c r="F12" s="3173">
        <v>100</v>
      </c>
      <c r="G12" s="3172" t="s">
        <v>3458</v>
      </c>
      <c r="H12" s="3173">
        <v>100</v>
      </c>
      <c r="I12" s="3172" t="s">
        <v>3458</v>
      </c>
      <c r="J12" s="3173">
        <v>100</v>
      </c>
      <c r="K12" s="3178">
        <v>2</v>
      </c>
      <c r="M12" s="3171" t="s">
        <v>3459</v>
      </c>
      <c r="N12" s="3171" t="s">
        <v>3460</v>
      </c>
      <c r="O12" s="3171" t="s">
        <v>3461</v>
      </c>
      <c r="P12" s="3171" t="s">
        <v>3462</v>
      </c>
      <c r="Q12" s="3171" t="s">
        <v>3463</v>
      </c>
      <c r="R12" s="3171" t="s">
        <v>3464</v>
      </c>
    </row>
    <row r="13" spans="1:18" ht="120">
      <c r="A13" s="3498"/>
      <c r="B13" s="3172" t="s">
        <v>3465</v>
      </c>
      <c r="C13" s="3172" t="s">
        <v>3466</v>
      </c>
      <c r="D13" s="3173">
        <v>100</v>
      </c>
      <c r="E13" s="3172" t="s">
        <v>3466</v>
      </c>
      <c r="F13" s="3173">
        <v>100</v>
      </c>
      <c r="G13" s="3172" t="s">
        <v>3466</v>
      </c>
      <c r="H13" s="3173">
        <v>100</v>
      </c>
      <c r="I13" s="3172" t="s">
        <v>3466</v>
      </c>
      <c r="J13" s="3173">
        <v>100</v>
      </c>
      <c r="K13" s="3171">
        <v>5</v>
      </c>
      <c r="M13" s="3171">
        <f>'[3]比较法-蓝领'!M13</f>
        <v>1</v>
      </c>
      <c r="N13" s="3171">
        <v>100</v>
      </c>
      <c r="O13" s="3171">
        <f>N13-$M$13</f>
        <v>99</v>
      </c>
      <c r="P13" s="3171">
        <f t="shared" ref="P13:R13" si="3">O13-$M$13</f>
        <v>98</v>
      </c>
      <c r="Q13" s="3171">
        <f t="shared" si="3"/>
        <v>97</v>
      </c>
      <c r="R13" s="3171">
        <f t="shared" si="3"/>
        <v>96</v>
      </c>
    </row>
    <row r="14" spans="1:18">
      <c r="A14" s="3498"/>
      <c r="B14" s="3172" t="s">
        <v>3467</v>
      </c>
      <c r="C14" s="3172" t="s">
        <v>3468</v>
      </c>
      <c r="D14" s="3173">
        <v>100</v>
      </c>
      <c r="E14" s="3172" t="s">
        <v>3468</v>
      </c>
      <c r="F14" s="3173">
        <v>100</v>
      </c>
      <c r="G14" s="3172" t="s">
        <v>3468</v>
      </c>
      <c r="H14" s="3173">
        <v>100</v>
      </c>
      <c r="I14" s="3172" t="s">
        <v>3468</v>
      </c>
      <c r="J14" s="3173">
        <v>100</v>
      </c>
    </row>
    <row r="15" spans="1:18" hidden="1">
      <c r="A15" s="3499"/>
      <c r="B15" s="3172" t="s">
        <v>3469</v>
      </c>
      <c r="C15" s="3172" t="s">
        <v>3470</v>
      </c>
      <c r="D15" s="3173">
        <v>100</v>
      </c>
      <c r="E15" s="3172" t="s">
        <v>3470</v>
      </c>
      <c r="F15" s="3173">
        <v>100</v>
      </c>
      <c r="G15" s="3172" t="s">
        <v>3470</v>
      </c>
      <c r="H15" s="3173">
        <v>100</v>
      </c>
      <c r="I15" s="3172" t="s">
        <v>3470</v>
      </c>
      <c r="J15" s="3173">
        <v>100</v>
      </c>
    </row>
    <row r="16" spans="1:18" ht="21.75" customHeight="1">
      <c r="A16" s="3497" t="s">
        <v>3471</v>
      </c>
      <c r="B16" s="3172" t="s">
        <v>3472</v>
      </c>
      <c r="C16" s="3179">
        <v>0.95</v>
      </c>
      <c r="D16" s="3173">
        <v>100</v>
      </c>
      <c r="E16" s="3179">
        <v>0.85</v>
      </c>
      <c r="F16" s="3180">
        <v>99</v>
      </c>
      <c r="G16" s="3179">
        <v>0.85</v>
      </c>
      <c r="H16" s="3180">
        <v>99</v>
      </c>
      <c r="I16" s="3179">
        <v>0.87</v>
      </c>
      <c r="J16" s="3180">
        <f>H16</f>
        <v>99</v>
      </c>
    </row>
    <row r="17" spans="1:14" ht="27.75" customHeight="1">
      <c r="A17" s="3498"/>
      <c r="B17" s="3172" t="s">
        <v>3473</v>
      </c>
      <c r="C17" s="3172" t="s">
        <v>3474</v>
      </c>
      <c r="D17" s="3173">
        <v>100</v>
      </c>
      <c r="E17" s="3172" t="s">
        <v>3474</v>
      </c>
      <c r="F17" s="3173">
        <v>100</v>
      </c>
      <c r="G17" s="3172" t="s">
        <v>3474</v>
      </c>
      <c r="H17" s="3173">
        <v>100</v>
      </c>
      <c r="I17" s="3172" t="s">
        <v>3474</v>
      </c>
      <c r="J17" s="3173">
        <v>100</v>
      </c>
      <c r="M17" s="3171">
        <v>2022</v>
      </c>
      <c r="N17" s="3171">
        <f>1-(2025-M17)/60</f>
        <v>0.95</v>
      </c>
    </row>
    <row r="18" spans="1:14" ht="27.75" customHeight="1">
      <c r="A18" s="3498"/>
      <c r="B18" s="3172" t="s">
        <v>3475</v>
      </c>
      <c r="C18" s="3172" t="s">
        <v>3476</v>
      </c>
      <c r="D18" s="3173">
        <v>100</v>
      </c>
      <c r="E18" s="3172" t="s">
        <v>3476</v>
      </c>
      <c r="F18" s="3173">
        <v>100</v>
      </c>
      <c r="G18" s="3172" t="s">
        <v>3476</v>
      </c>
      <c r="H18" s="3173">
        <f t="shared" ref="H18:J18" si="4">F18</f>
        <v>100</v>
      </c>
      <c r="I18" s="3172" t="s">
        <v>3476</v>
      </c>
      <c r="J18" s="3173">
        <f t="shared" si="4"/>
        <v>100</v>
      </c>
    </row>
    <row r="19" spans="1:14">
      <c r="A19" s="3498"/>
      <c r="B19" s="3172" t="s">
        <v>3477</v>
      </c>
      <c r="C19" s="3181" t="s">
        <v>3478</v>
      </c>
      <c r="D19" s="3173">
        <v>100</v>
      </c>
      <c r="E19" s="3181" t="s">
        <v>3478</v>
      </c>
      <c r="F19" s="3173">
        <v>100</v>
      </c>
      <c r="G19" s="3181" t="s">
        <v>3478</v>
      </c>
      <c r="H19" s="3173">
        <v>100</v>
      </c>
      <c r="I19" s="3181" t="s">
        <v>3478</v>
      </c>
      <c r="J19" s="3173">
        <v>100</v>
      </c>
    </row>
    <row r="20" spans="1:14" ht="24">
      <c r="A20" s="3498"/>
      <c r="B20" s="3172" t="s">
        <v>3479</v>
      </c>
      <c r="C20" s="3172" t="s">
        <v>3480</v>
      </c>
      <c r="D20" s="3173">
        <v>100</v>
      </c>
      <c r="E20" s="3172" t="s">
        <v>3480</v>
      </c>
      <c r="F20" s="3173">
        <v>100</v>
      </c>
      <c r="G20" s="3172" t="s">
        <v>3480</v>
      </c>
      <c r="H20" s="3173">
        <f>F20</f>
        <v>100</v>
      </c>
      <c r="I20" s="3172" t="s">
        <v>3480</v>
      </c>
      <c r="J20" s="3173">
        <f>F20</f>
        <v>100</v>
      </c>
    </row>
    <row r="21" spans="1:14" hidden="1">
      <c r="A21" s="3498"/>
      <c r="B21" s="3172" t="s">
        <v>3481</v>
      </c>
      <c r="C21" s="3172" t="s">
        <v>3482</v>
      </c>
      <c r="D21" s="3173">
        <v>100</v>
      </c>
      <c r="E21" s="3172" t="str">
        <f>C21</f>
        <v>开间</v>
      </c>
      <c r="F21" s="3173">
        <v>100</v>
      </c>
      <c r="G21" s="3172" t="str">
        <f>E21</f>
        <v>开间</v>
      </c>
      <c r="H21" s="3173">
        <v>100</v>
      </c>
      <c r="I21" s="3172" t="str">
        <f>G21</f>
        <v>开间</v>
      </c>
      <c r="J21" s="3173">
        <v>100</v>
      </c>
    </row>
    <row r="22" spans="1:14" ht="30" customHeight="1">
      <c r="A22" s="3498"/>
      <c r="B22" s="3172" t="s">
        <v>3483</v>
      </c>
      <c r="C22" s="3182" t="s">
        <v>3484</v>
      </c>
      <c r="D22" s="3183">
        <v>100</v>
      </c>
      <c r="E22" s="3182" t="s">
        <v>3484</v>
      </c>
      <c r="F22" s="3183">
        <v>100</v>
      </c>
      <c r="G22" s="3182" t="s">
        <v>3484</v>
      </c>
      <c r="H22" s="3183">
        <v>100</v>
      </c>
      <c r="I22" s="3182" t="s">
        <v>3484</v>
      </c>
      <c r="J22" s="3183">
        <v>100</v>
      </c>
    </row>
    <row r="23" spans="1:14" ht="26.25" customHeight="1">
      <c r="A23" s="3498"/>
      <c r="B23" s="3172" t="s">
        <v>3485</v>
      </c>
      <c r="C23" s="3182">
        <v>90</v>
      </c>
      <c r="D23" s="3183">
        <v>100</v>
      </c>
      <c r="E23" s="3172">
        <f>住宅案例!$F$10</f>
        <v>92.15</v>
      </c>
      <c r="F23" s="3173">
        <v>100</v>
      </c>
      <c r="G23" s="3172">
        <f>住宅案例!$F$15</f>
        <v>89.61</v>
      </c>
      <c r="H23" s="3173">
        <v>100</v>
      </c>
      <c r="I23" s="3172">
        <f>住宅案例!$F$21</f>
        <v>76.239999999999995</v>
      </c>
      <c r="J23" s="3173">
        <v>101</v>
      </c>
    </row>
    <row r="24" spans="1:14" ht="24">
      <c r="A24" s="3498"/>
      <c r="B24" s="3172" t="s">
        <v>3486</v>
      </c>
      <c r="C24" s="3172" t="s">
        <v>3487</v>
      </c>
      <c r="D24" s="3173">
        <v>100</v>
      </c>
      <c r="E24" s="3172" t="s">
        <v>3487</v>
      </c>
      <c r="F24" s="3173">
        <v>100</v>
      </c>
      <c r="G24" s="3172" t="s">
        <v>3487</v>
      </c>
      <c r="H24" s="3173">
        <f>F24</f>
        <v>100</v>
      </c>
      <c r="I24" s="3172" t="s">
        <v>3487</v>
      </c>
      <c r="J24" s="3173">
        <f>F24</f>
        <v>100</v>
      </c>
    </row>
    <row r="25" spans="1:14" ht="24">
      <c r="A25" s="3500" t="s">
        <v>3488</v>
      </c>
      <c r="B25" s="3172" t="s">
        <v>3489</v>
      </c>
      <c r="C25" s="3172" t="s">
        <v>3490</v>
      </c>
      <c r="D25" s="3173">
        <v>100</v>
      </c>
      <c r="E25" s="3172" t="s">
        <v>3491</v>
      </c>
      <c r="F25" s="3180">
        <v>99</v>
      </c>
      <c r="G25" s="3172" t="s">
        <v>3491</v>
      </c>
      <c r="H25" s="3180">
        <f>F25</f>
        <v>99</v>
      </c>
      <c r="I25" s="3172" t="s">
        <v>3491</v>
      </c>
      <c r="J25" s="3180">
        <f>F25</f>
        <v>99</v>
      </c>
    </row>
    <row r="26" spans="1:14" ht="24">
      <c r="A26" s="3501"/>
      <c r="B26" s="3172" t="s">
        <v>3492</v>
      </c>
      <c r="C26" s="3172" t="s">
        <v>3493</v>
      </c>
      <c r="D26" s="3172">
        <v>100</v>
      </c>
      <c r="E26" s="3172" t="s">
        <v>3493</v>
      </c>
      <c r="F26" s="3172">
        <v>100</v>
      </c>
      <c r="G26" s="3172" t="s">
        <v>3493</v>
      </c>
      <c r="H26" s="3172">
        <v>100</v>
      </c>
      <c r="I26" s="3172" t="s">
        <v>3493</v>
      </c>
      <c r="J26" s="3172">
        <v>100</v>
      </c>
    </row>
    <row r="27" spans="1:14" hidden="1">
      <c r="A27" s="3501"/>
      <c r="B27" s="3172" t="s">
        <v>3483</v>
      </c>
      <c r="C27" s="3172" t="s">
        <v>3494</v>
      </c>
      <c r="D27" s="3173">
        <v>100</v>
      </c>
      <c r="E27" s="3184" t="s">
        <v>3495</v>
      </c>
      <c r="F27" s="3185">
        <v>100</v>
      </c>
      <c r="G27" s="3184" t="s">
        <v>3494</v>
      </c>
      <c r="H27" s="3186">
        <v>100</v>
      </c>
      <c r="I27" s="3187" t="s">
        <v>3495</v>
      </c>
      <c r="J27" s="3185">
        <v>100</v>
      </c>
    </row>
    <row r="28" spans="1:14" ht="24">
      <c r="A28" s="3188"/>
      <c r="B28" s="3173" t="s">
        <v>3496</v>
      </c>
      <c r="C28" s="3173" t="s">
        <v>3497</v>
      </c>
      <c r="D28" s="3173">
        <v>100</v>
      </c>
      <c r="E28" s="3173" t="s">
        <v>3497</v>
      </c>
      <c r="F28" s="3186">
        <v>100</v>
      </c>
      <c r="G28" s="3186" t="s">
        <v>3497</v>
      </c>
      <c r="H28" s="3186">
        <v>100</v>
      </c>
      <c r="I28" s="3186" t="s">
        <v>3497</v>
      </c>
      <c r="J28" s="3186">
        <v>100</v>
      </c>
    </row>
    <row r="29" spans="1:14">
      <c r="A29" s="3505" t="s">
        <v>3498</v>
      </c>
      <c r="B29" s="3505"/>
      <c r="C29" s="3493" t="s">
        <v>3499</v>
      </c>
      <c r="D29" s="3493"/>
      <c r="E29" s="3502">
        <f>E5</f>
        <v>29.3</v>
      </c>
      <c r="F29" s="3502"/>
      <c r="G29" s="3502">
        <f>G5</f>
        <v>30.13</v>
      </c>
      <c r="H29" s="3502"/>
      <c r="I29" s="3503">
        <f>I5</f>
        <v>30.17</v>
      </c>
      <c r="J29" s="3504"/>
      <c r="L29" s="3171">
        <f>(E29-I29)/I29</f>
        <v>-2.8836592641697082E-2</v>
      </c>
    </row>
    <row r="30" spans="1:14">
      <c r="A30" s="3505" t="s">
        <v>3500</v>
      </c>
      <c r="B30" s="3505"/>
      <c r="C30" s="3493" t="s">
        <v>3499</v>
      </c>
      <c r="D30" s="3493"/>
      <c r="E30" s="3506">
        <f>ROUND(E29*POWER(100,COUNT(F6:F28))/PRODUCT(F6:F28),2)</f>
        <v>29.89</v>
      </c>
      <c r="F30" s="3506"/>
      <c r="G30" s="3506">
        <f>ROUND(G29*POWER(100,COUNT(H6:H28))/PRODUCT(H6:H28),2)</f>
        <v>30.74</v>
      </c>
      <c r="H30" s="3506"/>
      <c r="I30" s="3507">
        <f>ROUND(I29*POWER(100,COUNT(J6:J28))/PRODUCT(J6:J28),2)</f>
        <v>30.48</v>
      </c>
      <c r="J30" s="3508"/>
      <c r="L30" s="3171">
        <f>(E30-I30)/I30</f>
        <v>-1.9356955380577422E-2</v>
      </c>
    </row>
    <row r="31" spans="1:14">
      <c r="A31" s="3189"/>
      <c r="B31" s="3190" t="s">
        <v>654</v>
      </c>
      <c r="C31" s="3190">
        <f>ROUND((E30+G30+I30)/3,2)</f>
        <v>30.37</v>
      </c>
      <c r="D31" s="3189"/>
      <c r="E31" s="3189">
        <v>2014</v>
      </c>
      <c r="F31" s="3189"/>
      <c r="G31" s="3189">
        <v>2013</v>
      </c>
      <c r="H31" s="3189"/>
      <c r="I31" s="3189">
        <v>2016</v>
      </c>
      <c r="J31" s="3189"/>
    </row>
    <row r="32" spans="1:14">
      <c r="A32" s="3189"/>
      <c r="B32" s="3171" t="s">
        <v>3501</v>
      </c>
      <c r="D32" s="3189"/>
      <c r="E32" s="3189"/>
      <c r="F32" s="3189"/>
      <c r="G32" s="3189"/>
      <c r="H32" s="3189"/>
      <c r="I32" s="3189"/>
      <c r="J32" s="3189"/>
    </row>
    <row r="33" spans="2:23">
      <c r="D33" s="3189"/>
      <c r="E33" s="3189">
        <f>ROUND(POWER(100,COUNT(F6:F28))/PRODUCT(F6:F28),4)</f>
        <v>1.0203</v>
      </c>
      <c r="F33" s="3189"/>
      <c r="G33" s="3189">
        <f>ROUND(POWER(100,COUNT(H6:H28))/PRODUCT(H6:H28),4)</f>
        <v>1.0203</v>
      </c>
      <c r="H33" s="3189"/>
      <c r="I33" s="3189">
        <f>ROUND(POWER(100,COUNT(J6:J28))/PRODUCT(J6:J28),4)</f>
        <v>1.0102</v>
      </c>
      <c r="J33" s="3189"/>
    </row>
    <row r="34" spans="2:23">
      <c r="D34" s="3189"/>
      <c r="E34" s="3189">
        <f>E29*E33</f>
        <v>29.89479</v>
      </c>
      <c r="F34" s="3189"/>
      <c r="G34" s="3189">
        <f>G29*G33</f>
        <v>30.741638999999999</v>
      </c>
      <c r="H34" s="3189"/>
      <c r="I34" s="3191">
        <f>I29*I33</f>
        <v>30.477734000000002</v>
      </c>
      <c r="J34" s="3189"/>
    </row>
    <row r="35" spans="2:23">
      <c r="L35" s="3171">
        <f>C31*0.05</f>
        <v>1.5185000000000002</v>
      </c>
    </row>
    <row r="36" spans="2:23">
      <c r="L36" s="3171">
        <f>L35*51</f>
        <v>77.443500000000014</v>
      </c>
    </row>
    <row r="38" spans="2:23">
      <c r="C38" s="3171">
        <v>2021</v>
      </c>
      <c r="E38" s="3171">
        <v>2012</v>
      </c>
      <c r="G38" s="3171">
        <v>2012</v>
      </c>
      <c r="I38" s="3171">
        <v>2009</v>
      </c>
      <c r="Q38" s="3192"/>
    </row>
    <row r="39" spans="2:23">
      <c r="C39" s="3171">
        <f>1-(2025-C38)/60</f>
        <v>0.93333333333333335</v>
      </c>
      <c r="E39" s="3171">
        <f>1-(2025-E38)/60</f>
        <v>0.78333333333333333</v>
      </c>
      <c r="G39" s="3171">
        <f>1-(2025-G38)/60</f>
        <v>0.78333333333333333</v>
      </c>
      <c r="I39" s="3171">
        <f>1-(2025-I38)/60</f>
        <v>0.73333333333333339</v>
      </c>
      <c r="Q39" s="3192"/>
    </row>
    <row r="40" spans="2:23">
      <c r="Q40" s="3192"/>
      <c r="W40" s="3193"/>
    </row>
    <row r="42" spans="2:23">
      <c r="F42" s="3194">
        <v>2</v>
      </c>
      <c r="G42" s="3171" t="s">
        <v>3502</v>
      </c>
      <c r="H42" s="3171" t="s">
        <v>3503</v>
      </c>
      <c r="I42" s="3171" t="s">
        <v>3504</v>
      </c>
      <c r="J42" s="3171" t="s">
        <v>3505</v>
      </c>
      <c r="K42" s="3171" t="s">
        <v>3506</v>
      </c>
    </row>
    <row r="43" spans="2:23">
      <c r="G43" s="3171">
        <v>96</v>
      </c>
      <c r="H43" s="3171">
        <v>97</v>
      </c>
      <c r="I43" s="3171">
        <v>98</v>
      </c>
      <c r="J43" s="3171">
        <v>99</v>
      </c>
      <c r="K43" s="3171">
        <v>100</v>
      </c>
    </row>
    <row r="45" spans="2:23">
      <c r="D45" s="3194">
        <v>2</v>
      </c>
      <c r="E45" s="3195" t="s">
        <v>3507</v>
      </c>
      <c r="F45" s="3195" t="s">
        <v>3508</v>
      </c>
      <c r="G45" s="3195" t="s">
        <v>3509</v>
      </c>
      <c r="H45" s="3195" t="s">
        <v>3510</v>
      </c>
      <c r="I45" s="3195"/>
      <c r="J45" s="3195"/>
    </row>
    <row r="46" spans="2:23">
      <c r="E46" s="3171">
        <v>102</v>
      </c>
      <c r="F46" s="3171">
        <v>100</v>
      </c>
      <c r="G46" s="3171">
        <f t="shared" ref="G46:H46" si="5">F46-$D$45</f>
        <v>98</v>
      </c>
      <c r="H46" s="3171">
        <f t="shared" si="5"/>
        <v>96</v>
      </c>
    </row>
    <row r="47" spans="2:23">
      <c r="C47" s="3194">
        <v>0.5</v>
      </c>
    </row>
    <row r="48" spans="2:23">
      <c r="B48" s="3171" t="s">
        <v>3511</v>
      </c>
      <c r="C48" s="3171" t="s">
        <v>3470</v>
      </c>
      <c r="D48" s="3171" t="s">
        <v>3512</v>
      </c>
      <c r="E48" s="3171" t="s">
        <v>3513</v>
      </c>
      <c r="F48" s="3171" t="s">
        <v>3514</v>
      </c>
      <c r="G48" s="3171" t="s">
        <v>3515</v>
      </c>
      <c r="H48" s="3171" t="s">
        <v>3516</v>
      </c>
      <c r="I48" s="3171" t="s">
        <v>3517</v>
      </c>
      <c r="J48" s="3171" t="s">
        <v>3518</v>
      </c>
      <c r="K48" s="3171" t="s">
        <v>3519</v>
      </c>
    </row>
    <row r="49" spans="2:11">
      <c r="B49" s="3171">
        <f t="shared" ref="B49" si="6">C49+$C$47</f>
        <v>100.5</v>
      </c>
      <c r="C49" s="3171">
        <v>100</v>
      </c>
      <c r="D49" s="3171">
        <f>C49-$C$47</f>
        <v>99.5</v>
      </c>
      <c r="E49" s="3171">
        <f t="shared" ref="E49:K49" si="7">D49-$C$47</f>
        <v>99</v>
      </c>
      <c r="F49" s="3171">
        <f t="shared" si="7"/>
        <v>98.5</v>
      </c>
      <c r="G49" s="3171">
        <f t="shared" si="7"/>
        <v>98</v>
      </c>
      <c r="H49" s="3171">
        <f t="shared" si="7"/>
        <v>97.5</v>
      </c>
      <c r="I49" s="3171">
        <f t="shared" si="7"/>
        <v>97</v>
      </c>
      <c r="J49" s="3171">
        <f t="shared" si="7"/>
        <v>96.5</v>
      </c>
      <c r="K49" s="3171">
        <f t="shared" si="7"/>
        <v>96</v>
      </c>
    </row>
    <row r="51" spans="2:11">
      <c r="D51" s="3194">
        <v>2</v>
      </c>
      <c r="E51" s="3171" t="s">
        <v>3520</v>
      </c>
      <c r="G51" s="3171" t="s">
        <v>3521</v>
      </c>
    </row>
    <row r="52" spans="2:11">
      <c r="E52" s="3171">
        <v>100</v>
      </c>
      <c r="G52" s="3171">
        <f>E52-D51</f>
        <v>98</v>
      </c>
    </row>
    <row r="53" spans="2:11">
      <c r="D53" s="3171">
        <v>1</v>
      </c>
      <c r="E53" s="3171" t="s">
        <v>3522</v>
      </c>
      <c r="G53" s="3171" t="s">
        <v>3523</v>
      </c>
      <c r="I53" s="3171" t="s">
        <v>3524</v>
      </c>
    </row>
    <row r="54" spans="2:11">
      <c r="E54" s="3171">
        <v>100</v>
      </c>
      <c r="G54" s="3171">
        <v>101</v>
      </c>
      <c r="I54" s="3171">
        <v>102</v>
      </c>
    </row>
  </sheetData>
  <mergeCells count="31">
    <mergeCell ref="C29:D29"/>
    <mergeCell ref="E29:F29"/>
    <mergeCell ref="G29:H29"/>
    <mergeCell ref="I29:J29"/>
    <mergeCell ref="A30:B30"/>
    <mergeCell ref="C30:D30"/>
    <mergeCell ref="E30:F30"/>
    <mergeCell ref="G30:H30"/>
    <mergeCell ref="I30:J30"/>
    <mergeCell ref="A29:B29"/>
    <mergeCell ref="A6:B6"/>
    <mergeCell ref="A7:B7"/>
    <mergeCell ref="A8:A15"/>
    <mergeCell ref="A16:A24"/>
    <mergeCell ref="A25:A27"/>
    <mergeCell ref="A4:B4"/>
    <mergeCell ref="C4:D4"/>
    <mergeCell ref="E4:F4"/>
    <mergeCell ref="G4:H4"/>
    <mergeCell ref="I4:J4"/>
    <mergeCell ref="A5:B5"/>
    <mergeCell ref="C5:D5"/>
    <mergeCell ref="E5:F5"/>
    <mergeCell ref="G5:H5"/>
    <mergeCell ref="I5:J5"/>
    <mergeCell ref="A1:J1"/>
    <mergeCell ref="A3:B3"/>
    <mergeCell ref="C3:D3"/>
    <mergeCell ref="E3:F3"/>
    <mergeCell ref="G3:H3"/>
    <mergeCell ref="I3:J3"/>
  </mergeCells>
  <phoneticPr fontId="135" type="noConversion"/>
  <conditionalFormatting sqref="F1:F9 H1:H9 J1:J9 F14 H14 J14 F16:F18 H16:H18 J16:J18 F20:F1048576 H20:H1048576 J20:J1048576">
    <cfRule type="cellIs" dxfId="7" priority="1" operator="notEqual">
      <formula>100</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78424-34E5-4480-9212-E24596722B75}">
  <dimension ref="E6:K51"/>
  <sheetViews>
    <sheetView topLeftCell="A2" workbookViewId="0">
      <selection activeCell="E34" sqref="E34"/>
    </sheetView>
  </sheetViews>
  <sheetFormatPr defaultRowHeight="13.5"/>
  <cols>
    <col min="1" max="4" width="9" style="3171"/>
    <col min="5" max="5" width="15.125" style="3171" bestFit="1" customWidth="1"/>
    <col min="6" max="16384" width="9" style="3171"/>
  </cols>
  <sheetData>
    <row r="6" spans="5:10">
      <c r="E6" s="3171" t="s">
        <v>3525</v>
      </c>
      <c r="F6" s="3171">
        <v>127</v>
      </c>
      <c r="G6" s="3171">
        <v>4200</v>
      </c>
      <c r="H6" s="3171" t="s">
        <v>3511</v>
      </c>
      <c r="I6" s="3171" t="s">
        <v>3526</v>
      </c>
      <c r="J6" s="3171">
        <f>ROUND(G6/F6,2)</f>
        <v>33.07</v>
      </c>
    </row>
    <row r="7" spans="5:10">
      <c r="F7" s="3171">
        <v>97.55</v>
      </c>
      <c r="G7" s="3171">
        <v>4000</v>
      </c>
      <c r="H7" s="3171" t="s">
        <v>3511</v>
      </c>
      <c r="I7" s="3171" t="s">
        <v>3526</v>
      </c>
      <c r="J7" s="3171">
        <f>ROUND(G7/F7,2)</f>
        <v>41</v>
      </c>
    </row>
    <row r="10" spans="5:10">
      <c r="E10" s="3194" t="s">
        <v>3527</v>
      </c>
      <c r="F10" s="3194">
        <v>92.15</v>
      </c>
      <c r="G10" s="3194">
        <v>2700</v>
      </c>
      <c r="H10" s="3194" t="s">
        <v>3470</v>
      </c>
      <c r="I10" s="3194" t="s">
        <v>3528</v>
      </c>
      <c r="J10" s="3194">
        <f t="shared" ref="J10:J21" si="0">ROUND(G10/F10,2)</f>
        <v>29.3</v>
      </c>
    </row>
    <row r="11" spans="5:10">
      <c r="F11" s="3171">
        <v>109.29</v>
      </c>
      <c r="G11" s="3171">
        <v>2900</v>
      </c>
      <c r="H11" s="3171" t="s">
        <v>3516</v>
      </c>
      <c r="I11" s="3171" t="s">
        <v>3526</v>
      </c>
      <c r="J11" s="3171">
        <f t="shared" si="0"/>
        <v>26.53</v>
      </c>
    </row>
    <row r="12" spans="5:10">
      <c r="F12" s="3171">
        <v>124</v>
      </c>
      <c r="G12" s="3171">
        <v>3300</v>
      </c>
      <c r="H12" s="3171" t="s">
        <v>3511</v>
      </c>
      <c r="I12" s="3171" t="s">
        <v>3526</v>
      </c>
      <c r="J12" s="3171">
        <f t="shared" si="0"/>
        <v>26.61</v>
      </c>
    </row>
    <row r="13" spans="5:10">
      <c r="F13" s="3171">
        <v>125</v>
      </c>
      <c r="G13" s="3171">
        <v>4500</v>
      </c>
      <c r="H13" s="3171" t="s">
        <v>3511</v>
      </c>
      <c r="I13" s="3171" t="s">
        <v>3526</v>
      </c>
      <c r="J13" s="3171">
        <f t="shared" si="0"/>
        <v>36</v>
      </c>
    </row>
    <row r="15" spans="5:10">
      <c r="E15" s="3194" t="s">
        <v>3529</v>
      </c>
      <c r="F15" s="3194">
        <v>89.61</v>
      </c>
      <c r="G15" s="3194">
        <v>2700</v>
      </c>
      <c r="H15" s="3194" t="s">
        <v>3511</v>
      </c>
      <c r="I15" s="3194" t="s">
        <v>3528</v>
      </c>
      <c r="J15" s="3194">
        <f t="shared" si="0"/>
        <v>30.13</v>
      </c>
    </row>
    <row r="16" spans="5:10">
      <c r="F16" s="3171">
        <v>90.15</v>
      </c>
      <c r="G16" s="3171">
        <v>3000</v>
      </c>
      <c r="H16" s="3171" t="s">
        <v>3511</v>
      </c>
      <c r="I16" s="3171" t="s">
        <v>3528</v>
      </c>
      <c r="J16" s="3171">
        <f t="shared" si="0"/>
        <v>33.28</v>
      </c>
    </row>
    <row r="17" spans="5:11">
      <c r="F17" s="3171">
        <v>105.85</v>
      </c>
      <c r="G17" s="3171">
        <v>3600</v>
      </c>
      <c r="H17" s="3171" t="s">
        <v>3530</v>
      </c>
      <c r="I17" s="3171" t="s">
        <v>3531</v>
      </c>
      <c r="J17" s="3171">
        <f t="shared" si="0"/>
        <v>34.01</v>
      </c>
      <c r="K17" s="3171" t="s">
        <v>3532</v>
      </c>
    </row>
    <row r="18" spans="5:11">
      <c r="F18" s="3171">
        <v>109</v>
      </c>
      <c r="G18" s="3171">
        <v>3300</v>
      </c>
      <c r="H18" s="3171" t="s">
        <v>3514</v>
      </c>
      <c r="I18" s="3171" t="s">
        <v>3526</v>
      </c>
      <c r="J18" s="3171">
        <f t="shared" si="0"/>
        <v>30.28</v>
      </c>
    </row>
    <row r="21" spans="5:11">
      <c r="E21" s="3194" t="s">
        <v>3533</v>
      </c>
      <c r="F21" s="3194">
        <v>76.239999999999995</v>
      </c>
      <c r="G21" s="3194">
        <v>2300</v>
      </c>
      <c r="H21" s="3194" t="s">
        <v>3470</v>
      </c>
      <c r="I21" s="3194" t="s">
        <v>3534</v>
      </c>
      <c r="J21" s="3194">
        <f t="shared" si="0"/>
        <v>30.17</v>
      </c>
    </row>
    <row r="24" spans="5:11">
      <c r="E24" s="3171" t="s">
        <v>3535</v>
      </c>
      <c r="F24" s="3171">
        <v>123.09</v>
      </c>
      <c r="G24" s="3171">
        <v>6000</v>
      </c>
      <c r="H24" s="3171" t="s">
        <v>3511</v>
      </c>
      <c r="I24" s="3171" t="s">
        <v>3528</v>
      </c>
      <c r="J24" s="3171">
        <f t="shared" ref="J24:J25" si="1">ROUND(G24/F24,2)</f>
        <v>48.74</v>
      </c>
    </row>
    <row r="25" spans="5:11">
      <c r="F25" s="3171">
        <v>93.22</v>
      </c>
      <c r="G25" s="3171">
        <v>3000</v>
      </c>
      <c r="H25" s="3171" t="s">
        <v>3511</v>
      </c>
      <c r="I25" s="3171" t="s">
        <v>3526</v>
      </c>
      <c r="J25" s="3171">
        <f t="shared" si="1"/>
        <v>32.18</v>
      </c>
    </row>
    <row r="51" spans="5:5">
      <c r="E51" s="3193" t="s">
        <v>3536</v>
      </c>
    </row>
  </sheetData>
  <phoneticPr fontId="135" type="noConversion"/>
  <hyperlinks>
    <hyperlink ref="E51" r:id="rId1" display="https://www.beijing.gov.cn/ywdt/zwzt/gjkczx/" xr:uid="{687C315F-3A8C-4F3C-9B29-840888F5F3D2}"/>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1EFA1-CBFA-4876-9AC7-68FF0E29BDBD}">
  <dimension ref="A1:N105"/>
  <sheetViews>
    <sheetView zoomScale="85" zoomScaleNormal="85" workbookViewId="0">
      <selection activeCell="O20" sqref="O20"/>
    </sheetView>
  </sheetViews>
  <sheetFormatPr defaultColWidth="9" defaultRowHeight="13.5"/>
  <cols>
    <col min="1" max="3" width="26.375" style="3207" customWidth="1"/>
    <col min="4" max="6" width="26.375" style="3189" customWidth="1"/>
    <col min="7" max="7" width="24.5" style="3189" hidden="1" customWidth="1"/>
    <col min="8" max="8" width="18.875" style="3189" hidden="1" customWidth="1"/>
    <col min="9" max="9" width="86.875" style="3189" hidden="1" customWidth="1"/>
    <col min="10" max="10" width="35.625" style="3189" hidden="1" customWidth="1"/>
    <col min="11" max="11" width="29.75" style="3189" hidden="1" customWidth="1"/>
    <col min="12" max="13" width="9" style="3189"/>
    <col min="14" max="14" width="10.5" style="3189" bestFit="1" customWidth="1"/>
    <col min="15" max="16384" width="9" style="3189"/>
  </cols>
  <sheetData>
    <row r="1" spans="1:14" ht="54.95" customHeight="1">
      <c r="A1" s="3509" t="s">
        <v>3537</v>
      </c>
      <c r="B1" s="3509"/>
      <c r="C1" s="3509"/>
      <c r="D1" s="3509"/>
      <c r="E1" s="3509"/>
      <c r="F1" s="3509"/>
      <c r="G1" s="3509"/>
      <c r="H1" s="3509"/>
      <c r="I1" s="3509"/>
      <c r="J1" s="3509"/>
      <c r="K1" s="3509"/>
    </row>
    <row r="2" spans="1:14" ht="38.1" customHeight="1">
      <c r="A2" s="3196" t="s">
        <v>3538</v>
      </c>
      <c r="B2" s="3196"/>
      <c r="C2" s="3196"/>
      <c r="D2" s="3196"/>
      <c r="E2" s="3196"/>
      <c r="F2" s="3196"/>
      <c r="G2" s="3196"/>
      <c r="H2" s="3196"/>
      <c r="I2" s="3196"/>
      <c r="J2" s="3510" t="s">
        <v>3539</v>
      </c>
      <c r="K2" s="3510"/>
    </row>
    <row r="3" spans="1:14" s="3196" customFormat="1" ht="39.950000000000003" customHeight="1">
      <c r="A3" s="3197" t="s">
        <v>3540</v>
      </c>
      <c r="B3" s="3197" t="s">
        <v>3541</v>
      </c>
      <c r="C3" s="3197" t="s">
        <v>3542</v>
      </c>
      <c r="D3" s="3197" t="s">
        <v>3543</v>
      </c>
      <c r="E3" s="3197" t="s">
        <v>3544</v>
      </c>
      <c r="F3" s="3197" t="s">
        <v>3545</v>
      </c>
      <c r="G3" s="3197" t="s">
        <v>3546</v>
      </c>
      <c r="H3" s="3197" t="s">
        <v>3547</v>
      </c>
      <c r="I3" s="3197" t="s">
        <v>3548</v>
      </c>
      <c r="J3" s="3197" t="s">
        <v>3549</v>
      </c>
      <c r="K3" s="3197" t="s">
        <v>3550</v>
      </c>
    </row>
    <row r="4" spans="1:14" ht="20.100000000000001" customHeight="1">
      <c r="A4" s="3198">
        <v>1</v>
      </c>
      <c r="B4" s="3198">
        <v>4</v>
      </c>
      <c r="C4" s="3198">
        <v>3</v>
      </c>
      <c r="D4" s="3198">
        <v>101</v>
      </c>
      <c r="E4" s="3198">
        <v>88.79</v>
      </c>
      <c r="F4" s="3198" t="s">
        <v>3551</v>
      </c>
      <c r="G4" s="3199"/>
      <c r="H4" s="3199"/>
      <c r="I4" s="3199"/>
      <c r="J4" s="3199"/>
      <c r="K4" s="3198"/>
      <c r="N4" s="3208">
        <f>SUM(E4:E103)</f>
        <v>8908.0000000000018</v>
      </c>
    </row>
    <row r="5" spans="1:14" ht="20.100000000000001" customHeight="1">
      <c r="A5" s="3198">
        <v>2</v>
      </c>
      <c r="B5" s="3198">
        <v>4</v>
      </c>
      <c r="C5" s="3198">
        <v>3</v>
      </c>
      <c r="D5" s="3198">
        <v>201</v>
      </c>
      <c r="E5" s="3198">
        <v>88.54</v>
      </c>
      <c r="F5" s="3198" t="s">
        <v>3551</v>
      </c>
      <c r="G5" s="3199"/>
      <c r="H5" s="3199"/>
      <c r="I5" s="3199"/>
      <c r="J5" s="3199"/>
      <c r="K5" s="3198"/>
    </row>
    <row r="6" spans="1:14" ht="20.100000000000001" customHeight="1">
      <c r="A6" s="3198">
        <v>3</v>
      </c>
      <c r="B6" s="3198">
        <v>4</v>
      </c>
      <c r="C6" s="3198">
        <v>3</v>
      </c>
      <c r="D6" s="3198">
        <v>301</v>
      </c>
      <c r="E6" s="3198">
        <v>88.54</v>
      </c>
      <c r="F6" s="3198" t="s">
        <v>3551</v>
      </c>
      <c r="G6" s="3199"/>
      <c r="H6" s="3199"/>
      <c r="I6" s="3199"/>
      <c r="J6" s="3199"/>
      <c r="K6" s="3198"/>
    </row>
    <row r="7" spans="1:14" ht="20.100000000000001" customHeight="1">
      <c r="A7" s="3198">
        <v>4</v>
      </c>
      <c r="B7" s="3198">
        <v>4</v>
      </c>
      <c r="C7" s="3198">
        <v>3</v>
      </c>
      <c r="D7" s="3198">
        <v>401</v>
      </c>
      <c r="E7" s="3198">
        <v>88.54</v>
      </c>
      <c r="F7" s="3198" t="s">
        <v>3551</v>
      </c>
      <c r="G7" s="3199"/>
      <c r="H7" s="3199"/>
      <c r="I7" s="3199"/>
      <c r="J7" s="3199"/>
      <c r="K7" s="3198"/>
    </row>
    <row r="8" spans="1:14" ht="20.100000000000001" customHeight="1">
      <c r="A8" s="3198">
        <v>5</v>
      </c>
      <c r="B8" s="3198">
        <v>4</v>
      </c>
      <c r="C8" s="3198">
        <v>3</v>
      </c>
      <c r="D8" s="3198">
        <v>501</v>
      </c>
      <c r="E8" s="3198">
        <v>88.54</v>
      </c>
      <c r="F8" s="3198" t="s">
        <v>3551</v>
      </c>
      <c r="G8" s="3199"/>
      <c r="H8" s="3199"/>
      <c r="I8" s="3199"/>
      <c r="J8" s="3199"/>
      <c r="K8" s="3198"/>
    </row>
    <row r="9" spans="1:14" ht="20.100000000000001" customHeight="1">
      <c r="A9" s="3198">
        <v>6</v>
      </c>
      <c r="B9" s="3198">
        <v>4</v>
      </c>
      <c r="C9" s="3198">
        <v>3</v>
      </c>
      <c r="D9" s="3198">
        <v>102</v>
      </c>
      <c r="E9" s="3198">
        <v>88.53</v>
      </c>
      <c r="F9" s="3198" t="s">
        <v>3551</v>
      </c>
      <c r="G9" s="3199"/>
      <c r="H9" s="3199"/>
      <c r="I9" s="3199"/>
      <c r="J9" s="3199"/>
      <c r="K9" s="3198"/>
    </row>
    <row r="10" spans="1:14" ht="20.100000000000001" customHeight="1">
      <c r="A10" s="3198">
        <v>7</v>
      </c>
      <c r="B10" s="3198">
        <v>4</v>
      </c>
      <c r="C10" s="3198">
        <v>3</v>
      </c>
      <c r="D10" s="3198">
        <v>202</v>
      </c>
      <c r="E10" s="3198">
        <v>88.3</v>
      </c>
      <c r="F10" s="3198" t="s">
        <v>3551</v>
      </c>
      <c r="G10" s="3199"/>
      <c r="H10" s="3199"/>
      <c r="I10" s="3199"/>
      <c r="J10" s="3199"/>
      <c r="K10" s="3198"/>
    </row>
    <row r="11" spans="1:14" ht="20.100000000000001" customHeight="1">
      <c r="A11" s="3198">
        <v>8</v>
      </c>
      <c r="B11" s="3198">
        <v>4</v>
      </c>
      <c r="C11" s="3198">
        <v>3</v>
      </c>
      <c r="D11" s="3198">
        <v>302</v>
      </c>
      <c r="E11" s="3198">
        <v>88.3</v>
      </c>
      <c r="F11" s="3198" t="s">
        <v>3551</v>
      </c>
      <c r="G11" s="3199"/>
      <c r="H11" s="3199"/>
      <c r="I11" s="3199"/>
      <c r="J11" s="3199"/>
      <c r="K11" s="3198"/>
    </row>
    <row r="12" spans="1:14" ht="20.100000000000001" customHeight="1">
      <c r="A12" s="3198">
        <v>9</v>
      </c>
      <c r="B12" s="3198">
        <v>4</v>
      </c>
      <c r="C12" s="3198">
        <v>3</v>
      </c>
      <c r="D12" s="3198">
        <v>402</v>
      </c>
      <c r="E12" s="3198">
        <v>88.3</v>
      </c>
      <c r="F12" s="3198" t="s">
        <v>3551</v>
      </c>
      <c r="G12" s="3199"/>
      <c r="H12" s="3199"/>
      <c r="I12" s="3199"/>
      <c r="J12" s="3199"/>
      <c r="K12" s="3198"/>
    </row>
    <row r="13" spans="1:14" ht="20.100000000000001" customHeight="1">
      <c r="A13" s="3198">
        <v>10</v>
      </c>
      <c r="B13" s="3198">
        <v>4</v>
      </c>
      <c r="C13" s="3198">
        <v>3</v>
      </c>
      <c r="D13" s="3198">
        <v>502</v>
      </c>
      <c r="E13" s="3198">
        <v>88.3</v>
      </c>
      <c r="F13" s="3198" t="s">
        <v>3551</v>
      </c>
      <c r="G13" s="3199"/>
      <c r="H13" s="3199"/>
      <c r="I13" s="3199"/>
      <c r="J13" s="3199"/>
      <c r="K13" s="3198"/>
    </row>
    <row r="14" spans="1:14" ht="20.100000000000001" customHeight="1">
      <c r="A14" s="3198">
        <v>11</v>
      </c>
      <c r="B14" s="3198">
        <v>4</v>
      </c>
      <c r="C14" s="3198">
        <v>4</v>
      </c>
      <c r="D14" s="3198">
        <v>101</v>
      </c>
      <c r="E14" s="3198">
        <v>88.53</v>
      </c>
      <c r="F14" s="3198" t="s">
        <v>3551</v>
      </c>
      <c r="G14" s="3199"/>
      <c r="H14" s="3199"/>
      <c r="I14" s="3199"/>
      <c r="J14" s="3199"/>
      <c r="K14" s="3198"/>
    </row>
    <row r="15" spans="1:14" ht="20.100000000000001" customHeight="1">
      <c r="A15" s="3198">
        <v>12</v>
      </c>
      <c r="B15" s="3198">
        <v>4</v>
      </c>
      <c r="C15" s="3198">
        <v>4</v>
      </c>
      <c r="D15" s="3198">
        <v>201</v>
      </c>
      <c r="E15" s="3198">
        <v>88.3</v>
      </c>
      <c r="F15" s="3198" t="s">
        <v>3551</v>
      </c>
      <c r="G15" s="3199"/>
      <c r="H15" s="3199"/>
      <c r="I15" s="3199"/>
      <c r="J15" s="3199"/>
      <c r="K15" s="3198"/>
    </row>
    <row r="16" spans="1:14" ht="20.100000000000001" customHeight="1">
      <c r="A16" s="3198">
        <v>13</v>
      </c>
      <c r="B16" s="3198">
        <v>4</v>
      </c>
      <c r="C16" s="3198">
        <v>4</v>
      </c>
      <c r="D16" s="3198">
        <v>301</v>
      </c>
      <c r="E16" s="3198">
        <v>88.3</v>
      </c>
      <c r="F16" s="3198" t="s">
        <v>3551</v>
      </c>
      <c r="G16" s="3199"/>
      <c r="H16" s="3199"/>
      <c r="I16" s="3199"/>
      <c r="J16" s="3199"/>
      <c r="K16" s="3198"/>
    </row>
    <row r="17" spans="1:11" ht="20.100000000000001" customHeight="1">
      <c r="A17" s="3198">
        <v>14</v>
      </c>
      <c r="B17" s="3198">
        <v>4</v>
      </c>
      <c r="C17" s="3198">
        <v>4</v>
      </c>
      <c r="D17" s="3198">
        <v>401</v>
      </c>
      <c r="E17" s="3198">
        <v>88.3</v>
      </c>
      <c r="F17" s="3198" t="s">
        <v>3551</v>
      </c>
      <c r="G17" s="3199"/>
      <c r="H17" s="3199"/>
      <c r="I17" s="3199"/>
      <c r="J17" s="3199"/>
      <c r="K17" s="3198"/>
    </row>
    <row r="18" spans="1:11" ht="20.100000000000001" customHeight="1">
      <c r="A18" s="3198">
        <v>15</v>
      </c>
      <c r="B18" s="3198">
        <v>4</v>
      </c>
      <c r="C18" s="3198">
        <v>4</v>
      </c>
      <c r="D18" s="3198">
        <v>501</v>
      </c>
      <c r="E18" s="3198">
        <v>88.3</v>
      </c>
      <c r="F18" s="3198" t="s">
        <v>3551</v>
      </c>
      <c r="G18" s="3199"/>
      <c r="H18" s="3199"/>
      <c r="I18" s="3199"/>
      <c r="J18" s="3199"/>
      <c r="K18" s="3198"/>
    </row>
    <row r="19" spans="1:11" ht="20.100000000000001" customHeight="1">
      <c r="A19" s="3198">
        <v>16</v>
      </c>
      <c r="B19" s="3198">
        <v>4</v>
      </c>
      <c r="C19" s="3198">
        <v>4</v>
      </c>
      <c r="D19" s="3198">
        <v>102</v>
      </c>
      <c r="E19" s="3198">
        <v>89.52</v>
      </c>
      <c r="F19" s="3198" t="s">
        <v>3551</v>
      </c>
      <c r="G19" s="3199"/>
      <c r="H19" s="3199"/>
      <c r="I19" s="3199"/>
      <c r="J19" s="3199"/>
      <c r="K19" s="3198"/>
    </row>
    <row r="20" spans="1:11" ht="20.100000000000001" customHeight="1">
      <c r="A20" s="3198">
        <v>17</v>
      </c>
      <c r="B20" s="3198">
        <v>4</v>
      </c>
      <c r="C20" s="3198">
        <v>4</v>
      </c>
      <c r="D20" s="3198">
        <v>202</v>
      </c>
      <c r="E20" s="3198">
        <v>89.12</v>
      </c>
      <c r="F20" s="3198" t="s">
        <v>3551</v>
      </c>
      <c r="G20" s="3199"/>
      <c r="H20" s="3199"/>
      <c r="I20" s="3199"/>
      <c r="J20" s="3199"/>
      <c r="K20" s="3198"/>
    </row>
    <row r="21" spans="1:11" ht="20.100000000000001" customHeight="1">
      <c r="A21" s="3198">
        <v>18</v>
      </c>
      <c r="B21" s="3198">
        <v>4</v>
      </c>
      <c r="C21" s="3198">
        <v>4</v>
      </c>
      <c r="D21" s="3198">
        <v>302</v>
      </c>
      <c r="E21" s="3198">
        <v>89.12</v>
      </c>
      <c r="F21" s="3198" t="s">
        <v>3551</v>
      </c>
      <c r="G21" s="3199"/>
      <c r="H21" s="3199"/>
      <c r="I21" s="3199"/>
      <c r="J21" s="3199"/>
      <c r="K21" s="3198"/>
    </row>
    <row r="22" spans="1:11" ht="20.100000000000001" customHeight="1">
      <c r="A22" s="3198">
        <v>19</v>
      </c>
      <c r="B22" s="3198">
        <v>4</v>
      </c>
      <c r="C22" s="3198">
        <v>4</v>
      </c>
      <c r="D22" s="3198">
        <v>402</v>
      </c>
      <c r="E22" s="3198">
        <v>89.12</v>
      </c>
      <c r="F22" s="3198" t="s">
        <v>3551</v>
      </c>
      <c r="G22" s="3199"/>
      <c r="H22" s="3199"/>
      <c r="I22" s="3199"/>
      <c r="J22" s="3199"/>
      <c r="K22" s="3198"/>
    </row>
    <row r="23" spans="1:11" ht="20.100000000000001" customHeight="1">
      <c r="A23" s="3198">
        <v>20</v>
      </c>
      <c r="B23" s="3198">
        <v>4</v>
      </c>
      <c r="C23" s="3198">
        <v>4</v>
      </c>
      <c r="D23" s="3198">
        <v>502</v>
      </c>
      <c r="E23" s="3198">
        <v>89.12</v>
      </c>
      <c r="F23" s="3198" t="s">
        <v>3551</v>
      </c>
      <c r="G23" s="3199"/>
      <c r="H23" s="3199"/>
      <c r="I23" s="3199"/>
      <c r="J23" s="3199"/>
      <c r="K23" s="3198"/>
    </row>
    <row r="24" spans="1:11" ht="20.100000000000001" customHeight="1">
      <c r="A24" s="3200">
        <v>21</v>
      </c>
      <c r="B24" s="3200">
        <v>5</v>
      </c>
      <c r="C24" s="3200">
        <v>1</v>
      </c>
      <c r="D24" s="3200">
        <v>1004</v>
      </c>
      <c r="E24" s="3200">
        <v>116.88</v>
      </c>
      <c r="F24" s="3200" t="s">
        <v>3552</v>
      </c>
      <c r="G24" s="3201" t="s">
        <v>3553</v>
      </c>
      <c r="H24" s="3201">
        <v>17600737240</v>
      </c>
      <c r="I24" s="3202" t="s">
        <v>3554</v>
      </c>
      <c r="J24" s="3202" t="s">
        <v>3555</v>
      </c>
      <c r="K24" s="3200" t="s">
        <v>3556</v>
      </c>
    </row>
    <row r="25" spans="1:11" ht="20.100000000000001" customHeight="1">
      <c r="A25" s="3198">
        <v>22</v>
      </c>
      <c r="B25" s="3198">
        <v>5</v>
      </c>
      <c r="C25" s="3198">
        <v>2</v>
      </c>
      <c r="D25" s="3198">
        <v>204</v>
      </c>
      <c r="E25" s="3198">
        <v>88.21</v>
      </c>
      <c r="F25" s="3198" t="s">
        <v>3552</v>
      </c>
      <c r="G25" s="3199"/>
      <c r="H25" s="3199"/>
      <c r="I25" s="3199"/>
      <c r="J25" s="3199"/>
      <c r="K25" s="3198"/>
    </row>
    <row r="26" spans="1:11" ht="20.100000000000001" customHeight="1">
      <c r="A26" s="3203">
        <v>23</v>
      </c>
      <c r="B26" s="3203">
        <v>5</v>
      </c>
      <c r="C26" s="3203">
        <v>2</v>
      </c>
      <c r="D26" s="3203">
        <v>304</v>
      </c>
      <c r="E26" s="3203">
        <v>88.21</v>
      </c>
      <c r="F26" s="3203" t="s">
        <v>3552</v>
      </c>
      <c r="G26" s="3203" t="s">
        <v>3557</v>
      </c>
      <c r="H26" s="3203"/>
      <c r="I26" s="3203" t="s">
        <v>3558</v>
      </c>
      <c r="J26" s="3203"/>
      <c r="K26" s="3203" t="s">
        <v>3559</v>
      </c>
    </row>
    <row r="27" spans="1:11" ht="20.100000000000001" customHeight="1">
      <c r="A27" s="3198">
        <v>24</v>
      </c>
      <c r="B27" s="3198">
        <v>5</v>
      </c>
      <c r="C27" s="3198">
        <v>2</v>
      </c>
      <c r="D27" s="3198">
        <v>1004</v>
      </c>
      <c r="E27" s="3198">
        <v>88.21</v>
      </c>
      <c r="F27" s="3198" t="s">
        <v>3552</v>
      </c>
      <c r="G27" s="3199"/>
      <c r="H27" s="3199"/>
      <c r="I27" s="3198" t="s">
        <v>3556</v>
      </c>
      <c r="J27" s="3199"/>
      <c r="K27" s="3198" t="s">
        <v>3560</v>
      </c>
    </row>
    <row r="28" spans="1:11" ht="20.100000000000001" customHeight="1">
      <c r="A28" s="3203">
        <v>25</v>
      </c>
      <c r="B28" s="3203">
        <v>6</v>
      </c>
      <c r="C28" s="3203">
        <v>1</v>
      </c>
      <c r="D28" s="3203">
        <v>1003</v>
      </c>
      <c r="E28" s="3203">
        <v>86.87</v>
      </c>
      <c r="F28" s="3203" t="s">
        <v>3551</v>
      </c>
      <c r="G28" s="3203" t="s">
        <v>3561</v>
      </c>
      <c r="H28" s="3203"/>
      <c r="I28" s="3203" t="s">
        <v>3558</v>
      </c>
      <c r="J28" s="3203"/>
      <c r="K28" s="3203" t="s">
        <v>3559</v>
      </c>
    </row>
    <row r="29" spans="1:11" ht="20.100000000000001" customHeight="1">
      <c r="A29" s="3198">
        <v>26</v>
      </c>
      <c r="B29" s="3198">
        <v>6</v>
      </c>
      <c r="C29" s="3198">
        <v>2</v>
      </c>
      <c r="D29" s="3198">
        <v>204</v>
      </c>
      <c r="E29" s="3198">
        <v>88.2</v>
      </c>
      <c r="F29" s="3198" t="s">
        <v>3552</v>
      </c>
      <c r="G29" s="3199"/>
      <c r="H29" s="3199"/>
      <c r="I29" s="3199"/>
      <c r="J29" s="3199"/>
      <c r="K29" s="3198"/>
    </row>
    <row r="30" spans="1:11" ht="20.100000000000001" customHeight="1">
      <c r="A30" s="3200">
        <v>27</v>
      </c>
      <c r="B30" s="3200">
        <v>6</v>
      </c>
      <c r="C30" s="3200">
        <v>2</v>
      </c>
      <c r="D30" s="3200">
        <v>1002</v>
      </c>
      <c r="E30" s="3200">
        <v>86.87</v>
      </c>
      <c r="F30" s="3200" t="s">
        <v>3551</v>
      </c>
      <c r="G30" s="3201" t="s">
        <v>3562</v>
      </c>
      <c r="H30" s="3201">
        <v>13051402289</v>
      </c>
      <c r="I30" s="3202" t="s">
        <v>3563</v>
      </c>
      <c r="J30" s="3202" t="s">
        <v>3564</v>
      </c>
      <c r="K30" s="3200" t="s">
        <v>3556</v>
      </c>
    </row>
    <row r="31" spans="1:11" ht="20.100000000000001" customHeight="1">
      <c r="A31" s="3198">
        <v>28</v>
      </c>
      <c r="B31" s="3198">
        <v>7</v>
      </c>
      <c r="C31" s="3198">
        <v>1</v>
      </c>
      <c r="D31" s="3198">
        <v>104</v>
      </c>
      <c r="E31" s="3198">
        <v>100.34</v>
      </c>
      <c r="F31" s="3198" t="s">
        <v>3551</v>
      </c>
      <c r="G31" s="3199"/>
      <c r="H31" s="3199"/>
      <c r="I31" s="3199"/>
      <c r="J31" s="3199"/>
      <c r="K31" s="3198"/>
    </row>
    <row r="32" spans="1:11" ht="20.100000000000001" customHeight="1">
      <c r="A32" s="3203">
        <v>29</v>
      </c>
      <c r="B32" s="3203">
        <v>7</v>
      </c>
      <c r="C32" s="3203">
        <v>1</v>
      </c>
      <c r="D32" s="3203">
        <v>1004</v>
      </c>
      <c r="E32" s="3203">
        <v>116.89</v>
      </c>
      <c r="F32" s="3203" t="s">
        <v>3552</v>
      </c>
      <c r="G32" s="3203"/>
      <c r="H32" s="3203"/>
      <c r="I32" s="3203"/>
      <c r="J32" s="3203"/>
      <c r="K32" s="3203" t="s">
        <v>3559</v>
      </c>
    </row>
    <row r="33" spans="1:11" ht="20.100000000000001" customHeight="1">
      <c r="A33" s="3198">
        <v>30</v>
      </c>
      <c r="B33" s="3198">
        <v>7</v>
      </c>
      <c r="C33" s="3198">
        <v>1</v>
      </c>
      <c r="D33" s="3198">
        <v>103</v>
      </c>
      <c r="E33" s="3198">
        <v>87.09</v>
      </c>
      <c r="F33" s="3198" t="s">
        <v>3551</v>
      </c>
      <c r="G33" s="3199"/>
      <c r="H33" s="3199"/>
      <c r="I33" s="3199"/>
      <c r="J33" s="3199"/>
      <c r="K33" s="3198"/>
    </row>
    <row r="34" spans="1:11" ht="20.100000000000001" customHeight="1">
      <c r="A34" s="3203">
        <v>31</v>
      </c>
      <c r="B34" s="3203">
        <v>7</v>
      </c>
      <c r="C34" s="3203">
        <v>1</v>
      </c>
      <c r="D34" s="3203">
        <v>203</v>
      </c>
      <c r="E34" s="3203">
        <v>86.89</v>
      </c>
      <c r="F34" s="3203" t="s">
        <v>3551</v>
      </c>
      <c r="G34" s="3203" t="s">
        <v>3565</v>
      </c>
      <c r="H34" s="3203"/>
      <c r="I34" s="3203" t="s">
        <v>3558</v>
      </c>
      <c r="J34" s="3203"/>
      <c r="K34" s="3203" t="s">
        <v>3559</v>
      </c>
    </row>
    <row r="35" spans="1:11" ht="20.100000000000001" customHeight="1">
      <c r="A35" s="3200">
        <v>32</v>
      </c>
      <c r="B35" s="3200">
        <v>7</v>
      </c>
      <c r="C35" s="3200">
        <v>1</v>
      </c>
      <c r="D35" s="3200">
        <v>303</v>
      </c>
      <c r="E35" s="3200">
        <v>86.89</v>
      </c>
      <c r="F35" s="3200" t="s">
        <v>3551</v>
      </c>
      <c r="G35" s="3201" t="s">
        <v>3566</v>
      </c>
      <c r="H35" s="3201">
        <v>18701354385</v>
      </c>
      <c r="I35" s="3202" t="s">
        <v>3563</v>
      </c>
      <c r="J35" s="3202" t="s">
        <v>3567</v>
      </c>
      <c r="K35" s="3200" t="s">
        <v>3556</v>
      </c>
    </row>
    <row r="36" spans="1:11" ht="20.100000000000001" customHeight="1">
      <c r="A36" s="3200">
        <v>33</v>
      </c>
      <c r="B36" s="3202">
        <v>7</v>
      </c>
      <c r="C36" s="3202">
        <v>1</v>
      </c>
      <c r="D36" s="3202">
        <v>403</v>
      </c>
      <c r="E36" s="3200">
        <v>86.89</v>
      </c>
      <c r="F36" s="3202" t="s">
        <v>3551</v>
      </c>
      <c r="G36" s="3202" t="s">
        <v>3568</v>
      </c>
      <c r="H36" s="3202">
        <v>13810417627</v>
      </c>
      <c r="I36" s="3202" t="s">
        <v>3563</v>
      </c>
      <c r="J36" s="3202" t="s">
        <v>3569</v>
      </c>
      <c r="K36" s="3200" t="s">
        <v>3556</v>
      </c>
    </row>
    <row r="37" spans="1:11" ht="20.100000000000001" customHeight="1">
      <c r="A37" s="3200">
        <v>34</v>
      </c>
      <c r="B37" s="3200">
        <v>7</v>
      </c>
      <c r="C37" s="3200">
        <v>1</v>
      </c>
      <c r="D37" s="3200">
        <v>503</v>
      </c>
      <c r="E37" s="3200">
        <v>86.89</v>
      </c>
      <c r="F37" s="3200" t="s">
        <v>3551</v>
      </c>
      <c r="G37" s="3201" t="s">
        <v>3570</v>
      </c>
      <c r="H37" s="3202">
        <v>13488890650</v>
      </c>
      <c r="I37" s="3202" t="s">
        <v>3563</v>
      </c>
      <c r="J37" s="3202" t="s">
        <v>3564</v>
      </c>
      <c r="K37" s="3200" t="s">
        <v>3556</v>
      </c>
    </row>
    <row r="38" spans="1:11" ht="20.100000000000001" customHeight="1">
      <c r="A38" s="3200">
        <v>35</v>
      </c>
      <c r="B38" s="3200">
        <v>7</v>
      </c>
      <c r="C38" s="3200">
        <v>1</v>
      </c>
      <c r="D38" s="3200">
        <v>603</v>
      </c>
      <c r="E38" s="3200">
        <v>86.89</v>
      </c>
      <c r="F38" s="3200" t="s">
        <v>3551</v>
      </c>
      <c r="G38" s="3201" t="s">
        <v>3571</v>
      </c>
      <c r="H38" s="3201">
        <v>18810683517</v>
      </c>
      <c r="I38" s="3202" t="s">
        <v>3563</v>
      </c>
      <c r="J38" s="3202" t="s">
        <v>3564</v>
      </c>
      <c r="K38" s="3200" t="s">
        <v>3556</v>
      </c>
    </row>
    <row r="39" spans="1:11" ht="20.100000000000001" customHeight="1">
      <c r="A39" s="3200">
        <v>36</v>
      </c>
      <c r="B39" s="3200">
        <v>7</v>
      </c>
      <c r="C39" s="3200">
        <v>1</v>
      </c>
      <c r="D39" s="3200">
        <v>703</v>
      </c>
      <c r="E39" s="3200">
        <v>86.89</v>
      </c>
      <c r="F39" s="3200" t="s">
        <v>3551</v>
      </c>
      <c r="G39" s="3201" t="s">
        <v>3572</v>
      </c>
      <c r="H39" s="3201">
        <v>18561116865</v>
      </c>
      <c r="I39" s="3202" t="s">
        <v>3563</v>
      </c>
      <c r="J39" s="3202" t="s">
        <v>3564</v>
      </c>
      <c r="K39" s="3200" t="s">
        <v>3556</v>
      </c>
    </row>
    <row r="40" spans="1:11" ht="20.100000000000001" customHeight="1">
      <c r="A40" s="3200">
        <v>37</v>
      </c>
      <c r="B40" s="3200">
        <v>7</v>
      </c>
      <c r="C40" s="3200">
        <v>1</v>
      </c>
      <c r="D40" s="3200">
        <v>803</v>
      </c>
      <c r="E40" s="3200">
        <v>86.89</v>
      </c>
      <c r="F40" s="3200" t="s">
        <v>3551</v>
      </c>
      <c r="G40" s="3201" t="s">
        <v>3573</v>
      </c>
      <c r="H40" s="3201">
        <v>18810386760</v>
      </c>
      <c r="I40" s="3202" t="s">
        <v>3563</v>
      </c>
      <c r="J40" s="3202" t="s">
        <v>3569</v>
      </c>
      <c r="K40" s="3200" t="s">
        <v>3556</v>
      </c>
    </row>
    <row r="41" spans="1:11" ht="20.100000000000001" customHeight="1">
      <c r="A41" s="3200">
        <v>38</v>
      </c>
      <c r="B41" s="3200">
        <v>7</v>
      </c>
      <c r="C41" s="3200">
        <v>1</v>
      </c>
      <c r="D41" s="3200">
        <v>903</v>
      </c>
      <c r="E41" s="3200">
        <v>86.89</v>
      </c>
      <c r="F41" s="3200" t="s">
        <v>3551</v>
      </c>
      <c r="G41" s="3200" t="s">
        <v>3574</v>
      </c>
      <c r="H41" s="3200">
        <v>13693385755</v>
      </c>
      <c r="I41" s="3200" t="s">
        <v>3575</v>
      </c>
      <c r="J41" s="3202" t="s">
        <v>3576</v>
      </c>
      <c r="K41" s="3200" t="s">
        <v>3556</v>
      </c>
    </row>
    <row r="42" spans="1:11" ht="20.100000000000001" customHeight="1">
      <c r="A42" s="3203">
        <v>39</v>
      </c>
      <c r="B42" s="3203">
        <v>7</v>
      </c>
      <c r="C42" s="3203">
        <v>1</v>
      </c>
      <c r="D42" s="3203">
        <v>1003</v>
      </c>
      <c r="E42" s="3203">
        <v>86.89</v>
      </c>
      <c r="F42" s="3203" t="s">
        <v>3551</v>
      </c>
      <c r="G42" s="3203"/>
      <c r="H42" s="3203"/>
      <c r="I42" s="3203"/>
      <c r="J42" s="3203"/>
      <c r="K42" s="3203" t="s">
        <v>3559</v>
      </c>
    </row>
    <row r="43" spans="1:11" ht="20.100000000000001" customHeight="1">
      <c r="A43" s="3198">
        <v>40</v>
      </c>
      <c r="B43" s="3198">
        <v>7</v>
      </c>
      <c r="C43" s="3198">
        <v>1</v>
      </c>
      <c r="D43" s="3198">
        <v>102</v>
      </c>
      <c r="E43" s="3198">
        <v>87.09</v>
      </c>
      <c r="F43" s="3198" t="s">
        <v>3551</v>
      </c>
      <c r="G43" s="3199"/>
      <c r="H43" s="3199"/>
      <c r="I43" s="3199"/>
      <c r="J43" s="3199"/>
      <c r="K43" s="3198"/>
    </row>
    <row r="44" spans="1:11" ht="20.100000000000001" customHeight="1">
      <c r="A44" s="3200">
        <v>41</v>
      </c>
      <c r="B44" s="3200">
        <v>7</v>
      </c>
      <c r="C44" s="3200">
        <v>1</v>
      </c>
      <c r="D44" s="3200">
        <v>202</v>
      </c>
      <c r="E44" s="3200">
        <v>86.89</v>
      </c>
      <c r="F44" s="3200" t="s">
        <v>3551</v>
      </c>
      <c r="G44" s="3201" t="s">
        <v>3577</v>
      </c>
      <c r="H44" s="3201">
        <v>13001962508</v>
      </c>
      <c r="I44" s="3202" t="s">
        <v>3563</v>
      </c>
      <c r="J44" s="3202" t="s">
        <v>3578</v>
      </c>
      <c r="K44" s="3200" t="s">
        <v>3556</v>
      </c>
    </row>
    <row r="45" spans="1:11" ht="20.100000000000001" customHeight="1">
      <c r="A45" s="3200">
        <v>42</v>
      </c>
      <c r="B45" s="3200">
        <v>7</v>
      </c>
      <c r="C45" s="3200">
        <v>1</v>
      </c>
      <c r="D45" s="3200">
        <v>302</v>
      </c>
      <c r="E45" s="3200">
        <v>86.89</v>
      </c>
      <c r="F45" s="3200" t="s">
        <v>3551</v>
      </c>
      <c r="G45" s="3201" t="s">
        <v>3579</v>
      </c>
      <c r="H45" s="3201">
        <v>13261769558</v>
      </c>
      <c r="I45" s="3202" t="s">
        <v>3563</v>
      </c>
      <c r="J45" s="3202" t="s">
        <v>3578</v>
      </c>
      <c r="K45" s="3200" t="s">
        <v>3556</v>
      </c>
    </row>
    <row r="46" spans="1:11" ht="20.100000000000001" customHeight="1">
      <c r="A46" s="3200">
        <v>43</v>
      </c>
      <c r="B46" s="3200">
        <v>7</v>
      </c>
      <c r="C46" s="3200">
        <v>1</v>
      </c>
      <c r="D46" s="3200">
        <v>402</v>
      </c>
      <c r="E46" s="3200">
        <v>86.89</v>
      </c>
      <c r="F46" s="3200" t="s">
        <v>3551</v>
      </c>
      <c r="G46" s="3201" t="s">
        <v>3580</v>
      </c>
      <c r="H46" s="3201">
        <v>18633301219</v>
      </c>
      <c r="I46" s="3202" t="s">
        <v>3563</v>
      </c>
      <c r="J46" s="3202" t="s">
        <v>3578</v>
      </c>
      <c r="K46" s="3200" t="s">
        <v>3556</v>
      </c>
    </row>
    <row r="47" spans="1:11" ht="20.100000000000001" customHeight="1">
      <c r="A47" s="3200">
        <v>44</v>
      </c>
      <c r="B47" s="3200">
        <v>7</v>
      </c>
      <c r="C47" s="3200">
        <v>1</v>
      </c>
      <c r="D47" s="3200">
        <v>502</v>
      </c>
      <c r="E47" s="3200">
        <v>86.89</v>
      </c>
      <c r="F47" s="3200" t="s">
        <v>3551</v>
      </c>
      <c r="G47" s="3201" t="s">
        <v>3581</v>
      </c>
      <c r="H47" s="3201">
        <v>15801337195</v>
      </c>
      <c r="I47" s="3202" t="s">
        <v>3563</v>
      </c>
      <c r="J47" s="3202" t="s">
        <v>3578</v>
      </c>
      <c r="K47" s="3200" t="s">
        <v>3556</v>
      </c>
    </row>
    <row r="48" spans="1:11" ht="20.100000000000001" customHeight="1">
      <c r="A48" s="3200">
        <v>45</v>
      </c>
      <c r="B48" s="3200">
        <v>7</v>
      </c>
      <c r="C48" s="3200">
        <v>1</v>
      </c>
      <c r="D48" s="3200">
        <v>602</v>
      </c>
      <c r="E48" s="3200">
        <v>86.89</v>
      </c>
      <c r="F48" s="3200" t="s">
        <v>3551</v>
      </c>
      <c r="G48" s="3201" t="s">
        <v>3582</v>
      </c>
      <c r="H48" s="3201">
        <v>18811285817</v>
      </c>
      <c r="I48" s="3202" t="s">
        <v>3563</v>
      </c>
      <c r="J48" s="3202" t="s">
        <v>3578</v>
      </c>
      <c r="K48" s="3200" t="s">
        <v>3556</v>
      </c>
    </row>
    <row r="49" spans="1:11" ht="20.100000000000001" customHeight="1">
      <c r="A49" s="3200">
        <v>46</v>
      </c>
      <c r="B49" s="3200">
        <v>7</v>
      </c>
      <c r="C49" s="3200">
        <v>1</v>
      </c>
      <c r="D49" s="3200">
        <v>802</v>
      </c>
      <c r="E49" s="3200">
        <v>86.89</v>
      </c>
      <c r="F49" s="3200" t="s">
        <v>3551</v>
      </c>
      <c r="G49" s="3201" t="s">
        <v>3583</v>
      </c>
      <c r="H49" s="3201">
        <v>13011011155</v>
      </c>
      <c r="I49" s="3202" t="s">
        <v>3563</v>
      </c>
      <c r="J49" s="3202" t="s">
        <v>3564</v>
      </c>
      <c r="K49" s="3200" t="s">
        <v>3556</v>
      </c>
    </row>
    <row r="50" spans="1:11" ht="20.100000000000001" customHeight="1">
      <c r="A50" s="3203">
        <v>47</v>
      </c>
      <c r="B50" s="3203">
        <v>7</v>
      </c>
      <c r="C50" s="3203">
        <v>1</v>
      </c>
      <c r="D50" s="3203">
        <v>1002</v>
      </c>
      <c r="E50" s="3203">
        <v>86.89</v>
      </c>
      <c r="F50" s="3203" t="s">
        <v>3551</v>
      </c>
      <c r="G50" s="3203"/>
      <c r="H50" s="3203"/>
      <c r="I50" s="3203"/>
      <c r="J50" s="3203"/>
      <c r="K50" s="3203" t="s">
        <v>3559</v>
      </c>
    </row>
    <row r="51" spans="1:11" ht="20.100000000000001" customHeight="1">
      <c r="A51" s="3203">
        <v>48</v>
      </c>
      <c r="B51" s="3203">
        <v>7</v>
      </c>
      <c r="C51" s="3203">
        <v>1</v>
      </c>
      <c r="D51" s="3203">
        <v>1001</v>
      </c>
      <c r="E51" s="3203">
        <v>88.22</v>
      </c>
      <c r="F51" s="3203" t="s">
        <v>3552</v>
      </c>
      <c r="G51" s="3203"/>
      <c r="H51" s="3203"/>
      <c r="I51" s="3203"/>
      <c r="J51" s="3203"/>
      <c r="K51" s="3203" t="s">
        <v>3559</v>
      </c>
    </row>
    <row r="52" spans="1:11" ht="20.100000000000001" customHeight="1">
      <c r="A52" s="3200">
        <v>49</v>
      </c>
      <c r="B52" s="3200">
        <v>7</v>
      </c>
      <c r="C52" s="3200">
        <v>2</v>
      </c>
      <c r="D52" s="3200">
        <v>604</v>
      </c>
      <c r="E52" s="3200">
        <v>88.36</v>
      </c>
      <c r="F52" s="3200" t="s">
        <v>3551</v>
      </c>
      <c r="G52" s="3201" t="s">
        <v>3584</v>
      </c>
      <c r="H52" s="3201">
        <v>16602774152</v>
      </c>
      <c r="I52" s="3202" t="s">
        <v>3563</v>
      </c>
      <c r="J52" s="3202" t="s">
        <v>3564</v>
      </c>
      <c r="K52" s="3200" t="s">
        <v>3556</v>
      </c>
    </row>
    <row r="53" spans="1:11" ht="18" customHeight="1">
      <c r="A53" s="3200">
        <v>50</v>
      </c>
      <c r="B53" s="3200">
        <v>7</v>
      </c>
      <c r="C53" s="3200">
        <v>2</v>
      </c>
      <c r="D53" s="3200">
        <v>704</v>
      </c>
      <c r="E53" s="3200">
        <v>88.36</v>
      </c>
      <c r="F53" s="3200" t="s">
        <v>3551</v>
      </c>
      <c r="G53" s="3201" t="s">
        <v>3585</v>
      </c>
      <c r="H53" s="3201">
        <v>13911152288</v>
      </c>
      <c r="I53" s="3202" t="s">
        <v>3563</v>
      </c>
      <c r="J53" s="3202" t="s">
        <v>3564</v>
      </c>
      <c r="K53" s="3200" t="s">
        <v>3556</v>
      </c>
    </row>
    <row r="54" spans="1:11" ht="20.100000000000001" customHeight="1">
      <c r="A54" s="3200">
        <v>51</v>
      </c>
      <c r="B54" s="3200">
        <v>7</v>
      </c>
      <c r="C54" s="3200">
        <v>2</v>
      </c>
      <c r="D54" s="3200">
        <v>904</v>
      </c>
      <c r="E54" s="3200">
        <v>88.36</v>
      </c>
      <c r="F54" s="3200" t="s">
        <v>3551</v>
      </c>
      <c r="G54" s="3201" t="s">
        <v>3586</v>
      </c>
      <c r="H54" s="3201">
        <v>13466768211</v>
      </c>
      <c r="I54" s="3202" t="s">
        <v>3563</v>
      </c>
      <c r="J54" s="3202" t="s">
        <v>3564</v>
      </c>
      <c r="K54" s="3200" t="s">
        <v>3556</v>
      </c>
    </row>
    <row r="55" spans="1:11" ht="20.100000000000001" customHeight="1">
      <c r="A55" s="3200">
        <v>52</v>
      </c>
      <c r="B55" s="3200">
        <v>7</v>
      </c>
      <c r="C55" s="3200">
        <v>2</v>
      </c>
      <c r="D55" s="3200">
        <v>1004</v>
      </c>
      <c r="E55" s="3200">
        <v>88.36</v>
      </c>
      <c r="F55" s="3200" t="s">
        <v>3551</v>
      </c>
      <c r="G55" s="3201" t="s">
        <v>3587</v>
      </c>
      <c r="H55" s="3201">
        <v>13701370691</v>
      </c>
      <c r="I55" s="3202" t="s">
        <v>3563</v>
      </c>
      <c r="J55" s="3202" t="s">
        <v>3564</v>
      </c>
      <c r="K55" s="3200" t="s">
        <v>3556</v>
      </c>
    </row>
    <row r="56" spans="1:11" ht="20.100000000000001" customHeight="1">
      <c r="A56" s="3198">
        <v>53</v>
      </c>
      <c r="B56" s="3198">
        <v>7</v>
      </c>
      <c r="C56" s="3198">
        <v>2</v>
      </c>
      <c r="D56" s="3198">
        <v>103</v>
      </c>
      <c r="E56" s="3198">
        <v>87.09</v>
      </c>
      <c r="F56" s="3198" t="s">
        <v>3551</v>
      </c>
      <c r="G56" s="3199"/>
      <c r="H56" s="3199"/>
      <c r="I56" s="3199"/>
      <c r="J56" s="3199"/>
      <c r="K56" s="3198"/>
    </row>
    <row r="57" spans="1:11" ht="20.100000000000001" customHeight="1">
      <c r="A57" s="3200">
        <v>54</v>
      </c>
      <c r="B57" s="3200">
        <v>7</v>
      </c>
      <c r="C57" s="3200">
        <v>2</v>
      </c>
      <c r="D57" s="3200">
        <v>203</v>
      </c>
      <c r="E57" s="3200">
        <v>86.89</v>
      </c>
      <c r="F57" s="3200" t="s">
        <v>3551</v>
      </c>
      <c r="G57" s="3201" t="s">
        <v>3588</v>
      </c>
      <c r="H57" s="3201" t="s">
        <v>3589</v>
      </c>
      <c r="I57" s="3202" t="s">
        <v>3563</v>
      </c>
      <c r="J57" s="3202" t="s">
        <v>3567</v>
      </c>
      <c r="K57" s="3200" t="s">
        <v>3556</v>
      </c>
    </row>
    <row r="58" spans="1:11" ht="20.100000000000001" customHeight="1">
      <c r="A58" s="3200">
        <v>55</v>
      </c>
      <c r="B58" s="3200">
        <v>7</v>
      </c>
      <c r="C58" s="3200">
        <v>2</v>
      </c>
      <c r="D58" s="3200">
        <v>303</v>
      </c>
      <c r="E58" s="3200">
        <v>86.89</v>
      </c>
      <c r="F58" s="3200" t="s">
        <v>3551</v>
      </c>
      <c r="G58" s="3201" t="s">
        <v>3590</v>
      </c>
      <c r="H58" s="3201" t="s">
        <v>3591</v>
      </c>
      <c r="I58" s="3202" t="s">
        <v>3592</v>
      </c>
      <c r="J58" s="3202" t="s">
        <v>3555</v>
      </c>
      <c r="K58" s="3200" t="s">
        <v>3556</v>
      </c>
    </row>
    <row r="59" spans="1:11" ht="20.100000000000001" customHeight="1">
      <c r="A59" s="3200">
        <v>56</v>
      </c>
      <c r="B59" s="3200">
        <v>7</v>
      </c>
      <c r="C59" s="3200">
        <v>2</v>
      </c>
      <c r="D59" s="3200">
        <v>403</v>
      </c>
      <c r="E59" s="3200">
        <v>86.89</v>
      </c>
      <c r="F59" s="3200" t="s">
        <v>3551</v>
      </c>
      <c r="G59" s="3201" t="s">
        <v>3593</v>
      </c>
      <c r="H59" s="3201">
        <v>13331180380</v>
      </c>
      <c r="I59" s="3202" t="s">
        <v>3563</v>
      </c>
      <c r="J59" s="3202" t="s">
        <v>3567</v>
      </c>
      <c r="K59" s="3200" t="s">
        <v>3556</v>
      </c>
    </row>
    <row r="60" spans="1:11" ht="20.100000000000001" customHeight="1">
      <c r="A60" s="3203">
        <v>57</v>
      </c>
      <c r="B60" s="3203">
        <v>7</v>
      </c>
      <c r="C60" s="3203">
        <v>2</v>
      </c>
      <c r="D60" s="3203">
        <v>503</v>
      </c>
      <c r="E60" s="3203">
        <v>86.89</v>
      </c>
      <c r="F60" s="3203" t="s">
        <v>3551</v>
      </c>
      <c r="G60" s="3203" t="s">
        <v>3594</v>
      </c>
      <c r="H60" s="3203"/>
      <c r="I60" s="3203" t="s">
        <v>3558</v>
      </c>
      <c r="J60" s="3203"/>
      <c r="K60" s="3203" t="s">
        <v>3559</v>
      </c>
    </row>
    <row r="61" spans="1:11" ht="20.100000000000001" customHeight="1">
      <c r="A61" s="3200">
        <v>58</v>
      </c>
      <c r="B61" s="3200">
        <v>7</v>
      </c>
      <c r="C61" s="3200">
        <v>2</v>
      </c>
      <c r="D61" s="3200">
        <v>603</v>
      </c>
      <c r="E61" s="3200">
        <v>86.89</v>
      </c>
      <c r="F61" s="3200" t="s">
        <v>3551</v>
      </c>
      <c r="G61" s="3201" t="s">
        <v>3595</v>
      </c>
      <c r="H61" s="3201">
        <v>15801271817</v>
      </c>
      <c r="I61" s="3202" t="s">
        <v>3563</v>
      </c>
      <c r="J61" s="3202" t="s">
        <v>3564</v>
      </c>
      <c r="K61" s="3200" t="s">
        <v>3556</v>
      </c>
    </row>
    <row r="62" spans="1:11" ht="20.100000000000001" customHeight="1">
      <c r="A62" s="3200">
        <v>59</v>
      </c>
      <c r="B62" s="3200">
        <v>7</v>
      </c>
      <c r="C62" s="3200">
        <v>2</v>
      </c>
      <c r="D62" s="3200">
        <v>703</v>
      </c>
      <c r="E62" s="3200">
        <v>86.89</v>
      </c>
      <c r="F62" s="3200" t="s">
        <v>3551</v>
      </c>
      <c r="G62" s="3201" t="s">
        <v>3596</v>
      </c>
      <c r="H62" s="3201" t="s">
        <v>3597</v>
      </c>
      <c r="I62" s="3202" t="s">
        <v>3563</v>
      </c>
      <c r="J62" s="3202" t="s">
        <v>3567</v>
      </c>
      <c r="K62" s="3200" t="s">
        <v>3556</v>
      </c>
    </row>
    <row r="63" spans="1:11" ht="20.100000000000001" customHeight="1">
      <c r="A63" s="3200">
        <v>60</v>
      </c>
      <c r="B63" s="3200">
        <v>7</v>
      </c>
      <c r="C63" s="3200">
        <v>2</v>
      </c>
      <c r="D63" s="3200">
        <v>803</v>
      </c>
      <c r="E63" s="3200">
        <v>86.89</v>
      </c>
      <c r="F63" s="3200" t="s">
        <v>3551</v>
      </c>
      <c r="G63" s="3201" t="s">
        <v>3598</v>
      </c>
      <c r="H63" s="3201">
        <v>13699250693</v>
      </c>
      <c r="I63" s="3202" t="s">
        <v>3563</v>
      </c>
      <c r="J63" s="3202" t="s">
        <v>3564</v>
      </c>
      <c r="K63" s="3200" t="s">
        <v>3556</v>
      </c>
    </row>
    <row r="64" spans="1:11" ht="20.100000000000001" customHeight="1">
      <c r="A64" s="3200">
        <v>61</v>
      </c>
      <c r="B64" s="3200">
        <v>7</v>
      </c>
      <c r="C64" s="3200">
        <v>2</v>
      </c>
      <c r="D64" s="3200">
        <v>903</v>
      </c>
      <c r="E64" s="3200">
        <v>86.89</v>
      </c>
      <c r="F64" s="3200" t="s">
        <v>3551</v>
      </c>
      <c r="G64" s="3201" t="s">
        <v>3599</v>
      </c>
      <c r="H64" s="3201">
        <v>18810679707</v>
      </c>
      <c r="I64" s="3202" t="s">
        <v>3563</v>
      </c>
      <c r="J64" s="3202" t="s">
        <v>3567</v>
      </c>
      <c r="K64" s="3200" t="s">
        <v>3556</v>
      </c>
    </row>
    <row r="65" spans="1:11" ht="20.100000000000001" customHeight="1">
      <c r="A65" s="3200">
        <v>62</v>
      </c>
      <c r="B65" s="3200">
        <v>7</v>
      </c>
      <c r="C65" s="3200">
        <v>2</v>
      </c>
      <c r="D65" s="3200">
        <v>1003</v>
      </c>
      <c r="E65" s="3200">
        <v>86.89</v>
      </c>
      <c r="F65" s="3200" t="s">
        <v>3551</v>
      </c>
      <c r="G65" s="3201" t="s">
        <v>3600</v>
      </c>
      <c r="H65" s="3201">
        <v>15909426391</v>
      </c>
      <c r="I65" s="3202" t="s">
        <v>3563</v>
      </c>
      <c r="J65" s="3202" t="s">
        <v>3564</v>
      </c>
      <c r="K65" s="3200" t="s">
        <v>3556</v>
      </c>
    </row>
    <row r="66" spans="1:11" ht="20.100000000000001" customHeight="1">
      <c r="A66" s="3200">
        <v>63</v>
      </c>
      <c r="B66" s="3200">
        <v>7</v>
      </c>
      <c r="C66" s="3200">
        <v>2</v>
      </c>
      <c r="D66" s="3200">
        <v>102</v>
      </c>
      <c r="E66" s="3200">
        <v>87.09</v>
      </c>
      <c r="F66" s="3200" t="s">
        <v>3551</v>
      </c>
      <c r="G66" s="3201"/>
      <c r="H66" s="3201"/>
      <c r="I66" s="3202"/>
      <c r="J66" s="3202"/>
      <c r="K66" s="3200"/>
    </row>
    <row r="67" spans="1:11" ht="20.100000000000001" customHeight="1">
      <c r="A67" s="3203">
        <v>64</v>
      </c>
      <c r="B67" s="3203">
        <v>7</v>
      </c>
      <c r="C67" s="3203">
        <v>2</v>
      </c>
      <c r="D67" s="3203">
        <v>202</v>
      </c>
      <c r="E67" s="3203">
        <v>86.89</v>
      </c>
      <c r="F67" s="3203" t="s">
        <v>3551</v>
      </c>
      <c r="G67" s="3203" t="s">
        <v>3601</v>
      </c>
      <c r="H67" s="3203"/>
      <c r="I67" s="3203" t="s">
        <v>3558</v>
      </c>
      <c r="J67" s="3203"/>
      <c r="K67" s="3203" t="s">
        <v>3559</v>
      </c>
    </row>
    <row r="68" spans="1:11" ht="20.100000000000001" customHeight="1">
      <c r="A68" s="3200">
        <v>65</v>
      </c>
      <c r="B68" s="3200">
        <v>7</v>
      </c>
      <c r="C68" s="3200">
        <v>2</v>
      </c>
      <c r="D68" s="3200">
        <v>302</v>
      </c>
      <c r="E68" s="3200">
        <v>86.89</v>
      </c>
      <c r="F68" s="3200" t="s">
        <v>3551</v>
      </c>
      <c r="G68" s="3201" t="s">
        <v>3602</v>
      </c>
      <c r="H68" s="3201" t="s">
        <v>3603</v>
      </c>
      <c r="I68" s="3202" t="s">
        <v>3592</v>
      </c>
      <c r="J68" s="3202" t="s">
        <v>3555</v>
      </c>
      <c r="K68" s="3200" t="s">
        <v>3556</v>
      </c>
    </row>
    <row r="69" spans="1:11" ht="20.100000000000001" customHeight="1">
      <c r="A69" s="3200">
        <v>66</v>
      </c>
      <c r="B69" s="3200">
        <v>7</v>
      </c>
      <c r="C69" s="3200">
        <v>2</v>
      </c>
      <c r="D69" s="3200">
        <v>402</v>
      </c>
      <c r="E69" s="3200">
        <v>86.89</v>
      </c>
      <c r="F69" s="3200" t="s">
        <v>3551</v>
      </c>
      <c r="G69" s="3201" t="s">
        <v>3604</v>
      </c>
      <c r="H69" s="3201" t="s">
        <v>3605</v>
      </c>
      <c r="I69" s="3202" t="s">
        <v>3592</v>
      </c>
      <c r="J69" s="3202" t="s">
        <v>3555</v>
      </c>
      <c r="K69" s="3200" t="s">
        <v>3556</v>
      </c>
    </row>
    <row r="70" spans="1:11" ht="20.100000000000001" customHeight="1">
      <c r="A70" s="3203">
        <v>67</v>
      </c>
      <c r="B70" s="3203">
        <v>7</v>
      </c>
      <c r="C70" s="3203">
        <v>2</v>
      </c>
      <c r="D70" s="3203">
        <v>502</v>
      </c>
      <c r="E70" s="3203">
        <v>86.89</v>
      </c>
      <c r="F70" s="3203" t="s">
        <v>3551</v>
      </c>
      <c r="G70" s="3203" t="s">
        <v>3606</v>
      </c>
      <c r="H70" s="3203">
        <v>15732634094</v>
      </c>
      <c r="I70" s="3203" t="s">
        <v>3607</v>
      </c>
      <c r="J70" s="3203"/>
      <c r="K70" s="3203" t="s">
        <v>3559</v>
      </c>
    </row>
    <row r="71" spans="1:11" ht="20.100000000000001" customHeight="1">
      <c r="A71" s="3200">
        <v>68</v>
      </c>
      <c r="B71" s="3200">
        <v>7</v>
      </c>
      <c r="C71" s="3200">
        <v>2</v>
      </c>
      <c r="D71" s="3200">
        <v>602</v>
      </c>
      <c r="E71" s="3200">
        <v>86.89</v>
      </c>
      <c r="F71" s="3200" t="s">
        <v>3551</v>
      </c>
      <c r="G71" s="3201" t="s">
        <v>3608</v>
      </c>
      <c r="H71" s="3201" t="s">
        <v>3609</v>
      </c>
      <c r="I71" s="3202" t="s">
        <v>3563</v>
      </c>
      <c r="J71" s="3202" t="s">
        <v>3567</v>
      </c>
      <c r="K71" s="3200" t="s">
        <v>3556</v>
      </c>
    </row>
    <row r="72" spans="1:11" ht="20.100000000000001" customHeight="1">
      <c r="A72" s="3200">
        <v>69</v>
      </c>
      <c r="B72" s="3200">
        <v>7</v>
      </c>
      <c r="C72" s="3200">
        <v>2</v>
      </c>
      <c r="D72" s="3200">
        <v>1002</v>
      </c>
      <c r="E72" s="3200">
        <v>86.89</v>
      </c>
      <c r="F72" s="3200" t="s">
        <v>3551</v>
      </c>
      <c r="G72" s="3201" t="s">
        <v>3610</v>
      </c>
      <c r="H72" s="3201" t="s">
        <v>3611</v>
      </c>
      <c r="I72" s="3202" t="s">
        <v>3563</v>
      </c>
      <c r="J72" s="3202" t="s">
        <v>3564</v>
      </c>
      <c r="K72" s="3200" t="s">
        <v>3556</v>
      </c>
    </row>
    <row r="73" spans="1:11" ht="20.100000000000001" customHeight="1">
      <c r="A73" s="3198">
        <v>70</v>
      </c>
      <c r="B73" s="3198">
        <v>7</v>
      </c>
      <c r="C73" s="3198">
        <v>3</v>
      </c>
      <c r="D73" s="3198">
        <v>101</v>
      </c>
      <c r="E73" s="3198">
        <v>88.84</v>
      </c>
      <c r="F73" s="3198" t="s">
        <v>3551</v>
      </c>
      <c r="G73" s="3199"/>
      <c r="H73" s="3199"/>
      <c r="I73" s="3199"/>
      <c r="J73" s="3199"/>
      <c r="K73" s="3198"/>
    </row>
    <row r="74" spans="1:11" ht="20.100000000000001" customHeight="1">
      <c r="A74" s="3198">
        <v>71</v>
      </c>
      <c r="B74" s="3198">
        <v>7</v>
      </c>
      <c r="C74" s="3198">
        <v>3</v>
      </c>
      <c r="D74" s="3198">
        <v>201</v>
      </c>
      <c r="E74" s="3198">
        <v>88.6</v>
      </c>
      <c r="F74" s="3198" t="s">
        <v>3551</v>
      </c>
      <c r="G74" s="3199"/>
      <c r="H74" s="3199"/>
      <c r="I74" s="3199"/>
      <c r="J74" s="3199"/>
      <c r="K74" s="3198"/>
    </row>
    <row r="75" spans="1:11" ht="20.100000000000001" customHeight="1">
      <c r="A75" s="3198">
        <v>72</v>
      </c>
      <c r="B75" s="3198">
        <v>7</v>
      </c>
      <c r="C75" s="3198">
        <v>3</v>
      </c>
      <c r="D75" s="3198">
        <v>301</v>
      </c>
      <c r="E75" s="3198">
        <v>88.6</v>
      </c>
      <c r="F75" s="3198" t="s">
        <v>3551</v>
      </c>
      <c r="G75" s="3199"/>
      <c r="H75" s="3199"/>
      <c r="I75" s="3199"/>
      <c r="J75" s="3199"/>
      <c r="K75" s="3198"/>
    </row>
    <row r="76" spans="1:11" ht="20.100000000000001" customHeight="1">
      <c r="A76" s="3198">
        <v>73</v>
      </c>
      <c r="B76" s="3198">
        <v>7</v>
      </c>
      <c r="C76" s="3198">
        <v>3</v>
      </c>
      <c r="D76" s="3198">
        <v>401</v>
      </c>
      <c r="E76" s="3198">
        <v>88.6</v>
      </c>
      <c r="F76" s="3198" t="s">
        <v>3551</v>
      </c>
      <c r="G76" s="3199"/>
      <c r="H76" s="3199"/>
      <c r="I76" s="3199"/>
      <c r="J76" s="3199"/>
      <c r="K76" s="3198"/>
    </row>
    <row r="77" spans="1:11" ht="20.100000000000001" customHeight="1">
      <c r="A77" s="3198">
        <v>74</v>
      </c>
      <c r="B77" s="3198">
        <v>7</v>
      </c>
      <c r="C77" s="3198">
        <v>3</v>
      </c>
      <c r="D77" s="3198">
        <v>501</v>
      </c>
      <c r="E77" s="3198">
        <v>88.6</v>
      </c>
      <c r="F77" s="3198" t="s">
        <v>3551</v>
      </c>
      <c r="G77" s="3199"/>
      <c r="H77" s="3199"/>
      <c r="I77" s="3199"/>
      <c r="J77" s="3199"/>
      <c r="K77" s="3198"/>
    </row>
    <row r="78" spans="1:11" ht="20.100000000000001" customHeight="1">
      <c r="A78" s="3198">
        <v>75</v>
      </c>
      <c r="B78" s="3198">
        <v>7</v>
      </c>
      <c r="C78" s="3198">
        <v>3</v>
      </c>
      <c r="D78" s="3198">
        <v>102</v>
      </c>
      <c r="E78" s="3198">
        <v>88.59</v>
      </c>
      <c r="F78" s="3198" t="s">
        <v>3551</v>
      </c>
      <c r="G78" s="3199"/>
      <c r="H78" s="3199"/>
      <c r="I78" s="3199"/>
      <c r="J78" s="3199"/>
      <c r="K78" s="3198"/>
    </row>
    <row r="79" spans="1:11" ht="20.100000000000001" customHeight="1">
      <c r="A79" s="3198">
        <v>76</v>
      </c>
      <c r="B79" s="3198">
        <v>7</v>
      </c>
      <c r="C79" s="3198">
        <v>3</v>
      </c>
      <c r="D79" s="3198">
        <v>202</v>
      </c>
      <c r="E79" s="3198">
        <v>88.36</v>
      </c>
      <c r="F79" s="3198" t="s">
        <v>3551</v>
      </c>
      <c r="G79" s="3199"/>
      <c r="H79" s="3199"/>
      <c r="I79" s="3199"/>
      <c r="J79" s="3199"/>
      <c r="K79" s="3198"/>
    </row>
    <row r="80" spans="1:11" ht="20.100000000000001" customHeight="1">
      <c r="A80" s="3203">
        <v>77</v>
      </c>
      <c r="B80" s="3203">
        <v>7</v>
      </c>
      <c r="C80" s="3203">
        <v>3</v>
      </c>
      <c r="D80" s="3203">
        <v>302</v>
      </c>
      <c r="E80" s="3203">
        <v>88.36</v>
      </c>
      <c r="F80" s="3203" t="s">
        <v>3551</v>
      </c>
      <c r="G80" s="3203" t="s">
        <v>3612</v>
      </c>
      <c r="H80" s="3203"/>
      <c r="I80" s="3203" t="s">
        <v>3558</v>
      </c>
      <c r="J80" s="3203"/>
      <c r="K80" s="3203" t="s">
        <v>3559</v>
      </c>
    </row>
    <row r="81" spans="1:11" ht="20.100000000000001" customHeight="1">
      <c r="A81" s="3198">
        <v>78</v>
      </c>
      <c r="B81" s="3198">
        <v>7</v>
      </c>
      <c r="C81" s="3198">
        <v>3</v>
      </c>
      <c r="D81" s="3198">
        <v>402</v>
      </c>
      <c r="E81" s="3198">
        <v>88.36</v>
      </c>
      <c r="F81" s="3198" t="s">
        <v>3551</v>
      </c>
      <c r="G81" s="3199"/>
      <c r="H81" s="3199"/>
      <c r="I81" s="3199"/>
      <c r="J81" s="3199"/>
      <c r="K81" s="3198"/>
    </row>
    <row r="82" spans="1:11" ht="20.100000000000001" customHeight="1">
      <c r="A82" s="3198">
        <v>79</v>
      </c>
      <c r="B82" s="3198">
        <v>7</v>
      </c>
      <c r="C82" s="3198">
        <v>3</v>
      </c>
      <c r="D82" s="3198">
        <v>502</v>
      </c>
      <c r="E82" s="3198">
        <v>88.36</v>
      </c>
      <c r="F82" s="3198" t="s">
        <v>3551</v>
      </c>
      <c r="G82" s="3199"/>
      <c r="H82" s="3199"/>
      <c r="I82" s="3199"/>
      <c r="J82" s="3199"/>
      <c r="K82" s="3198"/>
    </row>
    <row r="83" spans="1:11" ht="20.100000000000001" customHeight="1">
      <c r="A83" s="3198">
        <v>80</v>
      </c>
      <c r="B83" s="3198">
        <v>7</v>
      </c>
      <c r="C83" s="3198">
        <v>4</v>
      </c>
      <c r="D83" s="3198">
        <v>101</v>
      </c>
      <c r="E83" s="3198">
        <v>88.59</v>
      </c>
      <c r="F83" s="3198" t="s">
        <v>3551</v>
      </c>
      <c r="G83" s="3199"/>
      <c r="H83" s="3199"/>
      <c r="I83" s="3199"/>
      <c r="J83" s="3199"/>
      <c r="K83" s="3198"/>
    </row>
    <row r="84" spans="1:11" ht="20.100000000000001" customHeight="1">
      <c r="A84" s="3198">
        <v>81</v>
      </c>
      <c r="B84" s="3198">
        <v>7</v>
      </c>
      <c r="C84" s="3198">
        <v>4</v>
      </c>
      <c r="D84" s="3198">
        <v>201</v>
      </c>
      <c r="E84" s="3198">
        <v>88.36</v>
      </c>
      <c r="F84" s="3198" t="s">
        <v>3551</v>
      </c>
      <c r="G84" s="3199"/>
      <c r="H84" s="3199"/>
      <c r="I84" s="3199"/>
      <c r="J84" s="3199"/>
      <c r="K84" s="3198"/>
    </row>
    <row r="85" spans="1:11" ht="20.100000000000001" customHeight="1">
      <c r="A85" s="3198">
        <v>82</v>
      </c>
      <c r="B85" s="3198">
        <v>7</v>
      </c>
      <c r="C85" s="3198">
        <v>4</v>
      </c>
      <c r="D85" s="3198">
        <v>301</v>
      </c>
      <c r="E85" s="3198">
        <v>88.36</v>
      </c>
      <c r="F85" s="3198" t="s">
        <v>3551</v>
      </c>
      <c r="G85" s="3199"/>
      <c r="H85" s="3199"/>
      <c r="I85" s="3199"/>
      <c r="J85" s="3199"/>
      <c r="K85" s="3198"/>
    </row>
    <row r="86" spans="1:11" ht="20.100000000000001" customHeight="1">
      <c r="A86" s="3198">
        <v>83</v>
      </c>
      <c r="B86" s="3198">
        <v>7</v>
      </c>
      <c r="C86" s="3198">
        <v>4</v>
      </c>
      <c r="D86" s="3198">
        <v>401</v>
      </c>
      <c r="E86" s="3198">
        <v>88.36</v>
      </c>
      <c r="F86" s="3198" t="s">
        <v>3551</v>
      </c>
      <c r="G86" s="3199"/>
      <c r="H86" s="3199"/>
      <c r="I86" s="3199"/>
      <c r="J86" s="3199"/>
      <c r="K86" s="3198"/>
    </row>
    <row r="87" spans="1:11" ht="20.100000000000001" customHeight="1">
      <c r="A87" s="3198">
        <v>84</v>
      </c>
      <c r="B87" s="3198">
        <v>7</v>
      </c>
      <c r="C87" s="3198">
        <v>4</v>
      </c>
      <c r="D87" s="3198">
        <v>501</v>
      </c>
      <c r="E87" s="3198">
        <v>88.36</v>
      </c>
      <c r="F87" s="3198" t="s">
        <v>3551</v>
      </c>
      <c r="G87" s="3199"/>
      <c r="H87" s="3199"/>
      <c r="I87" s="3199"/>
      <c r="J87" s="3199"/>
      <c r="K87" s="3198"/>
    </row>
    <row r="88" spans="1:11" ht="20.100000000000001" customHeight="1">
      <c r="A88" s="3198">
        <v>85</v>
      </c>
      <c r="B88" s="3198">
        <v>7</v>
      </c>
      <c r="C88" s="3198">
        <v>4</v>
      </c>
      <c r="D88" s="3198">
        <v>102</v>
      </c>
      <c r="E88" s="3198">
        <v>89.58</v>
      </c>
      <c r="F88" s="3198" t="s">
        <v>3551</v>
      </c>
      <c r="G88" s="3199"/>
      <c r="H88" s="3199"/>
      <c r="I88" s="3199"/>
      <c r="J88" s="3199"/>
      <c r="K88" s="3198"/>
    </row>
    <row r="89" spans="1:11" ht="20.100000000000001" customHeight="1">
      <c r="A89" s="3198">
        <v>86</v>
      </c>
      <c r="B89" s="3198">
        <v>7</v>
      </c>
      <c r="C89" s="3198">
        <v>4</v>
      </c>
      <c r="D89" s="3198">
        <v>202</v>
      </c>
      <c r="E89" s="3198">
        <v>89.18</v>
      </c>
      <c r="F89" s="3198" t="s">
        <v>3551</v>
      </c>
      <c r="G89" s="3199"/>
      <c r="H89" s="3199"/>
      <c r="I89" s="3199"/>
      <c r="J89" s="3199"/>
      <c r="K89" s="3198"/>
    </row>
    <row r="90" spans="1:11" ht="20.100000000000001" customHeight="1">
      <c r="A90" s="3198">
        <v>87</v>
      </c>
      <c r="B90" s="3198">
        <v>7</v>
      </c>
      <c r="C90" s="3198">
        <v>4</v>
      </c>
      <c r="D90" s="3198">
        <v>302</v>
      </c>
      <c r="E90" s="3198">
        <v>89.18</v>
      </c>
      <c r="F90" s="3198" t="s">
        <v>3551</v>
      </c>
      <c r="G90" s="3199"/>
      <c r="H90" s="3199"/>
      <c r="I90" s="3199"/>
      <c r="J90" s="3199"/>
      <c r="K90" s="3198"/>
    </row>
    <row r="91" spans="1:11" ht="20.100000000000001" customHeight="1">
      <c r="A91" s="3198">
        <v>88</v>
      </c>
      <c r="B91" s="3198">
        <v>7</v>
      </c>
      <c r="C91" s="3198">
        <v>4</v>
      </c>
      <c r="D91" s="3198">
        <v>402</v>
      </c>
      <c r="E91" s="3198">
        <v>89.18</v>
      </c>
      <c r="F91" s="3198" t="s">
        <v>3551</v>
      </c>
      <c r="G91" s="3199"/>
      <c r="H91" s="3199"/>
      <c r="I91" s="3199"/>
      <c r="J91" s="3199"/>
      <c r="K91" s="3198"/>
    </row>
    <row r="92" spans="1:11" ht="20.100000000000001" customHeight="1">
      <c r="A92" s="3198">
        <v>89</v>
      </c>
      <c r="B92" s="3198">
        <v>7</v>
      </c>
      <c r="C92" s="3198">
        <v>4</v>
      </c>
      <c r="D92" s="3198">
        <v>502</v>
      </c>
      <c r="E92" s="3198">
        <v>89.18</v>
      </c>
      <c r="F92" s="3198" t="s">
        <v>3551</v>
      </c>
      <c r="G92" s="3199"/>
      <c r="H92" s="3199"/>
      <c r="I92" s="3199"/>
      <c r="J92" s="3199"/>
      <c r="K92" s="3198"/>
    </row>
    <row r="93" spans="1:11" ht="20.100000000000001" customHeight="1">
      <c r="A93" s="3200">
        <v>90</v>
      </c>
      <c r="B93" s="3200">
        <v>8</v>
      </c>
      <c r="C93" s="3200">
        <v>1</v>
      </c>
      <c r="D93" s="3200">
        <v>803</v>
      </c>
      <c r="E93" s="3200">
        <v>87.29</v>
      </c>
      <c r="F93" s="3200" t="s">
        <v>3551</v>
      </c>
      <c r="G93" s="3201" t="s">
        <v>3613</v>
      </c>
      <c r="H93" s="3201">
        <v>13260329513</v>
      </c>
      <c r="I93" s="3202" t="s">
        <v>3563</v>
      </c>
      <c r="J93" s="3202" t="s">
        <v>3564</v>
      </c>
      <c r="K93" s="3200" t="s">
        <v>3556</v>
      </c>
    </row>
    <row r="94" spans="1:11" ht="20.100000000000001" customHeight="1">
      <c r="A94" s="3198">
        <v>91</v>
      </c>
      <c r="B94" s="3198">
        <v>8</v>
      </c>
      <c r="C94" s="3198">
        <v>1</v>
      </c>
      <c r="D94" s="3198">
        <v>104</v>
      </c>
      <c r="E94" s="3198">
        <v>100.58</v>
      </c>
      <c r="F94" s="3198" t="s">
        <v>3551</v>
      </c>
      <c r="G94" s="3199"/>
      <c r="H94" s="3199"/>
      <c r="I94" s="3199"/>
      <c r="J94" s="3199"/>
      <c r="K94" s="3198"/>
    </row>
    <row r="95" spans="1:11" ht="20.100000000000001" customHeight="1">
      <c r="A95" s="3198">
        <v>92</v>
      </c>
      <c r="B95" s="3198">
        <v>8</v>
      </c>
      <c r="C95" s="3198">
        <v>1</v>
      </c>
      <c r="D95" s="3198">
        <v>103</v>
      </c>
      <c r="E95" s="3198">
        <v>87.29</v>
      </c>
      <c r="F95" s="3198" t="s">
        <v>3551</v>
      </c>
      <c r="G95" s="3199"/>
      <c r="H95" s="3199"/>
      <c r="I95" s="3199"/>
      <c r="J95" s="3199"/>
      <c r="K95" s="3198"/>
    </row>
    <row r="96" spans="1:11" ht="20.100000000000001" customHeight="1">
      <c r="A96" s="3198">
        <v>93</v>
      </c>
      <c r="B96" s="3198">
        <v>8</v>
      </c>
      <c r="C96" s="3198">
        <v>1</v>
      </c>
      <c r="D96" s="3198">
        <v>102</v>
      </c>
      <c r="E96" s="3198">
        <v>87.29</v>
      </c>
      <c r="F96" s="3198" t="s">
        <v>3551</v>
      </c>
      <c r="G96" s="3199"/>
      <c r="H96" s="3199"/>
      <c r="I96" s="3199"/>
      <c r="J96" s="3199"/>
      <c r="K96" s="3198"/>
    </row>
    <row r="97" spans="1:11" ht="20.100000000000001" customHeight="1">
      <c r="A97" s="3198">
        <v>94</v>
      </c>
      <c r="B97" s="3198">
        <v>8</v>
      </c>
      <c r="C97" s="3198">
        <v>1</v>
      </c>
      <c r="D97" s="3198">
        <v>101</v>
      </c>
      <c r="E97" s="3198">
        <v>88.63</v>
      </c>
      <c r="F97" s="3198" t="s">
        <v>3552</v>
      </c>
      <c r="G97" s="3199"/>
      <c r="H97" s="3199"/>
      <c r="I97" s="3199"/>
      <c r="J97" s="3199"/>
      <c r="K97" s="3198"/>
    </row>
    <row r="98" spans="1:11" ht="20.100000000000001" customHeight="1">
      <c r="A98" s="3203">
        <v>95</v>
      </c>
      <c r="B98" s="3203">
        <v>8</v>
      </c>
      <c r="C98" s="3203">
        <v>2</v>
      </c>
      <c r="D98" s="3203">
        <v>104</v>
      </c>
      <c r="E98" s="3203">
        <v>88.33</v>
      </c>
      <c r="F98" s="3203" t="s">
        <v>3552</v>
      </c>
      <c r="G98" s="3203"/>
      <c r="H98" s="3203"/>
      <c r="I98" s="3203"/>
      <c r="J98" s="3203"/>
      <c r="K98" s="3203" t="s">
        <v>3559</v>
      </c>
    </row>
    <row r="99" spans="1:11" ht="20.100000000000001" customHeight="1">
      <c r="A99" s="3203">
        <v>96</v>
      </c>
      <c r="B99" s="3203">
        <v>8</v>
      </c>
      <c r="C99" s="3203">
        <v>2</v>
      </c>
      <c r="D99" s="3203">
        <v>103</v>
      </c>
      <c r="E99" s="3203">
        <v>87</v>
      </c>
      <c r="F99" s="3203" t="s">
        <v>3551</v>
      </c>
      <c r="G99" s="3203"/>
      <c r="H99" s="3203"/>
      <c r="I99" s="3203"/>
      <c r="J99" s="3203"/>
      <c r="K99" s="3203" t="s">
        <v>3559</v>
      </c>
    </row>
    <row r="100" spans="1:11" ht="20.100000000000001" customHeight="1">
      <c r="A100" s="3203">
        <v>97</v>
      </c>
      <c r="B100" s="3203">
        <v>8</v>
      </c>
      <c r="C100" s="3203">
        <v>2</v>
      </c>
      <c r="D100" s="3203">
        <v>102</v>
      </c>
      <c r="E100" s="3203">
        <v>87</v>
      </c>
      <c r="F100" s="3203" t="s">
        <v>3551</v>
      </c>
      <c r="G100" s="3203"/>
      <c r="H100" s="3203"/>
      <c r="I100" s="3203"/>
      <c r="J100" s="3203"/>
      <c r="K100" s="3203" t="s">
        <v>3559</v>
      </c>
    </row>
    <row r="101" spans="1:11" ht="20.100000000000001" customHeight="1">
      <c r="A101" s="3198">
        <v>98</v>
      </c>
      <c r="B101" s="3198">
        <v>8</v>
      </c>
      <c r="C101" s="3198">
        <v>2</v>
      </c>
      <c r="D101" s="3198">
        <v>202</v>
      </c>
      <c r="E101" s="3198">
        <v>87</v>
      </c>
      <c r="F101" s="3198" t="s">
        <v>3551</v>
      </c>
      <c r="G101" s="3199"/>
      <c r="H101" s="3199"/>
      <c r="I101" s="3199"/>
      <c r="J101" s="3199"/>
      <c r="K101" s="3198"/>
    </row>
    <row r="102" spans="1:11" ht="20.100000000000001" customHeight="1">
      <c r="A102" s="3203">
        <v>99</v>
      </c>
      <c r="B102" s="3203">
        <v>8</v>
      </c>
      <c r="C102" s="3203">
        <v>2</v>
      </c>
      <c r="D102" s="3203">
        <v>101</v>
      </c>
      <c r="E102" s="3203">
        <v>100.24</v>
      </c>
      <c r="F102" s="3203" t="s">
        <v>3551</v>
      </c>
      <c r="G102" s="3203"/>
      <c r="H102" s="3203"/>
      <c r="I102" s="3203"/>
      <c r="J102" s="3203"/>
      <c r="K102" s="3203" t="s">
        <v>3559</v>
      </c>
    </row>
    <row r="103" spans="1:11" ht="20.100000000000001" customHeight="1">
      <c r="A103" s="3203">
        <v>100</v>
      </c>
      <c r="B103" s="3203">
        <v>8</v>
      </c>
      <c r="C103" s="3203">
        <v>2</v>
      </c>
      <c r="D103" s="3203">
        <v>201</v>
      </c>
      <c r="E103" s="3203">
        <v>117.05</v>
      </c>
      <c r="F103" s="3203" t="s">
        <v>3552</v>
      </c>
      <c r="G103" s="3203" t="s">
        <v>3614</v>
      </c>
      <c r="H103" s="3203"/>
      <c r="I103" s="3203" t="s">
        <v>3558</v>
      </c>
      <c r="J103" s="3203"/>
      <c r="K103" s="3203"/>
    </row>
    <row r="104" spans="1:11" ht="20.100000000000001" customHeight="1">
      <c r="A104" s="3204" t="s">
        <v>3615</v>
      </c>
      <c r="B104" s="3204"/>
      <c r="C104" s="3204"/>
      <c r="D104" s="3204"/>
      <c r="E104" s="3204">
        <f>SUM(E4:E103)</f>
        <v>8908.0000000000018</v>
      </c>
      <c r="F104" s="3205"/>
      <c r="G104" s="3206"/>
      <c r="H104" s="3206"/>
      <c r="I104" s="3206"/>
      <c r="J104" s="3206"/>
      <c r="K104" s="3206"/>
    </row>
    <row r="105" spans="1:11" ht="27.95" customHeight="1">
      <c r="C105" s="3511" t="s">
        <v>3616</v>
      </c>
      <c r="D105" s="3511"/>
      <c r="E105" s="3511"/>
      <c r="F105" s="3511"/>
      <c r="G105" s="3511"/>
      <c r="H105" s="3511"/>
      <c r="I105" s="3511"/>
      <c r="J105" s="3511"/>
      <c r="K105" s="3511"/>
    </row>
  </sheetData>
  <autoFilter ref="A3:F3" xr:uid="{A7A7E7FB-7387-415B-844A-D2929A3DE959}"/>
  <mergeCells count="3">
    <mergeCell ref="A1:K1"/>
    <mergeCell ref="J2:K2"/>
    <mergeCell ref="C105:K105"/>
  </mergeCells>
  <phoneticPr fontId="13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tabSelected="1" view="pageBreakPreview" zoomScale="115" zoomScaleNormal="70" zoomScaleSheetLayoutView="115" workbookViewId="0">
      <selection activeCell="K34" sqref="K3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3402</v>
      </c>
      <c r="C1" s="1717" t="s">
        <v>1563</v>
      </c>
      <c r="D1" s="190"/>
      <c r="E1" s="190"/>
      <c r="F1" s="190"/>
      <c r="G1" s="1062">
        <f>MATCH(B1,'数据-取费表'!A6:A16,0)+5</f>
        <v>6</v>
      </c>
      <c r="H1" s="998" t="str">
        <f>IF(ISERROR(FIND("住宅",B1)),"非住宅","住宅")</f>
        <v>住宅</v>
      </c>
    </row>
    <row r="2" spans="1:8" s="192" customFormat="1" ht="18" customHeight="1">
      <c r="A2" s="193" t="s">
        <v>1462</v>
      </c>
      <c r="B2" s="3123">
        <f ca="1">ROUND(IF(D2="——",C52/10000,C52/10000-E2),4)</f>
        <v>13269.046399999999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14896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67548304.000000015</v>
      </c>
      <c r="D5" s="203" t="s">
        <v>1469</v>
      </c>
      <c r="E5" s="204" t="s">
        <v>1470</v>
      </c>
      <c r="F5" s="204" t="s">
        <v>1471</v>
      </c>
      <c r="G5" s="205"/>
    </row>
    <row r="6" spans="1:8" s="206" customFormat="1" ht="13.5" customHeight="1">
      <c r="A6" s="732" t="s">
        <v>1472</v>
      </c>
      <c r="B6" s="207" t="s">
        <v>1473</v>
      </c>
      <c r="C6" s="208">
        <f>基准地价修正!C33*基准地价修正!D33</f>
        <v>64511736.000000015</v>
      </c>
      <c r="D6" s="209"/>
      <c r="E6" s="210"/>
      <c r="F6" s="210"/>
      <c r="G6" s="211"/>
    </row>
    <row r="7" spans="1:8" s="206" customFormat="1" ht="13.5" customHeight="1">
      <c r="A7" s="732" t="s">
        <v>1474</v>
      </c>
      <c r="B7" s="207" t="s">
        <v>1475</v>
      </c>
      <c r="C7" s="212">
        <f>ROUND(C6*F7,0)</f>
        <v>1967608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1068960</v>
      </c>
      <c r="D8" s="214"/>
      <c r="E8" s="212"/>
      <c r="F8" s="213"/>
      <c r="G8" s="1714" t="s">
        <v>3644</v>
      </c>
    </row>
    <row r="9" spans="1:8" s="206" customFormat="1" ht="13.5" customHeight="1">
      <c r="A9" s="733" t="s">
        <v>355</v>
      </c>
      <c r="B9" s="216" t="s">
        <v>1478</v>
      </c>
      <c r="C9" s="217">
        <f ca="1">ROUND(D9*E9,0)</f>
        <v>1068960</v>
      </c>
      <c r="D9" s="795">
        <f ca="1">IF(B1="",'数据-汇总表'!E5,IF(INDIRECT("'数据-取费表'!c"&amp;$G$1)="住宅",INDIRECT("'数据-取费表'!k"&amp;$G$1),0))</f>
        <v>8908.0000000000018</v>
      </c>
      <c r="E9" s="217">
        <f>'数据-取费表'!B27</f>
        <v>120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8908.0000000000018</v>
      </c>
      <c r="E19" s="203">
        <f>'数据-取费表'!B31</f>
        <v>120</v>
      </c>
      <c r="F19" s="223"/>
      <c r="G19" s="1714" t="s">
        <v>3643</v>
      </c>
    </row>
    <row r="20" spans="1:7" s="206" customFormat="1" ht="13.5" customHeight="1">
      <c r="A20" s="247" t="s">
        <v>1574</v>
      </c>
      <c r="B20" s="202" t="s">
        <v>1575</v>
      </c>
      <c r="C20" s="224">
        <f ca="1">ROUND((C5+C19)*F20,0)</f>
        <v>675483</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6835518</v>
      </c>
      <c r="D22" s="227">
        <f ca="1">C26</f>
        <v>1.5E-3</v>
      </c>
      <c r="E22" s="228" t="s">
        <v>1579</v>
      </c>
      <c r="F22" s="229">
        <f ca="1">'数据-取费表'!B40</f>
        <v>3.2500000000000001E-2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6802322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33196</v>
      </c>
      <c r="D25" s="230"/>
      <c r="E25" s="233"/>
      <c r="F25" s="231"/>
      <c r="G25" s="234" t="s">
        <v>1588</v>
      </c>
    </row>
    <row r="26" spans="1:7" s="206" customFormat="1">
      <c r="A26" s="734" t="s">
        <v>350</v>
      </c>
      <c r="B26" s="207" t="s">
        <v>1511</v>
      </c>
      <c r="C26" s="230">
        <f ca="1">ROUND(IF('数据-取费表'!B22&lt;=1,F21*F22*'数据-取费表'!B22/2,F21*(POWER((1+F22),'数据-取费表'!B22/2)-1)),4)</f>
        <v>1.5E-3</v>
      </c>
      <c r="D26" s="230"/>
      <c r="E26" s="233"/>
      <c r="F26" s="231"/>
      <c r="G26" s="235"/>
    </row>
    <row r="27" spans="1:7" s="206" customFormat="1" ht="24.75">
      <c r="A27" s="247" t="s">
        <v>1512</v>
      </c>
      <c r="B27" s="236" t="s">
        <v>1513</v>
      </c>
      <c r="C27" s="237">
        <f ca="1">C28</f>
        <v>10233568</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10233568</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93563924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30999840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26724000</v>
      </c>
      <c r="D34" s="209"/>
      <c r="E34" s="212"/>
      <c r="F34" s="249"/>
      <c r="G34" s="211"/>
    </row>
    <row r="35" spans="1:7" ht="13.5" customHeight="1">
      <c r="A35" s="734" t="s">
        <v>351</v>
      </c>
      <c r="B35" s="207" t="s">
        <v>1527</v>
      </c>
      <c r="C35" s="212">
        <f ca="1">ROUND(C34*F35,0)</f>
        <v>1336200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1336200</v>
      </c>
      <c r="D36" s="212"/>
      <c r="E36" s="212"/>
      <c r="F36" s="251">
        <f>'数据-取费表'!B34</f>
        <v>0.05</v>
      </c>
      <c r="G36" s="252" t="s">
        <v>1530</v>
      </c>
    </row>
    <row r="37" spans="1:7" s="250" customFormat="1" ht="13.5" customHeight="1">
      <c r="A37" s="734" t="s">
        <v>353</v>
      </c>
      <c r="B37" s="207" t="s">
        <v>1531</v>
      </c>
      <c r="C37" s="241">
        <f ca="1">ROUND(E37*D37,0)</f>
        <v>1068960</v>
      </c>
      <c r="D37" s="209">
        <f ca="1">D19</f>
        <v>8908.0000000000018</v>
      </c>
      <c r="E37" s="241">
        <f>'数据-取费表'!B35</f>
        <v>120</v>
      </c>
      <c r="F37" s="251"/>
      <c r="G37" s="253"/>
    </row>
    <row r="38" spans="1:7" ht="13.5" customHeight="1">
      <c r="A38" s="734" t="s">
        <v>354</v>
      </c>
      <c r="B38" s="207" t="s">
        <v>1533</v>
      </c>
      <c r="C38" s="212">
        <f ca="1">ROUND(C34*F38,0)</f>
        <v>534480</v>
      </c>
      <c r="D38" s="212"/>
      <c r="E38" s="212"/>
      <c r="F38" s="251">
        <f>'数据-取费表'!B36</f>
        <v>0.02</v>
      </c>
      <c r="G38" s="211" t="s">
        <v>1528</v>
      </c>
    </row>
    <row r="39" spans="1:7" s="206" customFormat="1" ht="13.5" customHeight="1">
      <c r="A39" s="247" t="s">
        <v>1534</v>
      </c>
      <c r="B39" s="202" t="s">
        <v>1535</v>
      </c>
      <c r="C39" s="224">
        <f ca="1">ROUND(C33*F20,0)</f>
        <v>309998</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1538690</v>
      </c>
      <c r="D41" s="227">
        <f ca="1">C44</f>
        <v>1.5E-3</v>
      </c>
      <c r="E41" s="228" t="s">
        <v>1539</v>
      </c>
      <c r="F41" s="229">
        <f ca="1">F22</f>
        <v>3.2500000000000001E-2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1523455</v>
      </c>
      <c r="D42" s="230"/>
      <c r="E42" s="230"/>
      <c r="F42" s="231"/>
      <c r="G42" s="3391" t="s">
        <v>1591</v>
      </c>
    </row>
    <row r="43" spans="1:7" ht="13.5" customHeight="1">
      <c r="A43" s="734" t="s">
        <v>347</v>
      </c>
      <c r="B43" s="207" t="s">
        <v>1545</v>
      </c>
      <c r="C43" s="230">
        <f ca="1">ROUND(IF('数据-取费表'!B22&lt;=1,C39*F22*'数据-取费表'!B20/2,C39*(POWER((1+F22),'数据-取费表'!B20/2)-1)),0)</f>
        <v>15235</v>
      </c>
      <c r="D43" s="230"/>
      <c r="E43" s="230"/>
      <c r="F43" s="231"/>
      <c r="G43" s="3392"/>
    </row>
    <row r="44" spans="1:7" ht="13.5" customHeight="1">
      <c r="A44" s="734" t="s">
        <v>348</v>
      </c>
      <c r="B44" s="207" t="s">
        <v>1546</v>
      </c>
      <c r="C44" s="230">
        <f ca="1">ROUND(IF('数据-取费表'!B22&lt;=1,C40*F22*'数据-取费表'!B20/2,C40*(POWER((1+F22),'数据-取费表'!B20/2)-1)),4)</f>
        <v>1.5E-3</v>
      </c>
      <c r="D44" s="230"/>
      <c r="E44" s="230"/>
      <c r="F44" s="231"/>
      <c r="G44" s="3393"/>
    </row>
    <row r="45" spans="1:7" s="206" customFormat="1" ht="13.5" customHeight="1">
      <c r="A45" s="247" t="s">
        <v>1547</v>
      </c>
      <c r="B45" s="236" t="s">
        <v>1513</v>
      </c>
      <c r="C45" s="237">
        <f ca="1">C46</f>
        <v>4696476</v>
      </c>
      <c r="D45" s="227">
        <f ca="1">C47</f>
        <v>4.4999999999999997E-3</v>
      </c>
      <c r="E45" s="228" t="s">
        <v>1539</v>
      </c>
      <c r="F45" s="238">
        <f ca="1">F27</f>
        <v>0.15</v>
      </c>
      <c r="G45" s="239" t="s">
        <v>1548</v>
      </c>
    </row>
    <row r="46" spans="1:7" s="206" customFormat="1" ht="13.5" customHeight="1">
      <c r="A46" s="734" t="s">
        <v>346</v>
      </c>
      <c r="B46" s="240" t="s">
        <v>1549</v>
      </c>
      <c r="C46" s="241">
        <f ca="1">ROUND((C33+C39)*F27,0)</f>
        <v>4696476</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41185832</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39126540</v>
      </c>
      <c r="D51" s="224"/>
      <c r="E51" s="224"/>
      <c r="F51" s="256"/>
      <c r="G51" s="226" t="s">
        <v>1560</v>
      </c>
    </row>
    <row r="52" spans="1:7" s="200" customFormat="1" ht="16.5" thickBot="1">
      <c r="A52" s="257" t="s">
        <v>1561</v>
      </c>
      <c r="B52" s="258"/>
      <c r="C52" s="259">
        <f ca="1">C31+C51</f>
        <v>132690464</v>
      </c>
      <c r="D52" s="258"/>
      <c r="E52" s="258"/>
      <c r="F52" s="258"/>
      <c r="G52" s="260"/>
    </row>
    <row r="55" spans="1:7" ht="15">
      <c r="B55" s="262" t="s">
        <v>1562</v>
      </c>
      <c r="C55" s="263"/>
    </row>
    <row r="56" spans="1:7">
      <c r="B56" s="265" t="s">
        <v>802</v>
      </c>
      <c r="C56" s="267">
        <f ca="1">1-C57</f>
        <v>0.70500000000000007</v>
      </c>
    </row>
    <row r="57" spans="1:7">
      <c r="B57" s="265" t="s">
        <v>803</v>
      </c>
      <c r="C57" s="266">
        <f ca="1">ROUND(C51/C52,3)</f>
        <v>0.29499999999999998</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15" t="s">
        <v>2084</v>
      </c>
      <c r="D1" s="3516"/>
      <c r="E1" s="3516"/>
      <c r="F1" s="3516"/>
      <c r="G1" s="3516"/>
      <c r="H1" s="3516"/>
      <c r="I1" s="3516"/>
      <c r="J1" s="3516"/>
      <c r="K1" s="3516"/>
      <c r="L1" s="3516"/>
      <c r="M1" s="3516"/>
      <c r="N1" s="3516"/>
      <c r="O1" s="3516"/>
      <c r="P1" s="3516"/>
      <c r="Q1" s="3516"/>
      <c r="R1" s="3516"/>
      <c r="S1" s="351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12" t="s">
        <v>27</v>
      </c>
      <c r="D22" s="3513"/>
      <c r="E22" s="3513"/>
      <c r="F22" s="3513"/>
      <c r="G22" s="3513"/>
      <c r="H22" s="3513"/>
      <c r="I22" s="3513"/>
      <c r="J22" s="3513"/>
      <c r="K22" s="3513"/>
      <c r="L22" s="3513"/>
      <c r="M22" s="3513"/>
      <c r="N22" s="3513"/>
      <c r="O22" s="3513"/>
      <c r="P22" s="3513"/>
      <c r="Q22" s="351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6451</v>
      </c>
      <c r="C2" s="1984" t="s">
        <v>2074</v>
      </c>
      <c r="D2" s="1984" t="s">
        <v>2075</v>
      </c>
      <c r="E2" s="2398">
        <f ca="1">SUMIF(E6:E13,"&lt;&gt;#ref!",E6:E13)</f>
        <v>8908.0000000000018</v>
      </c>
      <c r="F2" s="2545"/>
      <c r="G2" s="2545"/>
      <c r="H2" s="2545"/>
      <c r="I2" s="2545"/>
      <c r="J2" s="2545"/>
      <c r="K2" s="2545"/>
      <c r="L2" s="2545"/>
      <c r="M2" s="2545"/>
      <c r="N2" s="2545"/>
      <c r="O2" s="2545"/>
      <c r="P2" s="2545"/>
    </row>
    <row r="3" spans="1:16" ht="15.75">
      <c r="A3" s="1984" t="s">
        <v>2076</v>
      </c>
      <c r="B3" s="2388">
        <f ca="1">ROUND(B2*10000/E2,0)</f>
        <v>7242</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6451</v>
      </c>
      <c r="C6" s="1984" t="s">
        <v>2074</v>
      </c>
      <c r="D6" s="2545"/>
      <c r="E6" s="2398">
        <f ca="1">SUMIF(INDIRECT("'"&amp;A6&amp;"'"&amp;"!C:C"),"建筑面积",INDIRECT("'"&amp;A6&amp;"'"&amp;"!D:D"))</f>
        <v>8908.0000000000018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 zoomScaleNormal="80" zoomScaleSheetLayoutView="100" workbookViewId="0">
      <selection activeCell="D34" sqref="D3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8908.0000000000018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6451</v>
      </c>
      <c r="C2" s="1846" t="s">
        <v>1935</v>
      </c>
      <c r="D2" s="162" t="s">
        <v>1936</v>
      </c>
      <c r="E2" s="3121" t="s">
        <v>3402</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Ⅸ-怀3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11166</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7242</v>
      </c>
      <c r="C3" s="1846" t="s">
        <v>1941</v>
      </c>
      <c r="D3" s="162" t="s">
        <v>1942</v>
      </c>
      <c r="E3" s="3119" t="s">
        <v>3410</v>
      </c>
      <c r="F3" s="1848" t="s">
        <v>3625</v>
      </c>
      <c r="G3" s="708">
        <f>IF(F3="宗地容积率",'数据-汇总表'!I4,IF(F3="估价对象容积率",'数据-汇总表'!I6,'数据-汇总表'!I7))</f>
        <v>1.5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8607</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525"/>
      <c r="B4" s="3526"/>
      <c r="C4" s="3526"/>
      <c r="D4" s="3527"/>
      <c r="E4" s="3527"/>
      <c r="F4" s="3527"/>
      <c r="G4" s="3527"/>
      <c r="H4" s="3527"/>
      <c r="I4" s="3527"/>
      <c r="J4" s="352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7021</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6998</v>
      </c>
      <c r="D5" s="1252">
        <f>ROUND(C6*C17+C20,0)</f>
        <v>6667</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5960</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6620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5430</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1.5</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522" t="s">
        <v>1960</v>
      </c>
      <c r="X8" s="352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6620</v>
      </c>
      <c r="N9" s="813">
        <f>SUMPRODUCT((因素修正幅度!B277:B326=I2)*(因素修正幅度!C3:G3=E2)*(因素修正幅度!C277:G326))</f>
        <v>0.15</v>
      </c>
      <c r="O9" s="1056"/>
      <c r="P9" s="1056"/>
      <c r="Q9" s="1056"/>
      <c r="R9" s="1129">
        <v>8</v>
      </c>
      <c r="S9" s="1130"/>
      <c r="T9" s="3064">
        <f t="shared" si="0"/>
        <v>0</v>
      </c>
      <c r="U9" s="1130"/>
      <c r="V9" s="3064">
        <f t="shared" si="1"/>
        <v>0</v>
      </c>
      <c r="W9" s="352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52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1.05</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t="s">
        <v>3626</v>
      </c>
      <c r="D15" s="1887" t="s">
        <v>3627</v>
      </c>
      <c r="E15" s="1888" t="s">
        <v>3628</v>
      </c>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v>1</v>
      </c>
      <c r="D16" s="3025">
        <v>1.05</v>
      </c>
      <c r="E16" s="3025">
        <v>1</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0.96709999999999996</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29" t="s">
        <v>3254</v>
      </c>
      <c r="B20" s="159" t="s">
        <v>1994</v>
      </c>
      <c r="C20" s="3032">
        <f>ROUND(IF(F21="与级别开发程度一致",0,(G21-E21)/C21),0)</f>
        <v>47</v>
      </c>
      <c r="D20" s="3047" t="s">
        <v>1998</v>
      </c>
      <c r="E20" s="3048"/>
      <c r="F20" s="3535" t="s">
        <v>1995</v>
      </c>
      <c r="G20" s="3536"/>
      <c r="H20" s="3033" t="s">
        <v>3630</v>
      </c>
      <c r="I20" s="3033" t="s">
        <v>3631</v>
      </c>
      <c r="J20" s="3034" t="s">
        <v>3632</v>
      </c>
      <c r="K20" s="1889" t="s">
        <v>3633</v>
      </c>
      <c r="L20" s="1889" t="s">
        <v>3634</v>
      </c>
      <c r="M20" s="1889" t="s">
        <v>3635</v>
      </c>
      <c r="N20" s="1889" t="s">
        <v>3636</v>
      </c>
      <c r="O20" s="1890" t="s">
        <v>3637</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530"/>
      <c r="B21" s="2002" t="s">
        <v>1997</v>
      </c>
      <c r="C21" s="2003">
        <f>IF(E3="M4科研用地",SUMPRODUCT((修正!A2:A7=E3)*(修正!B1:M1=G2)*(修正!B2:M7)),SUMPRODUCT((修正!A2:A7=E2)*(修正!B1:M1=G2)*(修正!B2:M7)))</f>
        <v>1.5</v>
      </c>
      <c r="D21" s="179" t="str">
        <f>IF(OR(G2="八级",G2="九级",G2="十级",G2="十一级",G2="十二级"),"五通一平","七通一平")</f>
        <v>五通一平</v>
      </c>
      <c r="E21" s="1993">
        <f>SUMPRODUCT((修正!B1:M1=G2)*(修正!B17:M17))</f>
        <v>185</v>
      </c>
      <c r="F21" s="1994" t="s">
        <v>3629</v>
      </c>
      <c r="G21" s="1995">
        <f>SUM(H21:O21)</f>
        <v>255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40</v>
      </c>
      <c r="N21" s="2003">
        <f>SUMPRODUCT((七通一平=N20)*(修正!B1:M1=G2)*(修正!B8:M16))</f>
        <v>30</v>
      </c>
      <c r="O21" s="2005">
        <f>SUMPRODUCT((七通一平=O20)*(修正!B1:M1=G2)*(修正!B8:M16))</f>
        <v>10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1.0274000000000001</v>
      </c>
      <c r="D23" s="1896" t="s">
        <v>2002</v>
      </c>
      <c r="E23" s="717">
        <v>44197</v>
      </c>
      <c r="F23" s="1896" t="s">
        <v>2003</v>
      </c>
      <c r="G23" s="718">
        <f>'数据-取费表'!B2</f>
        <v>46022</v>
      </c>
      <c r="H23" s="3049" t="s">
        <v>3638</v>
      </c>
      <c r="I23" s="3050" t="str">
        <f>IF(H23="季度增幅（自定义）",SUMIF(N25:N28,E2,O25:O28),"")</f>
        <v/>
      </c>
      <c r="J23" s="3142" t="s">
        <v>3639</v>
      </c>
      <c r="K23" s="1061"/>
      <c r="L23" s="1897" t="s">
        <v>2004</v>
      </c>
      <c r="M23" s="1241">
        <f>ROUND(SUMIF(地价!B2:G2,E2,地价!B16:G16),0)</f>
        <v>687</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0.98670000000000002</v>
      </c>
      <c r="D24" s="1902" t="s">
        <v>2007</v>
      </c>
      <c r="E24" s="1248">
        <f>存贷款利率!E28/100</f>
        <v>4.3499999999999997E-2</v>
      </c>
      <c r="F24" s="1902" t="s">
        <v>1999</v>
      </c>
      <c r="G24" s="724">
        <f>SUMIF(M30:Q30,E2,M33:Q33)</f>
        <v>0.05</v>
      </c>
      <c r="H24" s="1902" t="s">
        <v>2008</v>
      </c>
      <c r="I24" s="725">
        <f>SUMIF('数据-取费表'!C6:C15,E2,'数据-取费表'!F6:F15)/COUNTIF('数据-取费表'!C6:C15,E2)</f>
        <v>63.23</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1.0208999999999999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6451</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7242</v>
      </c>
      <c r="D33" s="1940">
        <f>'数据-汇总表'!F19</f>
        <v>8908.0000000000018</v>
      </c>
      <c r="E33" s="727">
        <f>ROUND(C33*D33/10000,0)</f>
        <v>6451</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1811</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3.2500000000000001E-2</v>
      </c>
      <c r="M36" s="2366">
        <f ca="1">ROUND($L$36*(1+M31),3)</f>
        <v>4.1000000000000002E-2</v>
      </c>
      <c r="N36" s="2366">
        <f ca="1">ROUND($L$36*(1+N31),3)</f>
        <v>3.9E-2</v>
      </c>
      <c r="O36" s="2366">
        <f ca="1">ROUND($L$36*(1+O31),3)</f>
        <v>3.6999999999999998E-2</v>
      </c>
      <c r="P36" s="2366">
        <f ca="1">ROUND($L$36*(1+P31),3)</f>
        <v>3.5999999999999997E-2</v>
      </c>
      <c r="Q36" s="2366">
        <f ca="1">ROUND($L$36*(1+Q31),3)</f>
        <v>3.6999999999999998E-2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33"/>
      <c r="B37" s="1955" t="s">
        <v>2036</v>
      </c>
      <c r="C37" s="167">
        <f>ROUND(D5*C22*C23*C24*C28*F37,0)</f>
        <v>3450</v>
      </c>
      <c r="D37" s="1940"/>
      <c r="E37" s="163">
        <f>ROUND(C37*D37/10000,0)</f>
        <v>0</v>
      </c>
      <c r="F37" s="163">
        <f>SUMIF(修正!A59:A70,G2,修正!B59:B70)</f>
        <v>0.5</v>
      </c>
      <c r="G37" s="163">
        <f>ROUND(IF(E2="工业",C37*$M$42,C37*$M$41),0)</f>
        <v>863</v>
      </c>
      <c r="H37" s="163">
        <f>D37</f>
        <v>0</v>
      </c>
      <c r="I37" s="163">
        <f>ROUND(G37*H37/10000,0)</f>
        <v>0</v>
      </c>
      <c r="J37" s="2755"/>
      <c r="K37" s="3062" t="s">
        <v>3264</v>
      </c>
      <c r="L37" s="1964">
        <f ca="1">L36+K38</f>
        <v>3.7499999999999999E-2</v>
      </c>
      <c r="M37" s="2366">
        <f ca="1">ROUND($L$37*(1+M31),3)</f>
        <v>4.7E-2</v>
      </c>
      <c r="N37" s="2366">
        <f t="shared" ref="N37:Q37" ca="1" si="3">ROUND($L$37*(1+N31),3)</f>
        <v>4.4999999999999998E-2</v>
      </c>
      <c r="O37" s="2366">
        <f t="shared" ca="1" si="3"/>
        <v>4.2999999999999997E-2</v>
      </c>
      <c r="P37" s="2366">
        <f t="shared" ca="1" si="3"/>
        <v>4.1000000000000002E-2</v>
      </c>
      <c r="Q37" s="2366">
        <f t="shared" ca="1" si="3"/>
        <v>4.2999999999999997E-2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34"/>
      <c r="B38" s="1884" t="s">
        <v>2037</v>
      </c>
      <c r="C38" s="167">
        <f>ROUND(D5*C22*C23*C24*C28*F38,0)</f>
        <v>1380</v>
      </c>
      <c r="D38" s="1940"/>
      <c r="E38" s="163">
        <f t="shared" ref="E38:E42" si="4">ROUND(C38*D38/10000,0)</f>
        <v>0</v>
      </c>
      <c r="F38" s="163">
        <f>SUMIF(修正!A59:A70,G2,修正!C59:C70)</f>
        <v>0.2</v>
      </c>
      <c r="G38" s="163">
        <f>ROUND(IF(E2="工业",C38*$M$42,C38*$M$41),0)</f>
        <v>345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34"/>
      <c r="B39" s="1884" t="s">
        <v>3257</v>
      </c>
      <c r="C39" s="167">
        <f>ROUND(D5*C22*C23*C24*C28*F39,0)</f>
        <v>1380</v>
      </c>
      <c r="D39" s="1940"/>
      <c r="E39" s="163">
        <f t="shared" si="4"/>
        <v>0</v>
      </c>
      <c r="F39" s="163">
        <f>SUMIF(修正!A59:A70,G2,修正!D59:D70)</f>
        <v>0.2</v>
      </c>
      <c r="G39" s="163">
        <f>ROUND(IF(E2="工业",C39*$M$42,C39*$M$41),0)</f>
        <v>345</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1380</v>
      </c>
      <c r="D40" s="1940"/>
      <c r="E40" s="163">
        <f t="shared" si="4"/>
        <v>0</v>
      </c>
      <c r="F40" s="167">
        <f>SUMIF(修正!A59:A70,G2,修正!E59:E70)</f>
        <v>0.2</v>
      </c>
      <c r="G40" s="163">
        <f>ROUND(IF(E2="工业",C40*$M$42,C40*$M$41),0)</f>
        <v>345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1.0208999999999999</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3640</v>
      </c>
      <c r="D72" s="1002">
        <f t="shared" ref="D72:D80" si="17">SUMIF($J$71:$N$71,C72,J72:N72)</f>
        <v>0</v>
      </c>
      <c r="E72" s="702">
        <f>ROUND(SUM(D72:D80),4)</f>
        <v>2.0899999999999998E-2</v>
      </c>
      <c r="F72" s="1675">
        <f>IF(E2="住宅",SUMIF(L1:L12,G2,N1:N12),"——")</f>
        <v>0.15</v>
      </c>
      <c r="G72" s="1000">
        <v>1.4999999999999999E-2</v>
      </c>
      <c r="H72" s="1003">
        <f t="shared" ref="H72:H80" si="18">IFERROR(ROUNDDOWN($F$72*I72/2,4),"——")</f>
        <v>1.4999999999999999E-2</v>
      </c>
      <c r="I72" s="3069">
        <v>0.2</v>
      </c>
      <c r="J72" s="1001">
        <f t="shared" ref="J72:J80" si="19">K72+$G72</f>
        <v>0.03</v>
      </c>
      <c r="K72" s="1001">
        <f t="shared" ref="K72:K80" si="20">$L72+$G72</f>
        <v>1.4999999999999999E-2</v>
      </c>
      <c r="L72" s="1001">
        <v>0</v>
      </c>
      <c r="M72" s="1001">
        <f t="shared" ref="M72:N80" si="21">L72-$G72</f>
        <v>-1.4999999999999999E-2</v>
      </c>
      <c r="N72" s="1001">
        <f t="shared" si="21"/>
        <v>-0.03</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3640</v>
      </c>
      <c r="D73" s="1002">
        <f t="shared" si="17"/>
        <v>0</v>
      </c>
      <c r="E73" s="705"/>
      <c r="F73" s="1675"/>
      <c r="G73" s="1000">
        <v>1.95E-2</v>
      </c>
      <c r="H73" s="1003">
        <f t="shared" si="18"/>
        <v>1.95E-2</v>
      </c>
      <c r="I73" s="3069">
        <v>0.26</v>
      </c>
      <c r="J73" s="1001">
        <f t="shared" si="19"/>
        <v>3.9E-2</v>
      </c>
      <c r="K73" s="1001">
        <f t="shared" si="20"/>
        <v>1.95E-2</v>
      </c>
      <c r="L73" s="1001">
        <v>0</v>
      </c>
      <c r="M73" s="1001">
        <f t="shared" si="21"/>
        <v>-1.95E-2</v>
      </c>
      <c r="N73" s="1001">
        <f t="shared" si="21"/>
        <v>-3.9E-2</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t="s">
        <v>3641</v>
      </c>
      <c r="D74" s="1002">
        <f t="shared" si="17"/>
        <v>7.4999999999999997E-3</v>
      </c>
      <c r="E74" s="705"/>
      <c r="F74" s="1675"/>
      <c r="G74" s="1000">
        <v>7.4999999999999997E-3</v>
      </c>
      <c r="H74" s="1003">
        <f t="shared" si="18"/>
        <v>7.4999999999999997E-3</v>
      </c>
      <c r="I74" s="3069">
        <v>0.1</v>
      </c>
      <c r="J74" s="1001">
        <f t="shared" si="19"/>
        <v>1.4999999999999999E-2</v>
      </c>
      <c r="K74" s="1001">
        <f t="shared" si="20"/>
        <v>7.4999999999999997E-3</v>
      </c>
      <c r="L74" s="1001">
        <v>0</v>
      </c>
      <c r="M74" s="1001">
        <f t="shared" si="21"/>
        <v>-7.4999999999999997E-3</v>
      </c>
      <c r="N74" s="1001">
        <f t="shared" si="21"/>
        <v>-1.4999999999999999E-2</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3640</v>
      </c>
      <c r="D75" s="1002">
        <f t="shared" si="17"/>
        <v>0</v>
      </c>
      <c r="E75" s="705"/>
      <c r="F75" s="1675"/>
      <c r="G75" s="1000">
        <v>3.7000000000000002E-3</v>
      </c>
      <c r="H75" s="1003">
        <f t="shared" si="18"/>
        <v>3.7000000000000002E-3</v>
      </c>
      <c r="I75" s="3069">
        <v>0.05</v>
      </c>
      <c r="J75" s="1001">
        <f t="shared" si="19"/>
        <v>7.4000000000000003E-3</v>
      </c>
      <c r="K75" s="1001">
        <f t="shared" si="20"/>
        <v>3.7000000000000002E-3</v>
      </c>
      <c r="L75" s="1001">
        <v>0</v>
      </c>
      <c r="M75" s="1001">
        <f t="shared" si="21"/>
        <v>-3.7000000000000002E-3</v>
      </c>
      <c r="N75" s="1001">
        <f t="shared" si="21"/>
        <v>-7.4000000000000003E-3</v>
      </c>
      <c r="O75" s="1056"/>
      <c r="P75" s="1056"/>
      <c r="Q75" s="1844"/>
      <c r="Z75" s="1845"/>
      <c r="AA75" s="1895"/>
      <c r="AG75" s="1058"/>
      <c r="AK75" s="1895"/>
    </row>
    <row r="76" spans="1:37" ht="25.5">
      <c r="A76" s="1970" t="s">
        <v>2059</v>
      </c>
      <c r="B76" s="1240" t="str">
        <f>估价对象房地状况!C21</f>
        <v>估价对象所在区域公共配套设施齐备情况</v>
      </c>
      <c r="C76" s="1887" t="s">
        <v>3640</v>
      </c>
      <c r="D76" s="1002">
        <f t="shared" si="17"/>
        <v>0</v>
      </c>
      <c r="E76" s="705"/>
      <c r="F76" s="1675"/>
      <c r="G76" s="1000">
        <v>6.0000000000000001E-3</v>
      </c>
      <c r="H76" s="1003">
        <f t="shared" si="18"/>
        <v>6.0000000000000001E-3</v>
      </c>
      <c r="I76" s="3069">
        <v>0.08</v>
      </c>
      <c r="J76" s="1001">
        <f t="shared" si="19"/>
        <v>1.2E-2</v>
      </c>
      <c r="K76" s="1001">
        <f t="shared" si="20"/>
        <v>6.0000000000000001E-3</v>
      </c>
      <c r="L76" s="1001">
        <v>0</v>
      </c>
      <c r="M76" s="1001">
        <f t="shared" si="21"/>
        <v>-6.0000000000000001E-3</v>
      </c>
      <c r="N76" s="1001">
        <f t="shared" si="21"/>
        <v>-1.2E-2</v>
      </c>
      <c r="O76" s="1056"/>
      <c r="P76" s="1056"/>
      <c r="Z76" s="1845"/>
      <c r="AA76" s="1895"/>
      <c r="AG76" s="1058"/>
      <c r="AK76" s="1895"/>
    </row>
    <row r="77" spans="1:37" ht="25.5">
      <c r="A77" s="1970" t="s">
        <v>2060</v>
      </c>
      <c r="B77" s="1240" t="str">
        <f>估价对象房地状况!C22</f>
        <v>估价对象所在区域基础设施水平</v>
      </c>
      <c r="C77" s="1887" t="s">
        <v>3642</v>
      </c>
      <c r="D77" s="1002">
        <f t="shared" si="17"/>
        <v>1.34E-2</v>
      </c>
      <c r="E77" s="705"/>
      <c r="F77" s="1675"/>
      <c r="G77" s="1000">
        <v>6.7000000000000002E-3</v>
      </c>
      <c r="H77" s="1003">
        <f t="shared" si="18"/>
        <v>6.7000000000000002E-3</v>
      </c>
      <c r="I77" s="3069">
        <v>0.09</v>
      </c>
      <c r="J77" s="1001">
        <f t="shared" si="19"/>
        <v>1.34E-2</v>
      </c>
      <c r="K77" s="1001">
        <f t="shared" si="20"/>
        <v>6.7000000000000002E-3</v>
      </c>
      <c r="L77" s="1001">
        <v>0</v>
      </c>
      <c r="M77" s="1001">
        <f t="shared" si="21"/>
        <v>-6.7000000000000002E-3</v>
      </c>
      <c r="N77" s="1001">
        <f t="shared" si="21"/>
        <v>-1.34E-2</v>
      </c>
      <c r="O77" s="1056"/>
      <c r="P77" s="1056"/>
      <c r="Z77" s="1845"/>
      <c r="AA77" s="1895"/>
      <c r="AG77" s="1058"/>
      <c r="AK77" s="1895"/>
    </row>
    <row r="78" spans="1:37" ht="24">
      <c r="A78" s="1970" t="s">
        <v>2057</v>
      </c>
      <c r="B78" s="1975" t="s">
        <v>2058</v>
      </c>
      <c r="C78" s="1887" t="s">
        <v>3640</v>
      </c>
      <c r="D78" s="1002">
        <f t="shared" si="17"/>
        <v>0</v>
      </c>
      <c r="E78" s="705"/>
      <c r="F78" s="1675"/>
      <c r="G78" s="1000">
        <v>3.7000000000000002E-3</v>
      </c>
      <c r="H78" s="1003">
        <f t="shared" si="18"/>
        <v>3.7000000000000002E-3</v>
      </c>
      <c r="I78" s="3069">
        <v>0.05</v>
      </c>
      <c r="J78" s="1001">
        <f t="shared" si="19"/>
        <v>7.4000000000000003E-3</v>
      </c>
      <c r="K78" s="1001">
        <f t="shared" si="20"/>
        <v>3.7000000000000002E-3</v>
      </c>
      <c r="L78" s="1001">
        <v>0</v>
      </c>
      <c r="M78" s="1001">
        <f t="shared" si="21"/>
        <v>-3.7000000000000002E-3</v>
      </c>
      <c r="N78" s="1001">
        <f t="shared" si="21"/>
        <v>-7.4000000000000003E-3</v>
      </c>
      <c r="O78" s="1844"/>
      <c r="P78" s="1844"/>
      <c r="Z78" s="1845"/>
      <c r="AA78" s="1895"/>
      <c r="AG78" s="1058"/>
      <c r="AK78" s="1895"/>
    </row>
    <row r="79" spans="1:37" ht="25.5">
      <c r="A79" s="1970" t="s">
        <v>2061</v>
      </c>
      <c r="B79" s="1973" t="str">
        <f>估价对象房地状况!C20</f>
        <v>区域自然环境：；人文环境；综合评价环境状况一般</v>
      </c>
      <c r="C79" s="1887" t="s">
        <v>3640</v>
      </c>
      <c r="D79" s="1002">
        <f t="shared" si="17"/>
        <v>0</v>
      </c>
      <c r="E79" s="705"/>
      <c r="F79" s="1675"/>
      <c r="G79" s="1000">
        <v>8.9999999999999993E-3</v>
      </c>
      <c r="H79" s="1003">
        <f t="shared" si="18"/>
        <v>8.9999999999999993E-3</v>
      </c>
      <c r="I79" s="3069">
        <v>0.12</v>
      </c>
      <c r="J79" s="1001">
        <f t="shared" si="19"/>
        <v>1.7999999999999999E-2</v>
      </c>
      <c r="K79" s="1001">
        <f t="shared" si="20"/>
        <v>8.9999999999999993E-3</v>
      </c>
      <c r="L79" s="1001">
        <v>0</v>
      </c>
      <c r="M79" s="1001">
        <f t="shared" si="21"/>
        <v>-8.9999999999999993E-3</v>
      </c>
      <c r="N79" s="1001">
        <f t="shared" si="21"/>
        <v>-1.7999999999999999E-2</v>
      </c>
      <c r="Z79" s="1845"/>
      <c r="AA79" s="1895"/>
      <c r="AG79" s="1058"/>
      <c r="AK79" s="1895"/>
    </row>
    <row r="80" spans="1:37" ht="24.75" thickBot="1">
      <c r="A80" s="1977" t="s">
        <v>2068</v>
      </c>
      <c r="B80" s="1981"/>
      <c r="C80" s="1887" t="s">
        <v>3640</v>
      </c>
      <c r="D80" s="1002">
        <f t="shared" si="17"/>
        <v>0</v>
      </c>
      <c r="E80" s="706"/>
      <c r="F80" s="1675"/>
      <c r="G80" s="1000">
        <v>3.7000000000000002E-3</v>
      </c>
      <c r="H80" s="1003">
        <f t="shared" si="18"/>
        <v>3.7000000000000002E-3</v>
      </c>
      <c r="I80" s="3070">
        <v>0.05</v>
      </c>
      <c r="J80" s="1001">
        <f t="shared" si="19"/>
        <v>7.4000000000000003E-3</v>
      </c>
      <c r="K80" s="1001">
        <f t="shared" si="20"/>
        <v>3.7000000000000002E-3</v>
      </c>
      <c r="L80" s="1001">
        <v>0</v>
      </c>
      <c r="M80" s="1001">
        <f t="shared" si="21"/>
        <v>-3.7000000000000002E-3</v>
      </c>
      <c r="N80" s="1001">
        <f t="shared" si="21"/>
        <v>-7.4000000000000003E-3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31" t="s">
        <v>3292</v>
      </c>
      <c r="B103" s="3531"/>
      <c r="C103" s="3531"/>
      <c r="D103" s="3531"/>
      <c r="E103" s="3531"/>
      <c r="F103" s="3531"/>
      <c r="G103" s="3531"/>
      <c r="H103" s="3531"/>
      <c r="I103" s="3531"/>
      <c r="J103" s="3531"/>
      <c r="K103" s="1667"/>
      <c r="L103" s="1667"/>
      <c r="M103" s="1667"/>
      <c r="N103" s="1667"/>
    </row>
    <row r="104" spans="1:14">
      <c r="A104" s="3532" t="s">
        <v>3293</v>
      </c>
      <c r="B104" s="3532" t="s">
        <v>3294</v>
      </c>
      <c r="C104" s="3091" t="s">
        <v>3295</v>
      </c>
      <c r="D104" s="3092"/>
      <c r="E104" s="3092"/>
      <c r="F104" s="3092"/>
      <c r="G104" s="3092"/>
      <c r="H104" s="3092"/>
      <c r="I104" s="3092"/>
      <c r="J104" s="3093"/>
      <c r="K104" s="3094"/>
      <c r="L104" s="3094"/>
      <c r="M104" s="3094"/>
      <c r="N104" s="3094"/>
    </row>
    <row r="105" spans="1:14">
      <c r="A105" s="3532"/>
      <c r="B105" s="353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51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1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1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1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1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1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2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21" t="s">
        <v>3309</v>
      </c>
      <c r="B113" s="3521"/>
      <c r="C113" s="3521"/>
      <c r="D113" s="3521"/>
      <c r="E113" s="3521"/>
      <c r="F113" s="3521"/>
      <c r="G113" s="3521"/>
      <c r="H113" s="3521"/>
      <c r="I113" s="3521"/>
      <c r="J113" s="352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1.5</v>
      </c>
      <c r="C116" s="3100" t="s">
        <v>3311</v>
      </c>
      <c r="D116" s="3101">
        <f>SUMPRODUCT((A118:A122=F116)*(B117:M117=H116)*B118:M122)</f>
        <v>0.76880000000000004</v>
      </c>
      <c r="E116" s="162" t="s">
        <v>3312</v>
      </c>
      <c r="F116" s="3102" t="str">
        <f>E2</f>
        <v>住宅</v>
      </c>
      <c r="G116" s="162" t="s">
        <v>3313</v>
      </c>
      <c r="H116" s="3102" t="str">
        <f>G2</f>
        <v>九级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0.98029999999999995</v>
      </c>
      <c r="C118" s="3090">
        <f>B118</f>
        <v>0.98029999999999995</v>
      </c>
      <c r="D118" s="3090">
        <f>ROUND(0.949-0.014*B116,4)</f>
        <v>0.92800000000000005</v>
      </c>
      <c r="E118" s="3090">
        <f>D118</f>
        <v>0.92800000000000005</v>
      </c>
      <c r="F118" s="3090">
        <f>E118</f>
        <v>0.92800000000000005</v>
      </c>
      <c r="G118" s="3090">
        <f>F118</f>
        <v>0.92800000000000005</v>
      </c>
      <c r="H118" s="3090">
        <f>G118</f>
        <v>0.92800000000000005</v>
      </c>
      <c r="I118" s="3090">
        <f>ROUND(0.8486-0.018*B116,4)</f>
        <v>0.8216</v>
      </c>
      <c r="J118" s="3090">
        <f t="shared" ref="J118:M122" si="35">I118</f>
        <v>0.8216</v>
      </c>
      <c r="K118" s="3090">
        <f t="shared" si="35"/>
        <v>0.8216</v>
      </c>
      <c r="L118" s="3090">
        <f t="shared" si="35"/>
        <v>0.8216</v>
      </c>
      <c r="M118" s="3110">
        <f t="shared" si="35"/>
        <v>0.8216</v>
      </c>
      <c r="N118" s="3098"/>
    </row>
    <row r="119" spans="1:14">
      <c r="A119" s="3058" t="s">
        <v>3327</v>
      </c>
      <c r="B119" s="3090">
        <f>ROUND(0.993-0.0112*B116,4)</f>
        <v>0.97619999999999996</v>
      </c>
      <c r="C119" s="3090">
        <f>B119</f>
        <v>0.97619999999999996</v>
      </c>
      <c r="D119" s="3090">
        <f>ROUND(0.9415-0.0142*B116,4)</f>
        <v>0.92020000000000002</v>
      </c>
      <c r="E119" s="3090">
        <f t="shared" ref="E119:H120" si="36">D119</f>
        <v>0.92020000000000002</v>
      </c>
      <c r="F119" s="3090">
        <f t="shared" si="36"/>
        <v>0.92020000000000002</v>
      </c>
      <c r="G119" s="3090">
        <f t="shared" si="36"/>
        <v>0.92020000000000002</v>
      </c>
      <c r="H119" s="3090">
        <f t="shared" si="36"/>
        <v>0.92020000000000002</v>
      </c>
      <c r="I119" s="3090">
        <f>ROUND(0.838-0.0182*B116,4)</f>
        <v>0.81069999999999998</v>
      </c>
      <c r="J119" s="3090">
        <f t="shared" si="35"/>
        <v>0.81069999999999998</v>
      </c>
      <c r="K119" s="3090">
        <f t="shared" si="35"/>
        <v>0.81069999999999998</v>
      </c>
      <c r="L119" s="3090">
        <f t="shared" si="35"/>
        <v>0.81069999999999998</v>
      </c>
      <c r="M119" s="3110">
        <f t="shared" si="35"/>
        <v>0.81069999999999998</v>
      </c>
      <c r="N119" s="3098"/>
    </row>
    <row r="120" spans="1:14">
      <c r="A120" s="3058" t="s">
        <v>3328</v>
      </c>
      <c r="B120" s="3090">
        <f>ROUND(0.9448-0.0115*B116,4)</f>
        <v>0.92759999999999998</v>
      </c>
      <c r="C120" s="3090">
        <f>B120</f>
        <v>0.92759999999999998</v>
      </c>
      <c r="D120" s="3090">
        <f>ROUND(0.937-0.0145*B116,4)</f>
        <v>0.9153</v>
      </c>
      <c r="E120" s="3090">
        <f t="shared" si="36"/>
        <v>0.9153</v>
      </c>
      <c r="F120" s="3090">
        <f t="shared" si="36"/>
        <v>0.9153</v>
      </c>
      <c r="G120" s="3090">
        <f t="shared" si="36"/>
        <v>0.9153</v>
      </c>
      <c r="H120" s="3090">
        <f t="shared" si="36"/>
        <v>0.9153</v>
      </c>
      <c r="I120" s="3090">
        <f>ROUND(0.7965-0.0185*B116,4)</f>
        <v>0.76880000000000004</v>
      </c>
      <c r="J120" s="3090">
        <f t="shared" si="35"/>
        <v>0.76880000000000004</v>
      </c>
      <c r="K120" s="3090">
        <f t="shared" si="35"/>
        <v>0.76880000000000004</v>
      </c>
      <c r="L120" s="3090">
        <f t="shared" si="35"/>
        <v>0.76880000000000004</v>
      </c>
      <c r="M120" s="3110">
        <f t="shared" si="35"/>
        <v>0.76880000000000004</v>
      </c>
      <c r="N120" s="3098"/>
    </row>
    <row r="121" spans="1:14" ht="13.5" thickBot="1">
      <c r="A121" s="3111" t="s">
        <v>3329</v>
      </c>
      <c r="B121" s="3112">
        <f>ROUND(0.7836-0.012*B116,4)</f>
        <v>0.76559999999999995</v>
      </c>
      <c r="C121" s="3112">
        <f>B121</f>
        <v>0.76559999999999995</v>
      </c>
      <c r="D121" s="3112">
        <f>ROUND(0.753-0.015*B116,4)</f>
        <v>0.73050000000000004</v>
      </c>
      <c r="E121" s="3112">
        <f>D121</f>
        <v>0.73050000000000004</v>
      </c>
      <c r="F121" s="3112">
        <f>E121</f>
        <v>0.73050000000000004</v>
      </c>
      <c r="G121" s="3112">
        <f>ROUND(0.6612-0.018*B116,4)</f>
        <v>0.63419999999999999</v>
      </c>
      <c r="H121" s="3112">
        <f>G121</f>
        <v>0.63419999999999999</v>
      </c>
      <c r="I121" s="3112">
        <f>ROUND(0.5905-0.019*B116,4)</f>
        <v>0.56200000000000006</v>
      </c>
      <c r="J121" s="3112">
        <f t="shared" si="35"/>
        <v>0.56200000000000006</v>
      </c>
      <c r="K121" s="3112">
        <f t="shared" si="35"/>
        <v>0.56200000000000006</v>
      </c>
      <c r="L121" s="3112">
        <f t="shared" si="35"/>
        <v>0.56200000000000006</v>
      </c>
      <c r="M121" s="3113">
        <f t="shared" si="35"/>
        <v>0.56200000000000006</v>
      </c>
      <c r="N121" s="3098"/>
    </row>
    <row r="122" spans="1:14">
      <c r="A122" s="3114" t="s">
        <v>2612</v>
      </c>
      <c r="B122" s="3090">
        <f>ROUND(0.9404-0.0106*B116,4)</f>
        <v>0.92449999999999999</v>
      </c>
      <c r="C122" s="3090">
        <f>B122</f>
        <v>0.92449999999999999</v>
      </c>
      <c r="D122" s="3090">
        <f>ROUND(0.8955-0.0135*B116,4)</f>
        <v>0.87529999999999997</v>
      </c>
      <c r="E122" s="3090">
        <f t="shared" ref="E122:H122" si="37">D122</f>
        <v>0.87529999999999997</v>
      </c>
      <c r="F122" s="3090">
        <f t="shared" si="37"/>
        <v>0.87529999999999997</v>
      </c>
      <c r="G122" s="3090">
        <f t="shared" si="37"/>
        <v>0.87529999999999997</v>
      </c>
      <c r="H122" s="3090">
        <f t="shared" si="37"/>
        <v>0.87529999999999997</v>
      </c>
      <c r="I122" s="3090">
        <f>ROUND(0.7632-0.0166*B116,4)</f>
        <v>0.73829999999999996</v>
      </c>
      <c r="J122" s="3090">
        <f t="shared" si="35"/>
        <v>0.73829999999999996</v>
      </c>
      <c r="K122" s="3090">
        <f t="shared" si="35"/>
        <v>0.73829999999999996</v>
      </c>
      <c r="L122" s="3090">
        <f t="shared" si="35"/>
        <v>0.73829999999999996</v>
      </c>
      <c r="M122" s="3110">
        <f t="shared" si="35"/>
        <v>0.73829999999999996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8">
      <c r="A3" s="3215" t="str">
        <f>IF(项目基本情况!B9="房地产市场价值","估价结果一览表（市场价值不需“结果表-1”）","估价结果一览表")</f>
        <v>估价结果一览表</v>
      </c>
      <c r="B3" s="3215"/>
      <c r="C3" s="3215"/>
      <c r="D3" s="3215"/>
      <c r="E3" s="3215"/>
    </row>
    <row r="4" spans="1:5" ht="19.5" thickBot="1">
      <c r="A4" s="1391"/>
      <c r="B4" s="3213" t="s">
        <v>917</v>
      </c>
      <c r="C4" s="3213"/>
      <c r="D4" s="3213"/>
      <c r="E4" s="1391"/>
    </row>
    <row r="5" spans="1:5" ht="16.5" thickTop="1">
      <c r="B5" s="3211" t="s">
        <v>909</v>
      </c>
      <c r="C5" s="1392" t="s">
        <v>910</v>
      </c>
      <c r="D5" s="797" t="e">
        <f ca="1">结果表!H101</f>
        <v>#REF!</v>
      </c>
    </row>
    <row r="6" spans="1:5" ht="15.75">
      <c r="B6" s="3211"/>
      <c r="C6" s="1392" t="s">
        <v>911</v>
      </c>
      <c r="D6" s="797" t="e">
        <f ca="1">NUMBERSTRING(INT(D5*10000),2)&amp;"元整"</f>
        <v>#REF!</v>
      </c>
    </row>
    <row r="7" spans="1:5" ht="15.75">
      <c r="B7" s="3216"/>
      <c r="C7" s="1393" t="s">
        <v>912</v>
      </c>
      <c r="D7" s="798" t="e">
        <f ca="1">结果表!H102</f>
        <v>#REF!</v>
      </c>
    </row>
    <row r="8" spans="1:5" ht="15.75">
      <c r="B8" s="3217" t="str">
        <f>结果表!E103</f>
        <v>2.估价师知悉的法定优先受偿款</v>
      </c>
      <c r="C8" s="1394" t="s">
        <v>913</v>
      </c>
      <c r="D8" s="798">
        <f>结果表!H103</f>
        <v>0</v>
      </c>
    </row>
    <row r="9" spans="1:5" ht="15.75">
      <c r="B9" s="321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10" t="str">
        <f>结果表!E107</f>
        <v>3.房地产抵押价值</v>
      </c>
      <c r="C13" s="1397" t="s">
        <v>910</v>
      </c>
      <c r="D13" s="800" t="e">
        <f ca="1">结果表!H107</f>
        <v>#REF!</v>
      </c>
    </row>
    <row r="14" spans="1:5" ht="15.75">
      <c r="B14" s="3211"/>
      <c r="C14" s="1392" t="s">
        <v>911</v>
      </c>
      <c r="D14" s="797" t="e">
        <f ca="1">NUMBERSTRING(INT(D13*10000),2)&amp;"元整"</f>
        <v>#REF!</v>
      </c>
    </row>
    <row r="15" spans="1:5" ht="15">
      <c r="B15" s="3216"/>
      <c r="C15" s="1393" t="s">
        <v>921</v>
      </c>
      <c r="D15" s="806" t="e">
        <f ca="1">结果表!H108</f>
        <v>#REF!</v>
      </c>
    </row>
    <row r="16" spans="1:5" ht="15">
      <c r="B16" s="3217" t="str">
        <f>结果表!E109</f>
        <v>——</v>
      </c>
      <c r="C16" s="1397" t="s">
        <v>922</v>
      </c>
      <c r="D16" s="1398" t="str">
        <f>结果表!H109</f>
        <v>——</v>
      </c>
    </row>
    <row r="17" spans="1:5" ht="15.75">
      <c r="B17" s="3218"/>
      <c r="C17" s="1392" t="s">
        <v>923</v>
      </c>
      <c r="D17" s="797" t="e">
        <f>NUMBERSTRING(INT(D16*10000),2)&amp;"元整"</f>
        <v>#VALUE!</v>
      </c>
    </row>
    <row r="18" spans="1:5" ht="15">
      <c r="B18" s="3219"/>
      <c r="C18" s="1393" t="s">
        <v>912</v>
      </c>
      <c r="D18" s="806" t="str">
        <f>结果表!H110</f>
        <v>——</v>
      </c>
    </row>
    <row r="19" spans="1:5" ht="15.75">
      <c r="B19" s="3210" t="str">
        <f>结果表!E111</f>
        <v>——</v>
      </c>
      <c r="C19" s="1397" t="s">
        <v>910</v>
      </c>
      <c r="D19" s="798" t="str">
        <f>结果表!H111</f>
        <v>——</v>
      </c>
    </row>
    <row r="20" spans="1:5" ht="15.75">
      <c r="B20" s="3211"/>
      <c r="C20" s="1392" t="s">
        <v>923</v>
      </c>
      <c r="D20" s="797" t="e">
        <f>NUMBERSTRING(INT(D19*10000),2)&amp;"元整"</f>
        <v>#VALUE!</v>
      </c>
    </row>
    <row r="21" spans="1:5" ht="15.75" thickBot="1">
      <c r="B21" s="321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48" t="s">
        <v>2607</v>
      </c>
      <c r="B20" s="3541" t="s">
        <v>2628</v>
      </c>
      <c r="C20" s="3169" t="s">
        <v>2439</v>
      </c>
      <c r="D20" s="3169"/>
      <c r="E20" s="2845">
        <v>1</v>
      </c>
      <c r="F20" s="2846" t="s">
        <v>2440</v>
      </c>
      <c r="G20" s="2846"/>
    </row>
    <row r="21" spans="1:13" ht="19.5" customHeight="1">
      <c r="A21" s="3549"/>
      <c r="B21" s="3537"/>
      <c r="C21" s="2858" t="s">
        <v>2441</v>
      </c>
      <c r="D21" s="2858"/>
      <c r="E21" s="2849">
        <v>1</v>
      </c>
      <c r="F21" s="2846" t="s">
        <v>2442</v>
      </c>
      <c r="G21" s="2846"/>
    </row>
    <row r="22" spans="1:13" ht="19.5" customHeight="1">
      <c r="A22" s="3549"/>
      <c r="B22" s="3537"/>
      <c r="C22" s="2858" t="s">
        <v>2443</v>
      </c>
      <c r="D22" s="2858"/>
      <c r="E22" s="2849">
        <v>0.9</v>
      </c>
      <c r="F22" s="2846" t="s">
        <v>2444</v>
      </c>
      <c r="G22" s="2846"/>
    </row>
    <row r="23" spans="1:13" ht="19.5" customHeight="1">
      <c r="A23" s="3549"/>
      <c r="B23" s="3537"/>
      <c r="C23" s="2858" t="s">
        <v>2445</v>
      </c>
      <c r="D23" s="2858"/>
      <c r="E23" s="2849">
        <v>0.9</v>
      </c>
      <c r="F23" s="2846" t="s">
        <v>2446</v>
      </c>
      <c r="G23" s="2846"/>
    </row>
    <row r="24" spans="1:13" ht="19.5" customHeight="1">
      <c r="A24" s="3549"/>
      <c r="B24" s="3537"/>
      <c r="C24" s="2858" t="s">
        <v>2447</v>
      </c>
      <c r="D24" s="2858"/>
      <c r="E24" s="2849">
        <v>0.8</v>
      </c>
      <c r="F24" s="2846" t="s">
        <v>2448</v>
      </c>
      <c r="G24" s="2846"/>
    </row>
    <row r="25" spans="1:13" ht="19.5" customHeight="1">
      <c r="A25" s="3549"/>
      <c r="B25" s="3537"/>
      <c r="C25" s="2858" t="s">
        <v>2449</v>
      </c>
      <c r="D25" s="2858"/>
      <c r="E25" s="2849">
        <v>0.8</v>
      </c>
      <c r="F25" s="2846"/>
      <c r="G25" s="2846"/>
    </row>
    <row r="26" spans="1:13" ht="19.5" customHeight="1">
      <c r="A26" s="3549"/>
      <c r="B26" s="3537"/>
      <c r="C26" s="2858" t="s">
        <v>3407</v>
      </c>
      <c r="D26" s="2858"/>
      <c r="E26" s="2849">
        <v>0.43</v>
      </c>
      <c r="F26" s="2846"/>
      <c r="G26" s="2846"/>
    </row>
    <row r="27" spans="1:13" ht="19.5" customHeight="1" thickBot="1">
      <c r="A27" s="3550"/>
      <c r="B27" s="3542"/>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543" t="s">
        <v>2631</v>
      </c>
      <c r="B29" s="3546" t="s">
        <v>2612</v>
      </c>
      <c r="C29" s="2843" t="s">
        <v>2452</v>
      </c>
      <c r="D29" s="2844"/>
      <c r="E29" s="2845">
        <v>1</v>
      </c>
      <c r="F29" s="2846" t="s">
        <v>2453</v>
      </c>
      <c r="G29" s="2846"/>
    </row>
    <row r="30" spans="1:13" ht="19.5" customHeight="1">
      <c r="A30" s="3544"/>
      <c r="B30" s="3540"/>
      <c r="C30" s="2847" t="s">
        <v>2454</v>
      </c>
      <c r="D30" s="2848"/>
      <c r="E30" s="2849">
        <v>1</v>
      </c>
      <c r="F30" s="2846" t="s">
        <v>2455</v>
      </c>
      <c r="G30" s="2846"/>
    </row>
    <row r="31" spans="1:13" ht="19.5" customHeight="1">
      <c r="A31" s="3544"/>
      <c r="B31" s="3540"/>
      <c r="C31" s="2847" t="s">
        <v>2456</v>
      </c>
      <c r="D31" s="2848"/>
      <c r="E31" s="2849">
        <v>0.8</v>
      </c>
      <c r="F31" s="2846" t="s">
        <v>2457</v>
      </c>
      <c r="G31" s="2846"/>
    </row>
    <row r="32" spans="1:13" ht="19.5" customHeight="1">
      <c r="A32" s="3544"/>
      <c r="B32" s="3540"/>
      <c r="C32" s="2847" t="s">
        <v>2458</v>
      </c>
      <c r="D32" s="2848"/>
      <c r="E32" s="2849">
        <v>0.8</v>
      </c>
      <c r="F32" s="2846" t="s">
        <v>2459</v>
      </c>
      <c r="G32" s="2846"/>
    </row>
    <row r="33" spans="1:7" ht="19.5" customHeight="1">
      <c r="A33" s="3544"/>
      <c r="B33" s="3540"/>
      <c r="C33" s="2847" t="s">
        <v>2460</v>
      </c>
      <c r="D33" s="2848"/>
      <c r="E33" s="2849">
        <v>0.8</v>
      </c>
      <c r="F33" s="2846" t="s">
        <v>2461</v>
      </c>
      <c r="G33" s="2846"/>
    </row>
    <row r="34" spans="1:7" ht="19.5" customHeight="1">
      <c r="A34" s="3544"/>
      <c r="B34" s="3540"/>
      <c r="C34" s="2847" t="s">
        <v>2462</v>
      </c>
      <c r="D34" s="2848"/>
      <c r="E34" s="2849">
        <v>0.7</v>
      </c>
      <c r="F34" s="2846" t="s">
        <v>2463</v>
      </c>
      <c r="G34" s="2846"/>
    </row>
    <row r="35" spans="1:7" ht="19.5" customHeight="1">
      <c r="A35" s="3544"/>
      <c r="B35" s="3540"/>
      <c r="C35" s="2847" t="s">
        <v>2464</v>
      </c>
      <c r="D35" s="2848"/>
      <c r="E35" s="2849">
        <v>0.8</v>
      </c>
      <c r="F35" s="2846" t="s">
        <v>2465</v>
      </c>
      <c r="G35" s="2846"/>
    </row>
    <row r="36" spans="1:7" ht="19.5" customHeight="1">
      <c r="A36" s="3544"/>
      <c r="B36" s="3540"/>
      <c r="C36" s="2847" t="s">
        <v>2466</v>
      </c>
      <c r="D36" s="2848"/>
      <c r="E36" s="2849">
        <v>0.6</v>
      </c>
      <c r="F36" s="2846" t="s">
        <v>2467</v>
      </c>
      <c r="G36" s="2846"/>
    </row>
    <row r="37" spans="1:7" ht="19.5" customHeight="1">
      <c r="A37" s="3544"/>
      <c r="B37" s="3540"/>
      <c r="C37" s="2847" t="s">
        <v>2468</v>
      </c>
      <c r="D37" s="2848"/>
      <c r="E37" s="2849">
        <v>0.2</v>
      </c>
      <c r="F37" s="2846" t="s">
        <v>2469</v>
      </c>
      <c r="G37" s="2846"/>
    </row>
    <row r="38" spans="1:7" ht="19.5" customHeight="1">
      <c r="A38" s="3544"/>
      <c r="B38" s="3540"/>
      <c r="C38" s="2847" t="s">
        <v>2470</v>
      </c>
      <c r="D38" s="2848"/>
      <c r="E38" s="2849">
        <v>0.2</v>
      </c>
      <c r="F38" s="2846" t="s">
        <v>2471</v>
      </c>
      <c r="G38" s="2846"/>
    </row>
    <row r="39" spans="1:7" ht="19.5" customHeight="1">
      <c r="A39" s="3544"/>
      <c r="B39" s="3538" t="s">
        <v>2632</v>
      </c>
      <c r="C39" s="2847" t="s">
        <v>2472</v>
      </c>
      <c r="D39" s="2848"/>
      <c r="E39" s="2849">
        <v>0.6</v>
      </c>
      <c r="F39" s="2846" t="s">
        <v>2473</v>
      </c>
      <c r="G39" s="2846"/>
    </row>
    <row r="40" spans="1:7" ht="19.5" customHeight="1">
      <c r="A40" s="3544"/>
      <c r="B40" s="3540"/>
      <c r="C40" s="2847" t="s">
        <v>2474</v>
      </c>
      <c r="D40" s="2848"/>
      <c r="E40" s="2849">
        <v>0.6</v>
      </c>
      <c r="F40" s="2846" t="s">
        <v>2475</v>
      </c>
      <c r="G40" s="2846"/>
    </row>
    <row r="41" spans="1:7" ht="19.5" customHeight="1" thickBot="1">
      <c r="A41" s="3545"/>
      <c r="B41" s="3547"/>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548" t="s">
        <v>2610</v>
      </c>
      <c r="B43" s="3546" t="s">
        <v>2634</v>
      </c>
      <c r="C43" s="2843" t="s">
        <v>2479</v>
      </c>
      <c r="D43" s="2844"/>
      <c r="E43" s="2845">
        <v>1</v>
      </c>
      <c r="F43" s="2846" t="s">
        <v>2480</v>
      </c>
      <c r="G43" s="2846"/>
    </row>
    <row r="44" spans="1:7" ht="19.5" customHeight="1">
      <c r="A44" s="3549"/>
      <c r="B44" s="3540"/>
      <c r="C44" s="2847" t="s">
        <v>2481</v>
      </c>
      <c r="D44" s="2848"/>
      <c r="E44" s="2849">
        <v>1</v>
      </c>
      <c r="F44" s="2846" t="s">
        <v>2482</v>
      </c>
      <c r="G44" s="2846"/>
    </row>
    <row r="45" spans="1:7" ht="19.5" customHeight="1">
      <c r="A45" s="3549"/>
      <c r="B45" s="3539"/>
      <c r="C45" s="2847" t="s">
        <v>2483</v>
      </c>
      <c r="D45" s="2848"/>
      <c r="E45" s="2849">
        <v>1.5</v>
      </c>
      <c r="F45" s="2846" t="s">
        <v>2484</v>
      </c>
      <c r="G45" s="2846"/>
    </row>
    <row r="46" spans="1:7" ht="19.5" customHeight="1">
      <c r="A46" s="3549"/>
      <c r="B46" s="2858" t="s">
        <v>2635</v>
      </c>
      <c r="C46" s="2847" t="s">
        <v>2636</v>
      </c>
      <c r="D46" s="2848"/>
      <c r="E46" s="2849">
        <v>2</v>
      </c>
      <c r="F46" s="2846" t="s">
        <v>2485</v>
      </c>
      <c r="G46" s="2846"/>
    </row>
    <row r="47" spans="1:7" ht="19.5" customHeight="1">
      <c r="A47" s="3549"/>
      <c r="B47" s="3538" t="s">
        <v>2637</v>
      </c>
      <c r="C47" s="2847" t="s">
        <v>2486</v>
      </c>
      <c r="D47" s="2848"/>
      <c r="E47" s="2849">
        <v>1</v>
      </c>
      <c r="F47" s="2846" t="s">
        <v>2487</v>
      </c>
      <c r="G47" s="2846"/>
    </row>
    <row r="48" spans="1:7" ht="19.5" customHeight="1">
      <c r="A48" s="3549"/>
      <c r="B48" s="3540"/>
      <c r="C48" s="2847" t="s">
        <v>2488</v>
      </c>
      <c r="D48" s="2848"/>
      <c r="E48" s="2849">
        <v>1</v>
      </c>
      <c r="F48" s="2846" t="s">
        <v>2489</v>
      </c>
      <c r="G48" s="2846"/>
    </row>
    <row r="49" spans="1:7" ht="19.5" customHeight="1">
      <c r="A49" s="3549"/>
      <c r="B49" s="3540"/>
      <c r="C49" s="2847" t="s">
        <v>2490</v>
      </c>
      <c r="D49" s="2848"/>
      <c r="E49" s="2849">
        <v>1</v>
      </c>
      <c r="F49" s="2846" t="s">
        <v>2491</v>
      </c>
      <c r="G49" s="2846"/>
    </row>
    <row r="50" spans="1:7" ht="19.5" customHeight="1">
      <c r="A50" s="3549"/>
      <c r="B50" s="3540"/>
      <c r="C50" s="2847" t="s">
        <v>2492</v>
      </c>
      <c r="D50" s="2848"/>
      <c r="E50" s="2849">
        <v>1</v>
      </c>
      <c r="F50" s="2846" t="s">
        <v>2493</v>
      </c>
      <c r="G50" s="2846"/>
    </row>
    <row r="51" spans="1:7" ht="19.5" customHeight="1">
      <c r="A51" s="3549"/>
      <c r="B51" s="3540"/>
      <c r="C51" s="2847" t="s">
        <v>2494</v>
      </c>
      <c r="D51" s="2848"/>
      <c r="E51" s="2849">
        <v>1</v>
      </c>
      <c r="F51" s="2846" t="s">
        <v>2495</v>
      </c>
      <c r="G51" s="2846"/>
    </row>
    <row r="52" spans="1:7" ht="19.5" customHeight="1">
      <c r="A52" s="3549"/>
      <c r="B52" s="3540"/>
      <c r="C52" s="2847" t="s">
        <v>2496</v>
      </c>
      <c r="D52" s="2848"/>
      <c r="E52" s="2849">
        <v>1</v>
      </c>
      <c r="F52" s="2846" t="s">
        <v>2497</v>
      </c>
      <c r="G52" s="2846"/>
    </row>
    <row r="53" spans="1:7" ht="19.5" customHeight="1" thickBot="1">
      <c r="A53" s="3550"/>
      <c r="B53" s="3547"/>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538" t="s">
        <v>2651</v>
      </c>
      <c r="C75" s="2832" t="s">
        <v>2652</v>
      </c>
      <c r="D75" s="2832" t="s">
        <v>2653</v>
      </c>
      <c r="E75" s="2858">
        <v>0.2</v>
      </c>
      <c r="F75" s="2858">
        <v>25</v>
      </c>
    </row>
    <row r="76" spans="1:7" ht="24">
      <c r="A76" s="2858">
        <v>2</v>
      </c>
      <c r="B76" s="3540"/>
      <c r="C76" s="2832" t="s">
        <v>2654</v>
      </c>
      <c r="D76" s="2832" t="s">
        <v>2655</v>
      </c>
      <c r="E76" s="2858">
        <v>0.2</v>
      </c>
      <c r="F76" s="2858">
        <v>25</v>
      </c>
    </row>
    <row r="77" spans="1:7" ht="24">
      <c r="A77" s="2858">
        <v>3</v>
      </c>
      <c r="B77" s="3540"/>
      <c r="C77" s="2832" t="s">
        <v>2656</v>
      </c>
      <c r="D77" s="2832" t="s">
        <v>2657</v>
      </c>
      <c r="E77" s="2858">
        <v>0.2</v>
      </c>
      <c r="F77" s="2858">
        <v>25</v>
      </c>
    </row>
    <row r="78" spans="1:7" ht="13.5">
      <c r="A78" s="2858">
        <v>4</v>
      </c>
      <c r="B78" s="3540"/>
      <c r="C78" s="2832" t="s">
        <v>2658</v>
      </c>
      <c r="D78" s="2832" t="s">
        <v>2659</v>
      </c>
      <c r="E78" s="2858">
        <v>0.15</v>
      </c>
      <c r="F78" s="2858">
        <v>20</v>
      </c>
    </row>
    <row r="79" spans="1:7" ht="24">
      <c r="A79" s="2858">
        <v>5</v>
      </c>
      <c r="B79" s="3540"/>
      <c r="C79" s="2832" t="s">
        <v>2660</v>
      </c>
      <c r="D79" s="2832" t="s">
        <v>2661</v>
      </c>
      <c r="E79" s="2858">
        <v>0.15</v>
      </c>
      <c r="F79" s="2858">
        <v>20</v>
      </c>
    </row>
    <row r="80" spans="1:7" ht="24">
      <c r="A80" s="2858">
        <v>6</v>
      </c>
      <c r="B80" s="3540"/>
      <c r="C80" s="2832" t="s">
        <v>2662</v>
      </c>
      <c r="D80" s="2832" t="s">
        <v>2663</v>
      </c>
      <c r="E80" s="2858">
        <v>0.15</v>
      </c>
      <c r="F80" s="2858">
        <v>20</v>
      </c>
    </row>
    <row r="81" spans="1:6" ht="24">
      <c r="A81" s="2858">
        <v>7</v>
      </c>
      <c r="B81" s="3540"/>
      <c r="C81" s="2832" t="s">
        <v>2664</v>
      </c>
      <c r="D81" s="2832" t="s">
        <v>2665</v>
      </c>
      <c r="E81" s="2858">
        <v>0.15</v>
      </c>
      <c r="F81" s="2858">
        <v>20</v>
      </c>
    </row>
    <row r="82" spans="1:6" ht="24">
      <c r="A82" s="2858">
        <v>8</v>
      </c>
      <c r="B82" s="3540"/>
      <c r="C82" s="2832" t="s">
        <v>2666</v>
      </c>
      <c r="D82" s="2832" t="s">
        <v>2667</v>
      </c>
      <c r="E82" s="2858">
        <v>0.1</v>
      </c>
      <c r="F82" s="2858">
        <v>15</v>
      </c>
    </row>
    <row r="83" spans="1:6" ht="24">
      <c r="A83" s="2858">
        <v>9</v>
      </c>
      <c r="B83" s="3540"/>
      <c r="C83" s="2832" t="s">
        <v>2668</v>
      </c>
      <c r="D83" s="2832" t="s">
        <v>2669</v>
      </c>
      <c r="E83" s="2858">
        <v>0.1</v>
      </c>
      <c r="F83" s="2858">
        <v>15</v>
      </c>
    </row>
    <row r="84" spans="1:6" ht="24">
      <c r="A84" s="2858">
        <v>10</v>
      </c>
      <c r="B84" s="3540"/>
      <c r="C84" s="2832" t="s">
        <v>2670</v>
      </c>
      <c r="D84" s="2832" t="s">
        <v>2671</v>
      </c>
      <c r="E84" s="2858">
        <v>0.1</v>
      </c>
      <c r="F84" s="2858">
        <v>15</v>
      </c>
    </row>
    <row r="85" spans="1:6" ht="24">
      <c r="A85" s="2858">
        <v>11</v>
      </c>
      <c r="B85" s="3540"/>
      <c r="C85" s="2832" t="s">
        <v>2672</v>
      </c>
      <c r="D85" s="2832" t="s">
        <v>2673</v>
      </c>
      <c r="E85" s="2858">
        <v>0.1</v>
      </c>
      <c r="F85" s="2858">
        <v>15</v>
      </c>
    </row>
    <row r="86" spans="1:6" ht="24">
      <c r="A86" s="2858">
        <v>12</v>
      </c>
      <c r="B86" s="3540"/>
      <c r="C86" s="2832" t="s">
        <v>2674</v>
      </c>
      <c r="D86" s="2832" t="s">
        <v>2675</v>
      </c>
      <c r="E86" s="2858">
        <v>0.1</v>
      </c>
      <c r="F86" s="2858">
        <v>15</v>
      </c>
    </row>
    <row r="87" spans="1:6" ht="13.5">
      <c r="A87" s="2858">
        <v>13</v>
      </c>
      <c r="B87" s="3540"/>
      <c r="C87" s="2832" t="s">
        <v>2676</v>
      </c>
      <c r="D87" s="2832" t="s">
        <v>2677</v>
      </c>
      <c r="E87" s="2858">
        <v>0.1</v>
      </c>
      <c r="F87" s="2858">
        <v>15</v>
      </c>
    </row>
    <row r="88" spans="1:6" ht="13.5">
      <c r="A88" s="2858">
        <v>14</v>
      </c>
      <c r="B88" s="3540"/>
      <c r="C88" s="2832" t="s">
        <v>2678</v>
      </c>
      <c r="D88" s="2832" t="s">
        <v>2679</v>
      </c>
      <c r="E88" s="2858">
        <v>0.1</v>
      </c>
      <c r="F88" s="2858">
        <v>15</v>
      </c>
    </row>
    <row r="89" spans="1:6" ht="13.5">
      <c r="A89" s="2858">
        <v>15</v>
      </c>
      <c r="B89" s="3540"/>
      <c r="C89" s="2832" t="s">
        <v>2680</v>
      </c>
      <c r="D89" s="2832" t="s">
        <v>2681</v>
      </c>
      <c r="E89" s="2858">
        <v>0.1</v>
      </c>
      <c r="F89" s="2858">
        <v>15</v>
      </c>
    </row>
    <row r="90" spans="1:6" ht="24">
      <c r="A90" s="2858">
        <v>16</v>
      </c>
      <c r="B90" s="3540"/>
      <c r="C90" s="2832" t="s">
        <v>2682</v>
      </c>
      <c r="D90" s="2832" t="s">
        <v>2683</v>
      </c>
      <c r="E90" s="2858">
        <v>0.1</v>
      </c>
      <c r="F90" s="2858">
        <v>15</v>
      </c>
    </row>
    <row r="91" spans="1:6" ht="24">
      <c r="A91" s="2858">
        <v>17</v>
      </c>
      <c r="B91" s="3539"/>
      <c r="C91" s="2832" t="s">
        <v>2684</v>
      </c>
      <c r="D91" s="2832" t="s">
        <v>2685</v>
      </c>
      <c r="E91" s="2858">
        <v>0.1</v>
      </c>
      <c r="F91" s="2858">
        <v>15</v>
      </c>
    </row>
    <row r="92" spans="1:6" ht="13.5">
      <c r="A92" s="2858">
        <v>18</v>
      </c>
      <c r="B92" s="3538" t="s">
        <v>2686</v>
      </c>
      <c r="C92" s="2832" t="s">
        <v>2687</v>
      </c>
      <c r="D92" s="2832" t="s">
        <v>2688</v>
      </c>
      <c r="E92" s="2858">
        <v>0.2</v>
      </c>
      <c r="F92" s="2858">
        <v>25</v>
      </c>
    </row>
    <row r="93" spans="1:6" ht="24">
      <c r="A93" s="2858">
        <v>19</v>
      </c>
      <c r="B93" s="3540"/>
      <c r="C93" s="2832" t="s">
        <v>2689</v>
      </c>
      <c r="D93" s="2832" t="s">
        <v>2690</v>
      </c>
      <c r="E93" s="2858">
        <v>0.2</v>
      </c>
      <c r="F93" s="2858">
        <v>25</v>
      </c>
    </row>
    <row r="94" spans="1:6" ht="13.5">
      <c r="A94" s="2858">
        <v>20</v>
      </c>
      <c r="B94" s="3540"/>
      <c r="C94" s="2832" t="s">
        <v>2691</v>
      </c>
      <c r="D94" s="2832" t="s">
        <v>2692</v>
      </c>
      <c r="E94" s="2858">
        <v>0.15</v>
      </c>
      <c r="F94" s="2858">
        <v>20</v>
      </c>
    </row>
    <row r="95" spans="1:6" ht="13.5">
      <c r="A95" s="2858">
        <v>21</v>
      </c>
      <c r="B95" s="3540"/>
      <c r="C95" s="2832" t="s">
        <v>2693</v>
      </c>
      <c r="D95" s="2832" t="s">
        <v>2694</v>
      </c>
      <c r="E95" s="2858">
        <v>0.15</v>
      </c>
      <c r="F95" s="2858">
        <v>20</v>
      </c>
    </row>
    <row r="96" spans="1:6" ht="13.5">
      <c r="A96" s="2858">
        <v>22</v>
      </c>
      <c r="B96" s="3540"/>
      <c r="C96" s="2832" t="s">
        <v>2695</v>
      </c>
      <c r="D96" s="2832" t="s">
        <v>2696</v>
      </c>
      <c r="E96" s="2858">
        <v>0.15</v>
      </c>
      <c r="F96" s="2858">
        <v>20</v>
      </c>
    </row>
    <row r="97" spans="1:6" ht="36">
      <c r="A97" s="2858">
        <v>23</v>
      </c>
      <c r="B97" s="3540"/>
      <c r="C97" s="2832" t="s">
        <v>2697</v>
      </c>
      <c r="D97" s="2832" t="s">
        <v>2698</v>
      </c>
      <c r="E97" s="2858">
        <v>0.15</v>
      </c>
      <c r="F97" s="2858">
        <v>20</v>
      </c>
    </row>
    <row r="98" spans="1:6" ht="13.5">
      <c r="A98" s="2858">
        <v>24</v>
      </c>
      <c r="B98" s="3540"/>
      <c r="C98" s="2832" t="s">
        <v>2699</v>
      </c>
      <c r="D98" s="2832" t="s">
        <v>2700</v>
      </c>
      <c r="E98" s="2858">
        <v>0.1</v>
      </c>
      <c r="F98" s="2858">
        <v>15</v>
      </c>
    </row>
    <row r="99" spans="1:6" ht="13.5">
      <c r="A99" s="2858">
        <v>25</v>
      </c>
      <c r="B99" s="3540"/>
      <c r="C99" s="2832" t="s">
        <v>2701</v>
      </c>
      <c r="D99" s="2832" t="s">
        <v>2702</v>
      </c>
      <c r="E99" s="2858">
        <v>0.1</v>
      </c>
      <c r="F99" s="2858">
        <v>15</v>
      </c>
    </row>
    <row r="100" spans="1:6" ht="24">
      <c r="A100" s="2858">
        <v>26</v>
      </c>
      <c r="B100" s="3540"/>
      <c r="C100" s="2832" t="s">
        <v>2703</v>
      </c>
      <c r="D100" s="2832" t="s">
        <v>2704</v>
      </c>
      <c r="E100" s="2858">
        <v>0.1</v>
      </c>
      <c r="F100" s="2858">
        <v>15</v>
      </c>
    </row>
    <row r="101" spans="1:6" ht="24">
      <c r="A101" s="2858">
        <v>27</v>
      </c>
      <c r="B101" s="3540"/>
      <c r="C101" s="2832" t="s">
        <v>2705</v>
      </c>
      <c r="D101" s="2832" t="s">
        <v>2706</v>
      </c>
      <c r="E101" s="2858">
        <v>0.1</v>
      </c>
      <c r="F101" s="2858">
        <v>15</v>
      </c>
    </row>
    <row r="102" spans="1:6" ht="13.5">
      <c r="A102" s="2858">
        <v>28</v>
      </c>
      <c r="B102" s="3540"/>
      <c r="C102" s="2832" t="s">
        <v>2707</v>
      </c>
      <c r="D102" s="2832" t="s">
        <v>2708</v>
      </c>
      <c r="E102" s="2858">
        <v>0.1</v>
      </c>
      <c r="F102" s="2858">
        <v>15</v>
      </c>
    </row>
    <row r="103" spans="1:6" ht="13.5">
      <c r="A103" s="2858">
        <v>29</v>
      </c>
      <c r="B103" s="3540"/>
      <c r="C103" s="2832" t="s">
        <v>2709</v>
      </c>
      <c r="D103" s="2832" t="s">
        <v>2710</v>
      </c>
      <c r="E103" s="2858">
        <v>0.1</v>
      </c>
      <c r="F103" s="2858">
        <v>15</v>
      </c>
    </row>
    <row r="104" spans="1:6" ht="13.5">
      <c r="A104" s="2858">
        <v>30</v>
      </c>
      <c r="B104" s="3540"/>
      <c r="C104" s="2832" t="s">
        <v>2711</v>
      </c>
      <c r="D104" s="2832" t="s">
        <v>2712</v>
      </c>
      <c r="E104" s="2858">
        <v>0.1</v>
      </c>
      <c r="F104" s="2858">
        <v>15</v>
      </c>
    </row>
    <row r="105" spans="1:6" ht="24">
      <c r="A105" s="2858">
        <v>31</v>
      </c>
      <c r="B105" s="3540"/>
      <c r="C105" s="2832" t="s">
        <v>2713</v>
      </c>
      <c r="D105" s="2832" t="s">
        <v>2714</v>
      </c>
      <c r="E105" s="2858">
        <v>0.1</v>
      </c>
      <c r="F105" s="2858">
        <v>15</v>
      </c>
    </row>
    <row r="106" spans="1:6" ht="24">
      <c r="A106" s="2858">
        <v>32</v>
      </c>
      <c r="B106" s="3540"/>
      <c r="C106" s="2832" t="s">
        <v>2715</v>
      </c>
      <c r="D106" s="2832" t="s">
        <v>2716</v>
      </c>
      <c r="E106" s="2858">
        <v>0.1</v>
      </c>
      <c r="F106" s="2858">
        <v>15</v>
      </c>
    </row>
    <row r="107" spans="1:6" ht="24">
      <c r="A107" s="2858">
        <v>33</v>
      </c>
      <c r="B107" s="3540"/>
      <c r="C107" s="2832" t="s">
        <v>2717</v>
      </c>
      <c r="D107" s="2832" t="s">
        <v>2718</v>
      </c>
      <c r="E107" s="2858">
        <v>0.1</v>
      </c>
      <c r="F107" s="2858">
        <v>15</v>
      </c>
    </row>
    <row r="108" spans="1:6" ht="24">
      <c r="A108" s="2858">
        <v>34</v>
      </c>
      <c r="B108" s="3539"/>
      <c r="C108" s="2832" t="s">
        <v>2719</v>
      </c>
      <c r="D108" s="2832" t="s">
        <v>2720</v>
      </c>
      <c r="E108" s="2858">
        <v>0.1</v>
      </c>
      <c r="F108" s="2858">
        <v>15</v>
      </c>
    </row>
    <row r="109" spans="1:6" ht="24">
      <c r="A109" s="2858">
        <v>35</v>
      </c>
      <c r="B109" s="3538" t="s">
        <v>2721</v>
      </c>
      <c r="C109" s="2858" t="s">
        <v>2722</v>
      </c>
      <c r="D109" s="2832" t="s">
        <v>2723</v>
      </c>
      <c r="E109" s="2858">
        <v>0.15</v>
      </c>
      <c r="F109" s="2858">
        <v>20</v>
      </c>
    </row>
    <row r="110" spans="1:6" ht="13.5">
      <c r="A110" s="2858">
        <v>36</v>
      </c>
      <c r="B110" s="3540"/>
      <c r="C110" s="2858" t="s">
        <v>2724</v>
      </c>
      <c r="D110" s="2832" t="s">
        <v>2725</v>
      </c>
      <c r="E110" s="2858">
        <v>0.15</v>
      </c>
      <c r="F110" s="2858">
        <v>20</v>
      </c>
    </row>
    <row r="111" spans="1:6" ht="13.5">
      <c r="A111" s="2858">
        <v>37</v>
      </c>
      <c r="B111" s="3540"/>
      <c r="C111" s="2858" t="s">
        <v>2726</v>
      </c>
      <c r="D111" s="2832" t="s">
        <v>2727</v>
      </c>
      <c r="E111" s="2858">
        <v>0.15</v>
      </c>
      <c r="F111" s="2858">
        <v>20</v>
      </c>
    </row>
    <row r="112" spans="1:6" ht="13.5">
      <c r="A112" s="2858">
        <v>38</v>
      </c>
      <c r="B112" s="3540"/>
      <c r="C112" s="2858" t="s">
        <v>2728</v>
      </c>
      <c r="D112" s="2832" t="s">
        <v>2729</v>
      </c>
      <c r="E112" s="2858">
        <v>0.1</v>
      </c>
      <c r="F112" s="2858">
        <v>15</v>
      </c>
    </row>
    <row r="113" spans="1:6" ht="24">
      <c r="A113" s="2858">
        <v>39</v>
      </c>
      <c r="B113" s="3540"/>
      <c r="C113" s="2858" t="s">
        <v>2730</v>
      </c>
      <c r="D113" s="2832" t="s">
        <v>2731</v>
      </c>
      <c r="E113" s="2858">
        <v>0.1</v>
      </c>
      <c r="F113" s="2858">
        <v>15</v>
      </c>
    </row>
    <row r="114" spans="1:6" ht="24">
      <c r="A114" s="2858">
        <v>40</v>
      </c>
      <c r="B114" s="3539"/>
      <c r="C114" s="2858" t="s">
        <v>2732</v>
      </c>
      <c r="D114" s="2832" t="s">
        <v>2733</v>
      </c>
      <c r="E114" s="2858">
        <v>0.1</v>
      </c>
      <c r="F114" s="2858">
        <v>15</v>
      </c>
    </row>
    <row r="115" spans="1:6" ht="13.5">
      <c r="A115" s="2858">
        <v>41</v>
      </c>
      <c r="B115" s="3537" t="s">
        <v>2734</v>
      </c>
      <c r="C115" s="2858" t="s">
        <v>2735</v>
      </c>
      <c r="D115" s="2832" t="s">
        <v>2736</v>
      </c>
      <c r="E115" s="2858">
        <v>0.1</v>
      </c>
      <c r="F115" s="2858">
        <v>15</v>
      </c>
    </row>
    <row r="116" spans="1:6" ht="13.5">
      <c r="A116" s="2858">
        <v>42</v>
      </c>
      <c r="B116" s="3537"/>
      <c r="C116" s="2858" t="s">
        <v>2737</v>
      </c>
      <c r="D116" s="2832" t="s">
        <v>2738</v>
      </c>
      <c r="E116" s="2858">
        <v>0.1</v>
      </c>
      <c r="F116" s="2858">
        <v>15</v>
      </c>
    </row>
    <row r="117" spans="1:6" ht="24">
      <c r="A117" s="2858">
        <v>43</v>
      </c>
      <c r="B117" s="3537"/>
      <c r="C117" s="2858" t="s">
        <v>2739</v>
      </c>
      <c r="D117" s="2832" t="s">
        <v>2740</v>
      </c>
      <c r="E117" s="2858">
        <v>0.1</v>
      </c>
      <c r="F117" s="2858">
        <v>15</v>
      </c>
    </row>
    <row r="118" spans="1:6" ht="13.5">
      <c r="A118" s="2858">
        <v>44</v>
      </c>
      <c r="B118" s="3538" t="s">
        <v>2741</v>
      </c>
      <c r="C118" s="2858" t="s">
        <v>2742</v>
      </c>
      <c r="D118" s="2832" t="s">
        <v>2743</v>
      </c>
      <c r="E118" s="2858">
        <v>0.1</v>
      </c>
      <c r="F118" s="2858">
        <v>15</v>
      </c>
    </row>
    <row r="119" spans="1:6" ht="24">
      <c r="A119" s="2858">
        <v>45</v>
      </c>
      <c r="B119" s="3539"/>
      <c r="C119" s="2832" t="s">
        <v>2744</v>
      </c>
      <c r="D119" s="2832" t="s">
        <v>2745</v>
      </c>
      <c r="E119" s="2858">
        <v>0.1</v>
      </c>
      <c r="F119" s="2858">
        <v>15</v>
      </c>
    </row>
    <row r="120" spans="1:6" ht="24">
      <c r="A120" s="2858">
        <v>46</v>
      </c>
      <c r="B120" s="3538" t="s">
        <v>2746</v>
      </c>
      <c r="C120" s="2858" t="s">
        <v>2747</v>
      </c>
      <c r="D120" s="2832" t="s">
        <v>2748</v>
      </c>
      <c r="E120" s="2858">
        <v>0.1</v>
      </c>
      <c r="F120" s="2858">
        <v>15</v>
      </c>
    </row>
    <row r="121" spans="1:6" ht="24">
      <c r="A121" s="2858">
        <v>47</v>
      </c>
      <c r="B121" s="3539"/>
      <c r="C121" s="2858" t="s">
        <v>2749</v>
      </c>
      <c r="D121" s="2832" t="s">
        <v>2750</v>
      </c>
      <c r="E121" s="2858">
        <v>0.1</v>
      </c>
      <c r="F121" s="2858">
        <v>15</v>
      </c>
    </row>
    <row r="122" spans="1:6" ht="13.5">
      <c r="A122" s="2858">
        <v>48</v>
      </c>
      <c r="B122" s="3538" t="s">
        <v>2751</v>
      </c>
      <c r="C122" s="2858" t="s">
        <v>2752</v>
      </c>
      <c r="D122" s="2832" t="s">
        <v>2753</v>
      </c>
      <c r="E122" s="2858">
        <v>0.1</v>
      </c>
      <c r="F122" s="2858">
        <v>15</v>
      </c>
    </row>
    <row r="123" spans="1:6" ht="13.5">
      <c r="A123" s="2858">
        <v>49</v>
      </c>
      <c r="B123" s="3539"/>
      <c r="C123" s="2858" t="s">
        <v>2754</v>
      </c>
      <c r="D123" s="2832" t="s">
        <v>2755</v>
      </c>
      <c r="E123" s="2858">
        <v>0.1</v>
      </c>
      <c r="F123" s="2858">
        <v>15</v>
      </c>
    </row>
    <row r="124" spans="1:6" ht="24">
      <c r="A124" s="2858">
        <v>50</v>
      </c>
      <c r="B124" s="3537" t="s">
        <v>2756</v>
      </c>
      <c r="C124" s="2858" t="s">
        <v>2757</v>
      </c>
      <c r="D124" s="2832" t="s">
        <v>2758</v>
      </c>
      <c r="E124" s="2858">
        <v>0.1</v>
      </c>
      <c r="F124" s="2858">
        <v>15</v>
      </c>
    </row>
    <row r="125" spans="1:6" ht="24">
      <c r="A125" s="2858">
        <v>51</v>
      </c>
      <c r="B125" s="3537"/>
      <c r="C125" s="2858" t="s">
        <v>2759</v>
      </c>
      <c r="D125" s="2832" t="s">
        <v>2760</v>
      </c>
      <c r="E125" s="2858">
        <v>0.1</v>
      </c>
      <c r="F125" s="2858">
        <v>15</v>
      </c>
    </row>
    <row r="126" spans="1:6" ht="24">
      <c r="A126" s="2858">
        <v>52</v>
      </c>
      <c r="B126" s="3537" t="s">
        <v>2761</v>
      </c>
      <c r="C126" s="2858" t="s">
        <v>2762</v>
      </c>
      <c r="D126" s="2832" t="s">
        <v>2763</v>
      </c>
      <c r="E126" s="2858">
        <v>0.1</v>
      </c>
      <c r="F126" s="2858">
        <v>15</v>
      </c>
    </row>
    <row r="127" spans="1:6" ht="24">
      <c r="A127" s="2858">
        <v>53</v>
      </c>
      <c r="B127" s="3537"/>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537" t="s">
        <v>2769</v>
      </c>
      <c r="C129" s="2858" t="s">
        <v>2770</v>
      </c>
      <c r="D129" s="2832" t="s">
        <v>2771</v>
      </c>
      <c r="E129" s="2858">
        <v>0.1</v>
      </c>
      <c r="F129" s="2858">
        <v>15</v>
      </c>
    </row>
    <row r="130" spans="1:6" ht="13.5">
      <c r="A130" s="2858">
        <v>56</v>
      </c>
      <c r="B130" s="3537"/>
      <c r="C130" s="2858" t="s">
        <v>2772</v>
      </c>
      <c r="D130" s="2832" t="s">
        <v>2773</v>
      </c>
      <c r="E130" s="2858">
        <v>0.1</v>
      </c>
      <c r="F130" s="2858">
        <v>15</v>
      </c>
    </row>
    <row r="131" spans="1:6" ht="24">
      <c r="A131" s="2858">
        <v>57</v>
      </c>
      <c r="B131" s="3537"/>
      <c r="C131" s="2858" t="s">
        <v>2774</v>
      </c>
      <c r="D131" s="2832" t="s">
        <v>2775</v>
      </c>
      <c r="E131" s="2858">
        <v>0.1</v>
      </c>
      <c r="F131" s="2858">
        <v>15</v>
      </c>
    </row>
    <row r="132" spans="1:6" ht="24">
      <c r="A132" s="2858">
        <v>58</v>
      </c>
      <c r="B132" s="3537" t="s">
        <v>2776</v>
      </c>
      <c r="C132" s="2858" t="s">
        <v>2777</v>
      </c>
      <c r="D132" s="2832" t="s">
        <v>2778</v>
      </c>
      <c r="E132" s="2858">
        <v>0.1</v>
      </c>
      <c r="F132" s="2858">
        <v>15</v>
      </c>
    </row>
    <row r="133" spans="1:6" ht="13.5">
      <c r="A133" s="2858">
        <v>59</v>
      </c>
      <c r="B133" s="3537"/>
      <c r="C133" s="2858" t="s">
        <v>2779</v>
      </c>
      <c r="D133" s="2832" t="s">
        <v>2780</v>
      </c>
      <c r="E133" s="2858">
        <v>0.1</v>
      </c>
      <c r="F133" s="2858">
        <v>15</v>
      </c>
    </row>
    <row r="134" spans="1:6" ht="13.5">
      <c r="A134" s="2858">
        <v>60</v>
      </c>
      <c r="B134" s="3538" t="s">
        <v>2781</v>
      </c>
      <c r="C134" s="2858" t="s">
        <v>2782</v>
      </c>
      <c r="D134" s="2832" t="s">
        <v>2783</v>
      </c>
      <c r="E134" s="2858">
        <v>0.1</v>
      </c>
      <c r="F134" s="2858">
        <v>15</v>
      </c>
    </row>
    <row r="135" spans="1:6" ht="13.5">
      <c r="A135" s="2858">
        <v>61</v>
      </c>
      <c r="B135" s="3539"/>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537" t="s">
        <v>2789</v>
      </c>
      <c r="C137" s="2858" t="s">
        <v>2790</v>
      </c>
      <c r="D137" s="2832" t="s">
        <v>2791</v>
      </c>
      <c r="E137" s="2858">
        <v>0.1</v>
      </c>
      <c r="F137" s="2858">
        <v>15</v>
      </c>
    </row>
    <row r="138" spans="1:6" ht="13.5">
      <c r="A138" s="2858">
        <v>64</v>
      </c>
      <c r="B138" s="3537"/>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1.0985</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32608</v>
      </c>
      <c r="C2" s="2" t="s">
        <v>106</v>
      </c>
      <c r="D2" s="191"/>
      <c r="E2" s="191"/>
      <c r="F2" s="191"/>
      <c r="G2" s="191"/>
    </row>
    <row r="3" spans="1:7" s="192" customFormat="1" ht="18" customHeight="1" thickBot="1">
      <c r="A3" s="195" t="s">
        <v>58</v>
      </c>
      <c r="B3" s="196">
        <f ca="1">ROUND(B2*10000/'数据-汇总表'!E3,0)</f>
        <v>36605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107</v>
      </c>
      <c r="D9" s="795">
        <f>'数据-汇总表'!E5</f>
        <v>8908.0000000000018</v>
      </c>
      <c r="E9" s="217">
        <f>'数据-取费表'!B27</f>
        <v>120</v>
      </c>
      <c r="F9" s="213"/>
      <c r="G9" s="218"/>
    </row>
    <row r="10" spans="1:7" s="206" customFormat="1" ht="13.5" customHeight="1">
      <c r="A10" s="733" t="s">
        <v>356</v>
      </c>
      <c r="B10" s="216" t="s">
        <v>67</v>
      </c>
      <c r="C10" s="217">
        <f>ROUND(D10*E10/10000,0)</f>
        <v>0</v>
      </c>
      <c r="D10" s="795">
        <f>'数据-汇总表'!E6</f>
        <v>0</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107</v>
      </c>
      <c r="D19" s="204">
        <f>'数据-汇总表'!E3</f>
        <v>8908.0000000000018</v>
      </c>
      <c r="E19" s="203">
        <f>'数据-取费表'!B31</f>
        <v>120</v>
      </c>
      <c r="F19" s="223"/>
      <c r="G19" s="1" t="s">
        <v>436</v>
      </c>
    </row>
    <row r="20" spans="1:7" s="206" customFormat="1" ht="13.5" customHeight="1">
      <c r="A20" s="731" t="s">
        <v>419</v>
      </c>
      <c r="B20" s="202" t="s">
        <v>77</v>
      </c>
      <c r="C20" s="224">
        <f>ROUND((C5+C19)*F20,0)</f>
        <v>207</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2096</v>
      </c>
      <c r="D22" s="227">
        <f ca="1">C26</f>
        <v>1.5E-3</v>
      </c>
      <c r="E22" s="228" t="s">
        <v>99</v>
      </c>
      <c r="F22" s="229">
        <f ca="1">'数据-取费表'!B40</f>
        <v>3.2500000000000001E-2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2075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11</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1.5E-3</v>
      </c>
      <c r="D26" s="230"/>
      <c r="E26" s="233"/>
      <c r="F26" s="231"/>
      <c r="G26" s="235"/>
    </row>
    <row r="27" spans="1:7" s="206" customFormat="1" ht="24.75">
      <c r="A27" s="731" t="s">
        <v>342</v>
      </c>
      <c r="B27" s="236" t="s">
        <v>85</v>
      </c>
      <c r="C27" s="237">
        <f>C28</f>
        <v>3139</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3139</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28695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3100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2672</v>
      </c>
      <c r="D34" s="209"/>
      <c r="E34" s="212"/>
      <c r="F34" s="249">
        <f>IF('数据-取费表'!B24=0,1,'数据-取费表'!N16)</f>
        <v>1</v>
      </c>
      <c r="G34" s="211" t="s">
        <v>89</v>
      </c>
    </row>
    <row r="35" spans="1:7" ht="13.5" customHeight="1">
      <c r="A35" s="734" t="s">
        <v>351</v>
      </c>
      <c r="B35" s="207" t="s">
        <v>33</v>
      </c>
      <c r="C35" s="212">
        <f>ROUND(C34*F35,0)</f>
        <v>134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134</v>
      </c>
      <c r="D36" s="212"/>
      <c r="E36" s="212"/>
      <c r="F36" s="251">
        <f>'数据-取费表'!B34</f>
        <v>0.05</v>
      </c>
      <c r="G36" s="252" t="s">
        <v>35</v>
      </c>
    </row>
    <row r="37" spans="1:7" s="250" customFormat="1" ht="13.5" customHeight="1">
      <c r="A37" s="734" t="s">
        <v>353</v>
      </c>
      <c r="B37" s="207" t="s">
        <v>91</v>
      </c>
      <c r="C37" s="241">
        <f>ROUND(E37*D37*F34/10000,0)</f>
        <v>107</v>
      </c>
      <c r="D37" s="209">
        <f>'数据-汇总表'!E3</f>
        <v>8908.0000000000018</v>
      </c>
      <c r="E37" s="241">
        <f>'数据-取费表'!B35</f>
        <v>120</v>
      </c>
      <c r="F37" s="251"/>
      <c r="G37" s="253" t="s">
        <v>92</v>
      </c>
    </row>
    <row r="38" spans="1:7" ht="13.5" customHeight="1">
      <c r="A38" s="734" t="s">
        <v>354</v>
      </c>
      <c r="B38" s="207" t="s">
        <v>36</v>
      </c>
      <c r="C38" s="212">
        <f>ROUND(C34*F38,0)</f>
        <v>53</v>
      </c>
      <c r="D38" s="212"/>
      <c r="E38" s="212"/>
      <c r="F38" s="251">
        <f>'数据-取费表'!B36</f>
        <v>0.02</v>
      </c>
      <c r="G38" s="211" t="s">
        <v>90</v>
      </c>
    </row>
    <row r="39" spans="1:7" s="206" customFormat="1" ht="13.5" customHeight="1">
      <c r="A39" s="731" t="s">
        <v>338</v>
      </c>
      <c r="B39" s="202" t="s">
        <v>77</v>
      </c>
      <c r="C39" s="224">
        <f>ROUND(C33*F20,0)</f>
        <v>31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154</v>
      </c>
      <c r="D41" s="227">
        <f ca="1">C44</f>
        <v>1.5E-3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152</v>
      </c>
      <c r="D42" s="230"/>
      <c r="E42" s="230"/>
      <c r="F42" s="231"/>
      <c r="G42" s="3391" t="s">
        <v>94</v>
      </c>
    </row>
    <row r="43" spans="1:7" ht="13.5" customHeight="1">
      <c r="A43" s="734" t="s">
        <v>347</v>
      </c>
      <c r="B43" s="207" t="s">
        <v>426</v>
      </c>
      <c r="C43" s="230">
        <f ca="1">ROUND(IF('数据-取费表'!B22&lt;=1,C39*F22*'数据-取费表'!B21/2,C39*(POWER((1+F22),'数据-取费表'!B21/2)-1)),0)</f>
        <v>2</v>
      </c>
      <c r="D43" s="230"/>
      <c r="E43" s="230"/>
      <c r="F43" s="231"/>
      <c r="G43" s="3392"/>
    </row>
    <row r="44" spans="1:7" ht="13.5" customHeight="1">
      <c r="A44" s="734" t="s">
        <v>348</v>
      </c>
      <c r="B44" s="207" t="s">
        <v>428</v>
      </c>
      <c r="C44" s="230">
        <f ca="1">ROUND(IF('数据-取费表'!B22&lt;=1,C40*F22*'数据-取费表'!B21/2,C40*(POWER((1+F22),'数据-取费表'!B21/2)-1)),4)</f>
        <v>1.5E-3</v>
      </c>
      <c r="D44" s="230"/>
      <c r="E44" s="230"/>
      <c r="F44" s="231"/>
      <c r="G44" s="3393"/>
    </row>
    <row r="45" spans="1:7" s="206" customFormat="1" ht="13.5" customHeight="1">
      <c r="A45" s="731" t="s">
        <v>341</v>
      </c>
      <c r="B45" s="236" t="s">
        <v>85</v>
      </c>
      <c r="C45" s="237">
        <f>C46</f>
        <v>470</v>
      </c>
      <c r="D45" s="227">
        <f>C47</f>
        <v>4.4999999999999997E-3</v>
      </c>
      <c r="E45" s="228" t="s">
        <v>102</v>
      </c>
      <c r="F45" s="238"/>
      <c r="G45" s="239" t="s">
        <v>434</v>
      </c>
    </row>
    <row r="46" spans="1:7" s="206" customFormat="1" ht="13.5" customHeight="1">
      <c r="A46" s="734" t="s">
        <v>349</v>
      </c>
      <c r="B46" s="240" t="s">
        <v>427</v>
      </c>
      <c r="C46" s="241">
        <f>ROUND((C33+C39)*F27,0)</f>
        <v>470</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4119</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3913</v>
      </c>
      <c r="D51" s="224"/>
      <c r="E51" s="224"/>
      <c r="F51" s="256"/>
      <c r="G51" s="226" t="s">
        <v>37</v>
      </c>
    </row>
    <row r="52" spans="1:7" s="200" customFormat="1" ht="16.5" thickBot="1">
      <c r="A52" s="257" t="s">
        <v>38</v>
      </c>
      <c r="B52" s="258"/>
      <c r="C52" s="259">
        <f ca="1">C31+C51</f>
        <v>32608</v>
      </c>
      <c r="D52" s="258"/>
      <c r="E52" s="258"/>
      <c r="F52" s="258"/>
      <c r="G52" s="260"/>
    </row>
    <row r="55" spans="1:7" ht="15">
      <c r="B55" s="262" t="s">
        <v>39</v>
      </c>
      <c r="C55" s="263"/>
    </row>
    <row r="56" spans="1:7">
      <c r="B56" s="265" t="s">
        <v>40</v>
      </c>
      <c r="C56" s="266">
        <f ca="1">ROUND(C51/C52,3)</f>
        <v>0.12</v>
      </c>
    </row>
    <row r="57" spans="1:7">
      <c r="B57" s="265" t="s">
        <v>41</v>
      </c>
      <c r="C57" s="267">
        <f ca="1">1-C56</f>
        <v>0.88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51" t="s">
        <v>3181</v>
      </c>
      <c r="B1" s="3551"/>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52" t="s">
        <v>3232</v>
      </c>
      <c r="B1" s="3552"/>
      <c r="C1" s="3552"/>
      <c r="D1" s="3552"/>
      <c r="E1" s="3552"/>
      <c r="F1" s="3553"/>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46022</v>
      </c>
      <c r="B1" s="2930" t="s">
        <v>3376</v>
      </c>
      <c r="C1" s="2931"/>
      <c r="D1" s="2931"/>
      <c r="E1" s="2931"/>
      <c r="F1" s="2931"/>
      <c r="G1" s="2931"/>
      <c r="H1" s="2931"/>
      <c r="I1" s="2931"/>
      <c r="J1" s="2897"/>
      <c r="K1" s="2931" t="s">
        <v>454</v>
      </c>
      <c r="L1" s="2931"/>
      <c r="M1" s="2931"/>
      <c r="N1" s="2931"/>
      <c r="O1" s="2931"/>
      <c r="P1" s="2931"/>
      <c r="Q1" s="2897"/>
      <c r="R1" s="3554" t="s">
        <v>456</v>
      </c>
      <c r="S1" s="3555"/>
      <c r="T1" s="3555"/>
      <c r="U1" s="3555"/>
      <c r="V1" s="3555"/>
      <c r="W1" s="3555"/>
      <c r="X1" s="2897"/>
      <c r="Y1" s="3554" t="s">
        <v>457</v>
      </c>
      <c r="Z1" s="3555"/>
      <c r="AA1" s="3555"/>
      <c r="AB1" s="3555"/>
      <c r="AC1" s="3555"/>
      <c r="AD1" s="3555"/>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554" t="s">
        <v>2827</v>
      </c>
      <c r="S29" s="3555"/>
      <c r="T29" s="3555"/>
      <c r="U29" s="3555"/>
      <c r="V29" s="3555"/>
      <c r="W29" s="3555"/>
      <c r="X29" s="2897"/>
      <c r="Y29" s="3554" t="s">
        <v>2828</v>
      </c>
      <c r="Z29" s="3555"/>
      <c r="AA29" s="3555"/>
      <c r="AB29" s="3555"/>
      <c r="AC29" s="3555"/>
      <c r="AD29" s="3555"/>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59" t="s">
        <v>452</v>
      </c>
      <c r="C1" s="3559"/>
      <c r="D1" s="3559"/>
      <c r="E1" s="3559"/>
      <c r="F1" s="3559"/>
      <c r="G1" s="3555" t="s">
        <v>453</v>
      </c>
      <c r="H1" s="3555"/>
      <c r="I1" s="3555"/>
      <c r="J1" s="3555"/>
      <c r="K1" s="3555"/>
      <c r="L1" s="3555"/>
      <c r="N1" s="3555" t="s">
        <v>454</v>
      </c>
      <c r="O1" s="3555"/>
      <c r="P1" s="3555"/>
      <c r="Q1" s="3555"/>
      <c r="S1" s="3555" t="s">
        <v>455</v>
      </c>
      <c r="T1" s="3555"/>
      <c r="U1" s="3555"/>
      <c r="V1" s="3555"/>
      <c r="X1" s="3554" t="s">
        <v>456</v>
      </c>
      <c r="Y1" s="3555"/>
      <c r="Z1" s="3555"/>
      <c r="AA1" s="3555"/>
      <c r="AB1" s="3555"/>
      <c r="AD1" s="3554" t="s">
        <v>457</v>
      </c>
      <c r="AE1" s="3555"/>
      <c r="AF1" s="3555"/>
      <c r="AG1" s="3555"/>
      <c r="AH1" s="355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5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5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5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6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6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5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5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6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6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5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5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5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5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5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5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5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5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5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5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5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6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6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6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6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5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5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5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5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5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5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5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5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5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5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5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5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5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5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5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5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5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5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5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5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5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5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5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5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5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5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5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5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5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5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5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5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5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5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5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5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5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5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5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5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5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5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5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5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67" t="s">
        <v>2839</v>
      </c>
      <c r="B1" s="3567"/>
      <c r="C1" s="3567"/>
      <c r="D1" s="3567"/>
      <c r="E1" s="3567"/>
      <c r="F1" s="3567"/>
      <c r="G1" s="3568"/>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65"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66"/>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46022</v>
      </c>
      <c r="D1" s="1217" t="s">
        <v>603</v>
      </c>
      <c r="E1" s="1212">
        <f>'数据-取费表'!B22</f>
        <v>3</v>
      </c>
      <c r="F1" s="1217" t="s">
        <v>604</v>
      </c>
      <c r="G1" s="1213">
        <f ca="1">IF(OR(C1&lt;C27,E1&lt;=1),INDIRECT("d"&amp;$K$1)/100,ROUND((D5+(E1-C5)*(D7-D5)/(C7-C5))/100,4))</f>
        <v>3.2500000000000001E-2</v>
      </c>
      <c r="H1" s="1217" t="s">
        <v>634</v>
      </c>
      <c r="I1" s="1213">
        <f ca="1">F4/100</f>
        <v>1.4999999999999999E-2</v>
      </c>
      <c r="J1" s="1218">
        <f>IF(C1&gt;C13,0,MATCH(C1,C$13:C$115,-1))+IF(SUMIF(C13:C115,C1,D13:D115)=0,13,12)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7" t="str">
        <f>IF(项目基本情况!B9="房地产市场价值","估价结果一览表","结果表-2")</f>
        <v>结果表-2</v>
      </c>
      <c r="B1" s="3227"/>
      <c r="C1" s="3227"/>
      <c r="D1" s="3227"/>
      <c r="E1" s="3227"/>
      <c r="F1" s="3227"/>
      <c r="G1" s="3227"/>
      <c r="H1" s="3227"/>
      <c r="I1" s="3227"/>
    </row>
    <row r="2" spans="1:9" ht="30" customHeight="1" thickTop="1">
      <c r="A2" s="3228" t="s">
        <v>928</v>
      </c>
      <c r="B2" s="3228" t="s">
        <v>929</v>
      </c>
      <c r="C2" s="3228" t="s">
        <v>930</v>
      </c>
      <c r="D2" s="3228" t="str">
        <f>结果表!D116</f>
        <v>出让国有建设用地使用权价值</v>
      </c>
      <c r="E2" s="3228"/>
      <c r="F2" s="3228" t="str">
        <f>结果表!F116</f>
        <v>在建建筑物价值</v>
      </c>
      <c r="G2" s="3228"/>
      <c r="H2" s="3228" t="str">
        <f>IF(项目基本情况!B9="房地产市场价值","房地产市场价值","房地产价值")</f>
        <v>房地产价值</v>
      </c>
      <c r="I2" s="3228"/>
    </row>
    <row r="3" spans="1:9" ht="15">
      <c r="A3" s="3223"/>
      <c r="B3" s="3223"/>
      <c r="C3" s="3223"/>
      <c r="D3" s="801" t="s">
        <v>925</v>
      </c>
      <c r="E3" s="801" t="s">
        <v>931</v>
      </c>
      <c r="F3" s="801" t="s">
        <v>925</v>
      </c>
      <c r="G3" s="801" t="s">
        <v>926</v>
      </c>
      <c r="H3" s="801" t="s">
        <v>925</v>
      </c>
      <c r="I3" s="801" t="s">
        <v>926</v>
      </c>
    </row>
    <row r="4" spans="1:9" ht="15">
      <c r="A4" s="1403" t="str">
        <f>项目基本情况!S2</f>
        <v>房地产</v>
      </c>
      <c r="B4" s="801">
        <f>项目基本情况!C17</f>
        <v>8908.0000000000018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23" t="s">
        <v>927</v>
      </c>
      <c r="B5" s="3223"/>
      <c r="C5" s="3223"/>
      <c r="D5" s="3223" t="e">
        <f ca="1">结果表!D119</f>
        <v>#REF!</v>
      </c>
      <c r="E5" s="3223"/>
      <c r="F5" s="3223" t="e">
        <f ca="1">结果表!F119</f>
        <v>#REF!</v>
      </c>
      <c r="G5" s="3223"/>
      <c r="H5" s="3223" t="e">
        <f ca="1">结果表!H119</f>
        <v>#REF!</v>
      </c>
      <c r="I5" s="3223"/>
    </row>
    <row r="6" spans="1:9" ht="15.75">
      <c r="A6" s="3222" t="str">
        <f>结果表!A120</f>
        <v>估价师知悉的法定优先受偿款</v>
      </c>
      <c r="B6" s="3222"/>
      <c r="C6" s="3222"/>
      <c r="D6" s="3222">
        <f>结果表!D120</f>
        <v>0</v>
      </c>
      <c r="E6" s="3222"/>
      <c r="F6" s="3222"/>
      <c r="G6" s="3222"/>
      <c r="H6" s="3222"/>
      <c r="I6" s="3222"/>
    </row>
    <row r="7" spans="1:9" ht="15">
      <c r="A7" s="3223" t="s">
        <v>927</v>
      </c>
      <c r="B7" s="3223"/>
      <c r="C7" s="3223"/>
      <c r="D7" s="3224" t="str">
        <f>结果表!D121</f>
        <v>零元整</v>
      </c>
      <c r="E7" s="3225"/>
      <c r="F7" s="3225"/>
      <c r="G7" s="3225"/>
      <c r="H7" s="3225"/>
      <c r="I7" s="3226"/>
    </row>
    <row r="8" spans="1:9" ht="15.75">
      <c r="A8" s="3222" t="str">
        <f>结果表!A122</f>
        <v>房地产抵押价值</v>
      </c>
      <c r="B8" s="3222"/>
      <c r="C8" s="3222"/>
      <c r="D8" s="3222" t="e">
        <f ca="1">结果表!D122</f>
        <v>#REF!</v>
      </c>
      <c r="E8" s="3222"/>
      <c r="F8" s="3222"/>
      <c r="G8" s="3222"/>
      <c r="H8" s="3222"/>
      <c r="I8" s="3222"/>
    </row>
    <row r="9" spans="1:9" ht="15">
      <c r="A9" s="3223" t="s">
        <v>927</v>
      </c>
      <c r="B9" s="3223"/>
      <c r="C9" s="3223"/>
      <c r="D9" s="3223" t="e">
        <f ca="1">结果表!D123</f>
        <v>#REF!</v>
      </c>
      <c r="E9" s="3223"/>
      <c r="F9" s="3223"/>
      <c r="G9" s="3223"/>
      <c r="H9" s="3223"/>
      <c r="I9" s="3223"/>
    </row>
    <row r="10" spans="1:9" ht="15.75">
      <c r="A10" s="3222" t="str">
        <f>结果表!A124</f>
        <v/>
      </c>
      <c r="B10" s="3222"/>
      <c r="C10" s="3222"/>
      <c r="D10" s="3222" t="str">
        <f>结果表!D124</f>
        <v>——</v>
      </c>
      <c r="E10" s="3222"/>
      <c r="F10" s="3222"/>
      <c r="G10" s="3222"/>
      <c r="H10" s="3222"/>
      <c r="I10" s="3222"/>
    </row>
    <row r="11" spans="1:9" ht="15">
      <c r="A11" s="3223" t="s">
        <v>927</v>
      </c>
      <c r="B11" s="3223"/>
      <c r="C11" s="3223"/>
      <c r="D11" s="3223" t="e">
        <f>结果表!D125</f>
        <v>#VALUE!</v>
      </c>
      <c r="E11" s="3223"/>
      <c r="F11" s="3223"/>
      <c r="G11" s="3223"/>
      <c r="H11" s="3223"/>
      <c r="I11" s="3223"/>
    </row>
    <row r="12" spans="1:9" ht="15.75">
      <c r="A12" s="3222" t="str">
        <f>结果表!A126</f>
        <v/>
      </c>
      <c r="B12" s="3222"/>
      <c r="C12" s="3222"/>
      <c r="D12" s="3222" t="str">
        <f>结果表!D126</f>
        <v>——</v>
      </c>
      <c r="E12" s="3222"/>
      <c r="F12" s="3222"/>
      <c r="G12" s="3222"/>
      <c r="H12" s="3222"/>
      <c r="I12" s="3222"/>
    </row>
    <row r="13" spans="1:9" ht="15.75" thickBot="1">
      <c r="A13" s="3220" t="s">
        <v>927</v>
      </c>
      <c r="B13" s="3220"/>
      <c r="C13" s="3220"/>
      <c r="D13" s="3220" t="e">
        <f>结果表!D127</f>
        <v>#VALUE!</v>
      </c>
      <c r="E13" s="3220"/>
      <c r="F13" s="3220"/>
      <c r="G13" s="3220"/>
      <c r="H13" s="3220"/>
      <c r="I13" s="3220"/>
    </row>
    <row r="14" spans="1:9" ht="15" thickTop="1">
      <c r="A14" s="3221" t="s">
        <v>932</v>
      </c>
      <c r="B14" s="3221"/>
      <c r="C14" s="3221"/>
      <c r="D14" s="3221"/>
      <c r="E14" s="3221"/>
      <c r="F14" s="3221"/>
      <c r="G14" s="3221"/>
      <c r="H14" s="3221"/>
      <c r="I14" s="322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5" t="s">
        <v>949</v>
      </c>
      <c r="B1" s="3235"/>
      <c r="C1" s="3235"/>
      <c r="D1" s="3235"/>
    </row>
    <row r="2" spans="1:4" ht="18">
      <c r="A2" s="3236" t="s">
        <v>933</v>
      </c>
      <c r="B2" s="3236"/>
      <c r="C2" s="3236"/>
      <c r="D2" s="323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36" t="s">
        <v>939</v>
      </c>
      <c r="B6" s="3236"/>
      <c r="C6" s="3236"/>
      <c r="D6" s="323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37" t="s">
        <v>942</v>
      </c>
      <c r="B11" s="3229"/>
      <c r="C11" s="3229"/>
      <c r="D11" s="3229"/>
    </row>
    <row r="12" spans="1:4" ht="15.75">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4"/>
      <c r="C12" s="3234"/>
      <c r="D12" s="3234"/>
    </row>
    <row r="13" spans="1:4" ht="30" customHeight="1">
      <c r="A13" s="3229" t="str">
        <f>IF(项目基本情况!B8="抵押","3.抵押双方在办理抵押登记手续时，应使用本公司出具的正式《房地产评估报告》，特提醒报告使用者注意。","——")</f>
        <v>——</v>
      </c>
      <c r="B13" s="3234"/>
      <c r="C13" s="3234"/>
      <c r="D13" s="3234"/>
    </row>
    <row r="14" spans="1:4" ht="15.75" customHeight="1">
      <c r="A14" s="3229" t="str">
        <f>IF(项目基本情况!B8="抵押","4.本次评估估价师所知悉的法定优先受偿款情况说明如下：","——")</f>
        <v>——</v>
      </c>
      <c r="B14" s="3234"/>
      <c r="C14" s="3234"/>
      <c r="D14" s="3234"/>
    </row>
    <row r="15" spans="1:4" ht="42" customHeight="1">
      <c r="A15" s="3229" t="str">
        <f>IF(项目基本情况!B8="抵押","（1）"&amp;CONCATENATE(项目基本情况!L20,项目基本情况!L21,项目基本情况!L22),"——")</f>
        <v>——</v>
      </c>
      <c r="B15" s="3229"/>
      <c r="C15" s="3229"/>
      <c r="D15" s="3229"/>
    </row>
    <row r="16" spans="1:4" ht="30" customHeight="1">
      <c r="A16" s="3231" t="s">
        <v>943</v>
      </c>
      <c r="B16" s="3231"/>
      <c r="C16" s="3231"/>
      <c r="D16" s="3231"/>
    </row>
    <row r="17" spans="1:4" ht="144" customHeight="1">
      <c r="A17" s="3231" t="s">
        <v>944</v>
      </c>
      <c r="B17" s="3231"/>
      <c r="C17" s="3231"/>
      <c r="D17" s="3231"/>
    </row>
    <row r="18" spans="1:4" ht="15.75" customHeight="1">
      <c r="A18" s="3229" t="str">
        <f>IF(项目基本情况!B8="抵押",结果表!K120,"——")</f>
        <v>——</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9"/>
      <c r="C20" s="3229"/>
      <c r="D20" s="3229"/>
    </row>
    <row r="21" spans="1:4" ht="57.75" customHeight="1">
      <c r="A21" s="32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2"/>
      <c r="C21" s="3232"/>
      <c r="D21" s="3232"/>
    </row>
    <row r="22" spans="1:4" ht="18.75" customHeight="1">
      <c r="A22" s="3233" t="s">
        <v>945</v>
      </c>
      <c r="B22" s="3233"/>
      <c r="C22" s="3233"/>
      <c r="D22" s="323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30">
        <v>42551</v>
      </c>
      <c r="D31" s="32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43" t="s">
        <v>956</v>
      </c>
      <c r="B15" s="3238" t="s">
        <v>109</v>
      </c>
      <c r="C15" s="3239"/>
    </row>
    <row r="16" spans="1:7" ht="13.5">
      <c r="A16" s="3244"/>
      <c r="B16" s="3238" t="s">
        <v>42</v>
      </c>
      <c r="C16" s="3239"/>
    </row>
    <row r="17" spans="1:3" ht="13.5">
      <c r="A17" s="3244"/>
      <c r="B17" s="3241" t="s">
        <v>957</v>
      </c>
      <c r="C17" s="1429" t="s">
        <v>956</v>
      </c>
    </row>
    <row r="18" spans="1:3" ht="13.5">
      <c r="A18" s="3244"/>
      <c r="B18" s="3241"/>
      <c r="C18" s="1429" t="s">
        <v>958</v>
      </c>
    </row>
    <row r="19" spans="1:3" ht="13.5">
      <c r="A19" s="3244"/>
      <c r="B19" s="3241"/>
      <c r="C19" s="1429" t="s">
        <v>959</v>
      </c>
    </row>
    <row r="20" spans="1:3" ht="13.5">
      <c r="A20" s="3245"/>
      <c r="B20" s="3240" t="s">
        <v>960</v>
      </c>
      <c r="C20" s="3239"/>
    </row>
    <row r="21" spans="1:3" ht="13.5">
      <c r="A21" s="1430" t="s">
        <v>961</v>
      </c>
      <c r="B21" s="1431"/>
      <c r="C21" s="1432"/>
    </row>
    <row r="22" spans="1:3" ht="13.5">
      <c r="A22" s="3242" t="s">
        <v>962</v>
      </c>
      <c r="B22" s="3240" t="s">
        <v>963</v>
      </c>
      <c r="C22" s="3239"/>
    </row>
    <row r="23" spans="1:3" ht="13.5">
      <c r="A23" s="3242"/>
      <c r="B23" s="3240" t="s">
        <v>964</v>
      </c>
      <c r="C23" s="3239"/>
    </row>
    <row r="24" spans="1:3" ht="13.5">
      <c r="A24" s="3242"/>
      <c r="B24" s="3240" t="s">
        <v>965</v>
      </c>
      <c r="C24" s="3239"/>
    </row>
    <row r="25" spans="1:3" ht="13.5">
      <c r="A25" s="3242"/>
      <c r="B25" s="3241" t="s">
        <v>966</v>
      </c>
      <c r="C25" s="1429" t="s">
        <v>967</v>
      </c>
    </row>
    <row r="26" spans="1:3" ht="13.5">
      <c r="A26" s="3242"/>
      <c r="B26" s="3241"/>
      <c r="C26" s="1429" t="s">
        <v>968</v>
      </c>
    </row>
    <row r="27" spans="1:3" ht="13.5">
      <c r="A27" s="3242"/>
      <c r="B27" s="3241"/>
      <c r="C27" s="1429" t="s">
        <v>969</v>
      </c>
    </row>
    <row r="28" spans="1:3" ht="13.5">
      <c r="A28" s="3242"/>
      <c r="B28" s="3241"/>
      <c r="C28" s="1429" t="s">
        <v>970</v>
      </c>
    </row>
    <row r="29" spans="1:3" ht="13.5">
      <c r="A29" s="3242"/>
      <c r="B29" s="3241"/>
      <c r="C29" s="1429" t="s">
        <v>971</v>
      </c>
    </row>
    <row r="30" spans="1:3" ht="13.5">
      <c r="A30" s="3242"/>
      <c r="B30" s="3241"/>
      <c r="C30" s="1429" t="s">
        <v>972</v>
      </c>
    </row>
    <row r="31" spans="1:3" ht="13.5">
      <c r="A31" s="3242"/>
      <c r="B31" s="3241"/>
      <c r="C31" s="1429" t="s">
        <v>973</v>
      </c>
    </row>
    <row r="32" spans="1:3" ht="13.5">
      <c r="A32" s="3242"/>
      <c r="B32" s="3241"/>
      <c r="C32" s="1429" t="s">
        <v>974</v>
      </c>
    </row>
    <row r="33" spans="1:3" ht="13.5">
      <c r="A33" s="3242"/>
      <c r="B33" s="324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46026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6" t="s">
        <v>2160</v>
      </c>
      <c r="B17" s="3246"/>
      <c r="C17" s="3246"/>
      <c r="D17" s="3246"/>
      <c r="E17" s="3246"/>
      <c r="F17" s="3246"/>
      <c r="G17" s="3246"/>
      <c r="H17" s="3246"/>
    </row>
    <row r="18" spans="1:8" ht="24" customHeight="1">
      <c r="A18" s="3247" t="s">
        <v>2161</v>
      </c>
      <c r="B18" s="3247"/>
      <c r="C18" s="3247"/>
      <c r="D18" s="2160"/>
      <c r="E18" s="3248" t="s">
        <v>2162</v>
      </c>
      <c r="F18" s="3247"/>
      <c r="G18" s="324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比较法-住宅租金</vt:lpstr>
      <vt:lpstr>住宅案例</vt:lpstr>
      <vt:lpstr>房源表</vt:lpstr>
      <vt:lpstr>成本法 (元)</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2026-01-04T06:42:48Z</dcterms:modified>
</cp:coreProperties>
</file>