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2002基准地价" sheetId="64" state="hidden" r:id="rId29"/>
    <sheet name="成本法" sheetId="11" r:id="rId30"/>
    <sheet name="2002基准地价 (2)" sheetId="65" r:id="rId31"/>
    <sheet name="2002地价表" sheetId="66" state="hidden" r:id="rId32"/>
    <sheet name="2002容积率修正" sheetId="67" state="hidden" r:id="rId33"/>
    <sheet name="2002因素修正幅度" sheetId="68" state="hidden" r:id="rId34"/>
    <sheet name="地价 (2)" sheetId="69" state="hidden" r:id="rId35"/>
    <sheet name="基准地价修正" sheetId="43" state="hidden" r:id="rId36"/>
    <sheet name="因素修正幅度" sheetId="56" state="hidden" r:id="rId37"/>
    <sheet name="基准地价修正-因素" sheetId="47" state="hidden" r:id="rId38"/>
    <sheet name="区片价" sheetId="44" state="hidden" r:id="rId39"/>
    <sheet name="修正" sheetId="45" state="hidden" r:id="rId40"/>
    <sheet name="容积率修正" sheetId="46" state="hidden" r:id="rId41"/>
    <sheet name="地价" sheetId="59" state="hidden" r:id="rId42"/>
    <sheet name="存贷款利率" sheetId="61" state="hidden" r:id="rId43"/>
    <sheet name="案例" sheetId="63" r:id="rId44"/>
  </sheets>
  <externalReferences>
    <externalReference r:id="rId45"/>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34">'地价 (2)'!$A$1:$V$72</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 localSheetId="28">[1]定义!$M$1:$M$6</definedName>
    <definedName name="办公集聚程度" localSheetId="34">[1]定义!$M$1:$M$6</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 localSheetId="28">[1]定义!$V$1:$V$3</definedName>
    <definedName name="单价内涵" localSheetId="34">[1]定义!$V$1:$V$3</definedName>
    <definedName name="单价内涵">定义!$V$1:$V$3</definedName>
    <definedName name="抵押">定义!$B$52:$D$52</definedName>
    <definedName name="抵押净值">定义!$B$57:$C$57</definedName>
    <definedName name="抵押净值定义">定义!$B$57:$C$57</definedName>
    <definedName name="地类判定" localSheetId="28">[1]定义!$H$1:$H$9</definedName>
    <definedName name="地类判定" localSheetId="34">[1]定义!$H$1:$H$9</definedName>
    <definedName name="地类判定">定义!$H$1:$H$9</definedName>
    <definedName name="地下">'[1]2014基准地价'!$B$33:$B$39</definedName>
    <definedName name="二级">区片价!$J$1:$J$20</definedName>
    <definedName name="二级分类" localSheetId="28">'[1]2014修正'!$C$17:$C$39</definedName>
    <definedName name="二级分类" localSheetId="34">'[1]2014修正'!$C$17:$C$39</definedName>
    <definedName name="二级分类">修正!$C$17:$C$39</definedName>
    <definedName name="法定最高年限" localSheetId="28">[1]定义!$G$1:$G$4</definedName>
    <definedName name="法定最高年限" localSheetId="34">[1]定义!$G$1:$G$4</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 localSheetId="28">[1]定义!$Q$1:$Q$6</definedName>
    <definedName name="公共配套设施" localSheetId="34">[1]定义!$Q$1:$Q$6</definedName>
    <definedName name="公共配套设施">定义!$Q$1:$Q$6</definedName>
    <definedName name="估价方法" localSheetId="28">[1]定义!$B$1:$B$50</definedName>
    <definedName name="估价方法" localSheetId="34">[1]定义!$B$1:$B$50</definedName>
    <definedName name="估价方法">定义!$B$1:$B$50</definedName>
    <definedName name="估价目的" localSheetId="28">[1]定义!#REF!</definedName>
    <definedName name="估价目的" localSheetId="34">[1]定义!#REF!</definedName>
    <definedName name="估价目的">定义!$A$51:$C$51</definedName>
    <definedName name="环境" localSheetId="28">[1]定义!$S$1:$S$6</definedName>
    <definedName name="环境" localSheetId="34">[1]定义!$S$1:$S$6</definedName>
    <definedName name="环境">定义!$S$1:$S$6</definedName>
    <definedName name="基础设施水平" localSheetId="28">[1]定义!$R$1:$R$6</definedName>
    <definedName name="基础设施水平" localSheetId="34">[1]定义!$R$1:$R$6</definedName>
    <definedName name="基础设施水平">定义!$R$1:$R$7</definedName>
    <definedName name="季度">基准地价修正!$N$19:$AD$19</definedName>
    <definedName name="季度2002" localSheetId="28">'[1]地价（废）'!$A$17:$A$67</definedName>
    <definedName name="季度2002" localSheetId="30">'[1]地价（废）'!$A$17:$A$67</definedName>
    <definedName name="季度2014">'地价 (2)'!$A$3:$A$23</definedName>
    <definedName name="价值类型">定义!$B$53:$B$58</definedName>
    <definedName name="价值类型2" localSheetId="28">[1]定义!#REF!</definedName>
    <definedName name="价值类型2" localSheetId="34">[1]定义!#REF!</definedName>
    <definedName name="价值类型2">定义!$B$54:$B$56</definedName>
    <definedName name="建筑使用方向">定义!$Y:$Y</definedName>
    <definedName name="交通便捷度" localSheetId="28">[1]定义!$O$1:$O$6</definedName>
    <definedName name="交通便捷度" localSheetId="34">[1]定义!$O$1:$O$6</definedName>
    <definedName name="交通便捷度">定义!$O$1:$O$6</definedName>
    <definedName name="结构" localSheetId="28">[1]定义!$X:$X</definedName>
    <definedName name="结构" localSheetId="34">[1]定义!$X:$X</definedName>
    <definedName name="结构">定义!$X:$X</definedName>
    <definedName name="仅抵押价值" localSheetId="28">[1]定义!#REF!</definedName>
    <definedName name="仅抵押价值" localSheetId="34">[1]定义!#REF!</definedName>
    <definedName name="仅抵押价值">定义!$B$54:$C$54</definedName>
    <definedName name="九级">区片价!$Q$1:$Q$46</definedName>
    <definedName name="居住社区成熟度" localSheetId="28">[1]定义!$K$1:$K$6</definedName>
    <definedName name="居住社区成熟度" localSheetId="34">[1]定义!$K$1:$K$6</definedName>
    <definedName name="居住社区成熟度">定义!$K$1:$K$6</definedName>
    <definedName name="类别">定义!$J$1:$J$3</definedName>
    <definedName name="临街状况" localSheetId="28">[1]定义!$T$1:$T$5</definedName>
    <definedName name="临街状况" localSheetId="34">[1]定义!$T$1:$T$5</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 localSheetId="28">'[1]2014修正'!$A$6:$A$14</definedName>
    <definedName name="七通一平" localSheetId="34">'[1]2014修正'!$A$6:$A$14</definedName>
    <definedName name="七通一平">修正!$A$6:$A$14</definedName>
    <definedName name="区域土地利用方向" localSheetId="28">[1]定义!$P$1:$P$6</definedName>
    <definedName name="区域土地利用方向" localSheetId="34">[1]定义!$P$1:$P$6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 localSheetId="28">[1]定义!$L$1:$L$6</definedName>
    <definedName name="商业繁华度" localSheetId="34">[1]定义!$L$1:$L$6</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 localSheetId="28">'[1]2014修正'!$C$59:$C$119</definedName>
    <definedName name="商业街名称" localSheetId="34">'[1]2014修正'!$C$59:$C$119</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 localSheetId="28">#REF!</definedName>
    <definedName name="套工道路等级" localSheetId="34">#REF!</definedName>
    <definedName name="套工道路等级">'土地比较法-工业'!$B$97:$M$97</definedName>
    <definedName name="套工地质条件" localSheetId="28">#REF!</definedName>
    <definedName name="套工地质条件" localSheetId="34">#REF!</definedName>
    <definedName name="套工地质条件">'土地比较法-工业'!$B$114:$M$114</definedName>
    <definedName name="套工交易情况">'土地比较法-住宅、综合'!$A$73:$M$73</definedName>
    <definedName name="套工土地级别" localSheetId="28">#REF!</definedName>
    <definedName name="套工土地级别" localSheetId="34">#REF!</definedName>
    <definedName name="套工土地级别">'土地比较法-工业'!$B$99:$M$99</definedName>
    <definedName name="套工用途" localSheetId="28">#REF!</definedName>
    <definedName name="套工用途" localSheetId="34">#REF!</definedName>
    <definedName name="套工用途">'土地比较法-工业'!$B$70:$M$70</definedName>
    <definedName name="套工宗地内开发程度" localSheetId="28">#REF!</definedName>
    <definedName name="套工宗地内开发程度" localSheetId="34">#REF!</definedName>
    <definedName name="套工宗地内开发程度">'土地比较法-工业'!$B$112:$M$112</definedName>
    <definedName name="套工宗地形状" localSheetId="28">#REF!</definedName>
    <definedName name="套工宗地形状" localSheetId="34">#REF!</definedName>
    <definedName name="套工宗地形状">'土地比较法-工业'!$B$110:$M$110</definedName>
    <definedName name="套综道路等级" localSheetId="28">[1]比较法!$B$94:$M$94</definedName>
    <definedName name="套综道路等级" localSheetId="34">[1]比较法!$B$94:$M$94</definedName>
    <definedName name="套综道路等级">'土地比较法-住宅、综合'!$B$106:$M$106</definedName>
    <definedName name="套综工程地质条件" localSheetId="28">[1]比较法!$B$113:$M$113</definedName>
    <definedName name="套综工程地质条件" localSheetId="34">[1]比较法!$B$113:$M$113</definedName>
    <definedName name="套综工程地质条件">'土地比较法-住宅、综合'!$B$125:$M$125</definedName>
    <definedName name="套综交易情况" localSheetId="28">[1]比较法!$A$61:$M$61</definedName>
    <definedName name="套综交易情况" localSheetId="34">[1]比较法!$A$61:$M$61</definedName>
    <definedName name="套综交易情况">'土地比较法-住宅、综合'!$A$73:$M$73</definedName>
    <definedName name="套综临街宽度及深度" localSheetId="28">[1]比较法!$B$109:$M$109</definedName>
    <definedName name="套综临街宽度及深度" localSheetId="34">[1]比较法!$B$109:$M$109</definedName>
    <definedName name="套综临街宽度及深度">'土地比较法-住宅、综合'!$B$121:$M$121</definedName>
    <definedName name="套综土地级别" localSheetId="28">[1]比较法!$B$96:$M$96</definedName>
    <definedName name="套综土地级别" localSheetId="34">[1]比较法!$B$96:$M$96</definedName>
    <definedName name="套综土地级别">'土地比较法-住宅、综合'!$B$108:$M$108</definedName>
    <definedName name="套综用途" localSheetId="28">[1]比较法!$B$63:$M$63</definedName>
    <definedName name="套综用途" localSheetId="34">[1]比较法!$B$63:$M$63</definedName>
    <definedName name="套综用途">'土地比较法-住宅、综合'!$B$75:$M$75</definedName>
    <definedName name="套综宗地内开发程度" localSheetId="28">[1]比较法!$B$111:$M$111</definedName>
    <definedName name="套综宗地内开发程度" localSheetId="34">[1]比较法!$B$111:$M$111</definedName>
    <definedName name="套综宗地内开发程度">'土地比较法-住宅、综合'!$B$123:$M$123</definedName>
    <definedName name="套综宗地形状" localSheetId="28">[1]比较法!$B$107:$M$107</definedName>
    <definedName name="套综宗地形状" localSheetId="34">[1]比较法!$B$107:$M$107</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8">[1]定义!$C$1:$C$13</definedName>
    <definedName name="土地级别" localSheetId="34">[1]定义!$C$1:$C$13</definedName>
    <definedName name="土地级别">定义!$C$1:$C$13</definedName>
    <definedName name="土地利用方向">定义!$P$1:$P$6</definedName>
    <definedName name="土地年限区间">定义!$I$1:$I$8</definedName>
    <definedName name="位置">定义!$E$2:$E$4</definedName>
    <definedName name="五等判定" localSheetId="28">[1]定义!$W$1:$W$6</definedName>
    <definedName name="五等判定" localSheetId="34">[1]定义!$W$1:$W$6</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 localSheetId="28">[1]定义!#REF!</definedName>
    <definedName name="已注销" localSheetId="34">[1]定义!#REF!</definedName>
    <definedName name="已注销">定义!$B$55:$C$55</definedName>
    <definedName name="已注销及未注销" localSheetId="28">[1]定义!#REF!</definedName>
    <definedName name="已注销及未注销" localSheetId="34">[1]定义!#REF!</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C6" i="11"/>
  <c r="B66" i="65" l="1"/>
  <c r="B65" i="65"/>
  <c r="B63" i="65"/>
  <c r="B62" i="65"/>
  <c r="B61" i="65"/>
  <c r="B60" i="65"/>
  <c r="D72" i="69"/>
  <c r="F71" i="69"/>
  <c r="E71" i="69"/>
  <c r="C71" i="69"/>
  <c r="D71" i="69" s="1"/>
  <c r="B71" i="69"/>
  <c r="F70" i="69"/>
  <c r="E70" i="69"/>
  <c r="C70" i="69"/>
  <c r="D70" i="69" s="1"/>
  <c r="B70" i="69"/>
  <c r="F69" i="69"/>
  <c r="E69" i="69"/>
  <c r="D69" i="69"/>
  <c r="C69" i="69"/>
  <c r="B69" i="69"/>
  <c r="D68" i="69"/>
  <c r="F67" i="69"/>
  <c r="E67" i="69"/>
  <c r="C67" i="69"/>
  <c r="D67" i="69" s="1"/>
  <c r="B67" i="69"/>
  <c r="F66" i="69"/>
  <c r="E66" i="69"/>
  <c r="C66" i="69"/>
  <c r="D66" i="69" s="1"/>
  <c r="B66" i="69"/>
  <c r="F65" i="69"/>
  <c r="E65" i="69"/>
  <c r="C65" i="69"/>
  <c r="D65" i="69" s="1"/>
  <c r="B65" i="69"/>
  <c r="D64" i="69"/>
  <c r="Q63" i="69"/>
  <c r="P63" i="69"/>
  <c r="O63" i="69"/>
  <c r="N63" i="69"/>
  <c r="F63" i="69"/>
  <c r="V63" i="69" s="1"/>
  <c r="E63" i="69"/>
  <c r="U63" i="69" s="1"/>
  <c r="C63" i="69"/>
  <c r="T63" i="69" s="1"/>
  <c r="B63" i="69"/>
  <c r="S63" i="69" s="1"/>
  <c r="Q62" i="69"/>
  <c r="P62" i="69"/>
  <c r="O62" i="69"/>
  <c r="N62" i="69"/>
  <c r="F62" i="69"/>
  <c r="E62" i="69"/>
  <c r="C62" i="69"/>
  <c r="D62" i="69" s="1"/>
  <c r="B62" i="69"/>
  <c r="Q61" i="69"/>
  <c r="P61" i="69"/>
  <c r="O61" i="69"/>
  <c r="N61" i="69"/>
  <c r="F61" i="69"/>
  <c r="E61" i="69"/>
  <c r="C61" i="69"/>
  <c r="D61" i="69" s="1"/>
  <c r="B61" i="69"/>
  <c r="Q60" i="69"/>
  <c r="P60" i="69"/>
  <c r="O60" i="69"/>
  <c r="N60" i="69"/>
  <c r="D60" i="69"/>
  <c r="Q59" i="69"/>
  <c r="P59" i="69"/>
  <c r="O59" i="69"/>
  <c r="N59" i="69"/>
  <c r="F59" i="69"/>
  <c r="V59" i="69" s="1"/>
  <c r="E59" i="69"/>
  <c r="U59" i="69" s="1"/>
  <c r="C59" i="69"/>
  <c r="T59" i="69" s="1"/>
  <c r="B59" i="69"/>
  <c r="S59" i="69" s="1"/>
  <c r="Q58" i="69"/>
  <c r="P58" i="69"/>
  <c r="O58" i="69"/>
  <c r="N58" i="69"/>
  <c r="F58" i="69"/>
  <c r="E58" i="69"/>
  <c r="C58" i="69"/>
  <c r="D58" i="69" s="1"/>
  <c r="B58" i="69"/>
  <c r="Q57" i="69"/>
  <c r="P57" i="69"/>
  <c r="O57" i="69"/>
  <c r="N57" i="69"/>
  <c r="F57" i="69"/>
  <c r="E57" i="69"/>
  <c r="C57" i="69"/>
  <c r="D57" i="69" s="1"/>
  <c r="B57" i="69"/>
  <c r="Q56" i="69"/>
  <c r="P56" i="69"/>
  <c r="O56" i="69"/>
  <c r="N56" i="69"/>
  <c r="D56" i="69"/>
  <c r="Q55" i="69"/>
  <c r="P55" i="69"/>
  <c r="O55" i="69"/>
  <c r="N55" i="69"/>
  <c r="F55" i="69"/>
  <c r="V55" i="69" s="1"/>
  <c r="E55" i="69"/>
  <c r="U55" i="69" s="1"/>
  <c r="C55" i="69"/>
  <c r="T55" i="69" s="1"/>
  <c r="B55" i="69"/>
  <c r="S55" i="69" s="1"/>
  <c r="Q54" i="69"/>
  <c r="P54" i="69"/>
  <c r="O54" i="69"/>
  <c r="N54" i="69"/>
  <c r="F54" i="69"/>
  <c r="E54" i="69"/>
  <c r="C54" i="69"/>
  <c r="D54" i="69" s="1"/>
  <c r="B54" i="69"/>
  <c r="Q53" i="69"/>
  <c r="P53" i="69"/>
  <c r="O53" i="69"/>
  <c r="N53" i="69"/>
  <c r="F53" i="69"/>
  <c r="E53" i="69"/>
  <c r="C53" i="69"/>
  <c r="D53" i="69" s="1"/>
  <c r="B53" i="69"/>
  <c r="Q52" i="69"/>
  <c r="P52" i="69"/>
  <c r="O52" i="69"/>
  <c r="N52" i="69"/>
  <c r="D52" i="69"/>
  <c r="F51" i="69"/>
  <c r="V51" i="69" s="1"/>
  <c r="E51" i="69"/>
  <c r="U51" i="69" s="1"/>
  <c r="C51" i="69"/>
  <c r="T51" i="69" s="1"/>
  <c r="B51" i="69"/>
  <c r="S51" i="69" s="1"/>
  <c r="F50" i="69"/>
  <c r="Q50" i="69" s="1"/>
  <c r="E50" i="69"/>
  <c r="P50" i="69" s="1"/>
  <c r="C50" i="69"/>
  <c r="O50" i="69" s="1"/>
  <c r="B50" i="69"/>
  <c r="N50" i="69" s="1"/>
  <c r="F49" i="69"/>
  <c r="Q49" i="69" s="1"/>
  <c r="E49" i="69"/>
  <c r="P49" i="69" s="1"/>
  <c r="C49" i="69"/>
  <c r="O49" i="69" s="1"/>
  <c r="B49" i="69"/>
  <c r="N49" i="69" s="1"/>
  <c r="Q48" i="69"/>
  <c r="P48" i="69"/>
  <c r="O48" i="69"/>
  <c r="N48" i="69"/>
  <c r="D48" i="69"/>
  <c r="Q47" i="69"/>
  <c r="P47" i="69"/>
  <c r="O47" i="69"/>
  <c r="N47" i="69"/>
  <c r="Q46" i="69"/>
  <c r="P46" i="69"/>
  <c r="O46" i="69"/>
  <c r="N46" i="69"/>
  <c r="Q45" i="69"/>
  <c r="P45" i="69"/>
  <c r="O45" i="69"/>
  <c r="N45" i="69"/>
  <c r="Q44" i="69"/>
  <c r="F45" i="69" s="1"/>
  <c r="F46" i="69" s="1"/>
  <c r="F47" i="69" s="1"/>
  <c r="V47" i="69" s="1"/>
  <c r="P44" i="69"/>
  <c r="E45" i="69" s="1"/>
  <c r="E46" i="69" s="1"/>
  <c r="E47" i="69" s="1"/>
  <c r="U47" i="69" s="1"/>
  <c r="O44" i="69"/>
  <c r="C45" i="69" s="1"/>
  <c r="N44" i="69"/>
  <c r="B45" i="69" s="1"/>
  <c r="B46" i="69" s="1"/>
  <c r="B47" i="69" s="1"/>
  <c r="S47" i="69" s="1"/>
  <c r="D44" i="69"/>
  <c r="Q43" i="69"/>
  <c r="P43" i="69"/>
  <c r="O43" i="69"/>
  <c r="N43" i="69"/>
  <c r="Q42" i="69"/>
  <c r="P42" i="69"/>
  <c r="O42" i="69"/>
  <c r="N42" i="69"/>
  <c r="Q41" i="69"/>
  <c r="P41" i="69"/>
  <c r="O41" i="69"/>
  <c r="N41" i="69"/>
  <c r="Q40" i="69"/>
  <c r="F41" i="69" s="1"/>
  <c r="F42" i="69" s="1"/>
  <c r="F43" i="69" s="1"/>
  <c r="V43" i="69" s="1"/>
  <c r="P40" i="69"/>
  <c r="E41" i="69" s="1"/>
  <c r="E42" i="69" s="1"/>
  <c r="E43" i="69" s="1"/>
  <c r="U43" i="69" s="1"/>
  <c r="O40" i="69"/>
  <c r="C41" i="69" s="1"/>
  <c r="N40" i="69"/>
  <c r="B41" i="69" s="1"/>
  <c r="B42" i="69" s="1"/>
  <c r="B43" i="69" s="1"/>
  <c r="S43" i="69" s="1"/>
  <c r="D40" i="69"/>
  <c r="Q39" i="69"/>
  <c r="P39" i="69"/>
  <c r="O39" i="69"/>
  <c r="N39" i="69"/>
  <c r="Q38" i="69"/>
  <c r="P38" i="69"/>
  <c r="O38" i="69"/>
  <c r="N38" i="69"/>
  <c r="Q37" i="69"/>
  <c r="P37" i="69"/>
  <c r="O37" i="69"/>
  <c r="N37" i="69"/>
  <c r="Q36" i="69"/>
  <c r="F37" i="69" s="1"/>
  <c r="F38" i="69" s="1"/>
  <c r="F39" i="69" s="1"/>
  <c r="V39" i="69" s="1"/>
  <c r="P36" i="69"/>
  <c r="E37" i="69" s="1"/>
  <c r="E38" i="69" s="1"/>
  <c r="E39" i="69" s="1"/>
  <c r="U39" i="69" s="1"/>
  <c r="O36" i="69"/>
  <c r="C37" i="69" s="1"/>
  <c r="N36" i="69"/>
  <c r="B37" i="69" s="1"/>
  <c r="B38" i="69" s="1"/>
  <c r="B39" i="69" s="1"/>
  <c r="S39" i="69" s="1"/>
  <c r="D36" i="69"/>
  <c r="Q35" i="69"/>
  <c r="P35" i="69"/>
  <c r="O35" i="69"/>
  <c r="N35" i="69"/>
  <c r="Q34" i="69"/>
  <c r="P34" i="69"/>
  <c r="O34" i="69"/>
  <c r="N34" i="69"/>
  <c r="Q33" i="69"/>
  <c r="P33" i="69"/>
  <c r="O33" i="69"/>
  <c r="N33" i="69"/>
  <c r="Q32" i="69"/>
  <c r="F33" i="69" s="1"/>
  <c r="F34" i="69" s="1"/>
  <c r="F35" i="69" s="1"/>
  <c r="V35" i="69" s="1"/>
  <c r="P32" i="69"/>
  <c r="E33" i="69" s="1"/>
  <c r="E34" i="69" s="1"/>
  <c r="E35" i="69" s="1"/>
  <c r="U35" i="69" s="1"/>
  <c r="O32" i="69"/>
  <c r="C33" i="69" s="1"/>
  <c r="N32" i="69"/>
  <c r="B33" i="69" s="1"/>
  <c r="B34" i="69" s="1"/>
  <c r="B35" i="69" s="1"/>
  <c r="S35" i="69" s="1"/>
  <c r="D32" i="69"/>
  <c r="T31" i="69"/>
  <c r="Q31" i="69"/>
  <c r="P31" i="69"/>
  <c r="O31" i="69"/>
  <c r="N31" i="69"/>
  <c r="D31" i="69"/>
  <c r="Q30" i="69"/>
  <c r="P30" i="69"/>
  <c r="O30" i="69"/>
  <c r="N30" i="69"/>
  <c r="Q29" i="69"/>
  <c r="P29" i="69"/>
  <c r="O29" i="69"/>
  <c r="N29" i="69"/>
  <c r="Q28" i="69"/>
  <c r="F29" i="69" s="1"/>
  <c r="F30" i="69" s="1"/>
  <c r="F31" i="69" s="1"/>
  <c r="V31" i="69" s="1"/>
  <c r="P28" i="69"/>
  <c r="E29" i="69" s="1"/>
  <c r="E30" i="69" s="1"/>
  <c r="E31" i="69" s="1"/>
  <c r="U31" i="69" s="1"/>
  <c r="O28" i="69"/>
  <c r="C29" i="69" s="1"/>
  <c r="N28" i="69"/>
  <c r="B29" i="69" s="1"/>
  <c r="B30" i="69" s="1"/>
  <c r="B31" i="69" s="1"/>
  <c r="S31" i="69" s="1"/>
  <c r="D28" i="69"/>
  <c r="Q27" i="69"/>
  <c r="P27" i="69"/>
  <c r="O27" i="69"/>
  <c r="N27" i="69"/>
  <c r="Q26" i="69"/>
  <c r="P26" i="69"/>
  <c r="O26" i="69"/>
  <c r="N26" i="69"/>
  <c r="Q25" i="69"/>
  <c r="P25" i="69"/>
  <c r="O25" i="69"/>
  <c r="N25" i="69"/>
  <c r="Q24" i="69"/>
  <c r="F25" i="69" s="1"/>
  <c r="F26" i="69" s="1"/>
  <c r="F27" i="69" s="1"/>
  <c r="V27" i="69" s="1"/>
  <c r="P24" i="69"/>
  <c r="E25" i="69" s="1"/>
  <c r="E26" i="69" s="1"/>
  <c r="E27" i="69" s="1"/>
  <c r="U27" i="69" s="1"/>
  <c r="O24" i="69"/>
  <c r="C25" i="69" s="1"/>
  <c r="N24" i="69"/>
  <c r="B25" i="69" s="1"/>
  <c r="B26" i="69" s="1"/>
  <c r="B27" i="69" s="1"/>
  <c r="S27" i="69" s="1"/>
  <c r="D24" i="69"/>
  <c r="Q23" i="69"/>
  <c r="P23" i="69"/>
  <c r="O23" i="69"/>
  <c r="N23" i="69"/>
  <c r="Q22" i="69"/>
  <c r="P22" i="69"/>
  <c r="O22" i="69"/>
  <c r="N22" i="69"/>
  <c r="Q21" i="69"/>
  <c r="P21" i="69"/>
  <c r="O21" i="69"/>
  <c r="N21" i="69"/>
  <c r="Q20" i="69"/>
  <c r="F21" i="69" s="1"/>
  <c r="F22" i="69" s="1"/>
  <c r="F23" i="69" s="1"/>
  <c r="V23" i="69" s="1"/>
  <c r="P20" i="69"/>
  <c r="E21" i="69" s="1"/>
  <c r="E22" i="69" s="1"/>
  <c r="E23" i="69" s="1"/>
  <c r="U23" i="69" s="1"/>
  <c r="O20" i="69"/>
  <c r="C21" i="69" s="1"/>
  <c r="N20" i="69"/>
  <c r="B21" i="69" s="1"/>
  <c r="B22" i="69" s="1"/>
  <c r="B23" i="69" s="1"/>
  <c r="S23" i="69" s="1"/>
  <c r="D20" i="69"/>
  <c r="Q19" i="69"/>
  <c r="P19" i="69"/>
  <c r="O19" i="69"/>
  <c r="N19" i="69"/>
  <c r="Q18" i="69"/>
  <c r="P18" i="69"/>
  <c r="O18" i="69"/>
  <c r="N18" i="69"/>
  <c r="Q17" i="69"/>
  <c r="P17" i="69"/>
  <c r="O17" i="69"/>
  <c r="N17" i="69"/>
  <c r="Q16" i="69"/>
  <c r="F17" i="69" s="1"/>
  <c r="F18" i="69" s="1"/>
  <c r="F19" i="69" s="1"/>
  <c r="V19" i="69" s="1"/>
  <c r="P16" i="69"/>
  <c r="E17" i="69" s="1"/>
  <c r="E18" i="69" s="1"/>
  <c r="E19" i="69" s="1"/>
  <c r="U19" i="69" s="1"/>
  <c r="O16" i="69"/>
  <c r="C17" i="69" s="1"/>
  <c r="N16" i="69"/>
  <c r="B17" i="69" s="1"/>
  <c r="B18" i="69" s="1"/>
  <c r="B19" i="69" s="1"/>
  <c r="S19" i="69" s="1"/>
  <c r="D16" i="69"/>
  <c r="Q15" i="69"/>
  <c r="P15" i="69"/>
  <c r="O15" i="69"/>
  <c r="N15" i="69"/>
  <c r="Q14" i="69"/>
  <c r="P14" i="69"/>
  <c r="O14" i="69"/>
  <c r="N14" i="69"/>
  <c r="Q13" i="69"/>
  <c r="P13" i="69"/>
  <c r="O13" i="69"/>
  <c r="N13" i="69"/>
  <c r="Q12" i="69"/>
  <c r="F13" i="69" s="1"/>
  <c r="F14" i="69" s="1"/>
  <c r="F15" i="69" s="1"/>
  <c r="V15" i="69" s="1"/>
  <c r="P12" i="69"/>
  <c r="E13" i="69" s="1"/>
  <c r="E14" i="69" s="1"/>
  <c r="E15" i="69" s="1"/>
  <c r="U15" i="69" s="1"/>
  <c r="O12" i="69"/>
  <c r="C13" i="69" s="1"/>
  <c r="N12" i="69"/>
  <c r="B13" i="69" s="1"/>
  <c r="B14" i="69" s="1"/>
  <c r="B15" i="69" s="1"/>
  <c r="S15" i="69" s="1"/>
  <c r="D12" i="69"/>
  <c r="Q11" i="69"/>
  <c r="P11" i="69"/>
  <c r="O11" i="69"/>
  <c r="N11" i="69"/>
  <c r="F11" i="69"/>
  <c r="V11" i="69" s="1"/>
  <c r="E11" i="69"/>
  <c r="U11" i="69" s="1"/>
  <c r="C11" i="69"/>
  <c r="T11" i="69" s="1"/>
  <c r="B11" i="69"/>
  <c r="S11" i="69" s="1"/>
  <c r="Q10" i="69"/>
  <c r="P10" i="69"/>
  <c r="O10" i="69"/>
  <c r="N10" i="69"/>
  <c r="F10" i="69"/>
  <c r="E10" i="69"/>
  <c r="C10" i="69"/>
  <c r="D10" i="69" s="1"/>
  <c r="B10" i="69"/>
  <c r="Q9" i="69"/>
  <c r="P9" i="69"/>
  <c r="O9" i="69"/>
  <c r="N9" i="69"/>
  <c r="F9" i="69"/>
  <c r="E9" i="69"/>
  <c r="C9" i="69"/>
  <c r="D9" i="69" s="1"/>
  <c r="B9" i="69"/>
  <c r="Q8" i="69"/>
  <c r="P8" i="69"/>
  <c r="O8" i="69"/>
  <c r="N8" i="69"/>
  <c r="D8" i="69"/>
  <c r="Q7" i="69"/>
  <c r="P7" i="69"/>
  <c r="O7" i="69"/>
  <c r="N7" i="69"/>
  <c r="F7" i="69"/>
  <c r="V7" i="69" s="1"/>
  <c r="E7" i="69"/>
  <c r="U7" i="69" s="1"/>
  <c r="C7" i="69"/>
  <c r="T7" i="69" s="1"/>
  <c r="B7" i="69"/>
  <c r="S7" i="69" s="1"/>
  <c r="Q6" i="69"/>
  <c r="P6" i="69"/>
  <c r="O6" i="69"/>
  <c r="N6" i="69"/>
  <c r="F6" i="69"/>
  <c r="E6" i="69"/>
  <c r="C6" i="69"/>
  <c r="D6" i="69" s="1"/>
  <c r="B6" i="69"/>
  <c r="L4" i="69"/>
  <c r="K4" i="69"/>
  <c r="J4" i="69"/>
  <c r="I4" i="69"/>
  <c r="H9" i="65"/>
  <c r="I9" i="65" s="1"/>
  <c r="J1" i="65"/>
  <c r="H1" i="65"/>
  <c r="G2" i="65"/>
  <c r="G3" i="65"/>
  <c r="E2" i="65"/>
  <c r="F9" i="65" s="1"/>
  <c r="K94" i="68"/>
  <c r="J94" i="68"/>
  <c r="F94" i="68"/>
  <c r="K93" i="68"/>
  <c r="J93" i="68"/>
  <c r="F93" i="68"/>
  <c r="K92" i="68"/>
  <c r="J92" i="68"/>
  <c r="F92" i="68"/>
  <c r="K91" i="68"/>
  <c r="J91" i="68"/>
  <c r="F91" i="68"/>
  <c r="K90" i="68"/>
  <c r="J90" i="68"/>
  <c r="F90" i="68"/>
  <c r="K89" i="68"/>
  <c r="J89" i="68"/>
  <c r="F89" i="68"/>
  <c r="K88" i="68"/>
  <c r="J88" i="68"/>
  <c r="F88" i="68"/>
  <c r="J87" i="68"/>
  <c r="H87" i="68"/>
  <c r="E87" i="68"/>
  <c r="D87" i="68"/>
  <c r="J86" i="68"/>
  <c r="H86" i="68"/>
  <c r="E86" i="68"/>
  <c r="D86" i="68"/>
  <c r="J85" i="68"/>
  <c r="H85" i="68"/>
  <c r="E85" i="68"/>
  <c r="D85" i="68"/>
  <c r="J84" i="68"/>
  <c r="H84" i="68"/>
  <c r="E84" i="68"/>
  <c r="D84" i="68"/>
  <c r="J83" i="68"/>
  <c r="H83" i="68"/>
  <c r="E83" i="68"/>
  <c r="D83" i="68"/>
  <c r="J82" i="68"/>
  <c r="H82" i="68"/>
  <c r="E82" i="68"/>
  <c r="D82" i="68"/>
  <c r="J81" i="68"/>
  <c r="H81" i="68"/>
  <c r="E81" i="68"/>
  <c r="D81" i="68"/>
  <c r="J80" i="68"/>
  <c r="H80" i="68"/>
  <c r="E80" i="68"/>
  <c r="D80" i="68"/>
  <c r="J79" i="68"/>
  <c r="I79" i="68"/>
  <c r="G79" i="68"/>
  <c r="F79" i="68"/>
  <c r="J78" i="68"/>
  <c r="I78" i="68"/>
  <c r="G78" i="68"/>
  <c r="F78" i="68"/>
  <c r="J77" i="68"/>
  <c r="I77" i="68"/>
  <c r="G77" i="68"/>
  <c r="F77" i="68"/>
  <c r="J76" i="68"/>
  <c r="I76" i="68"/>
  <c r="G76" i="68"/>
  <c r="F76" i="68"/>
  <c r="J75" i="68"/>
  <c r="I75" i="68"/>
  <c r="G75" i="68"/>
  <c r="F75" i="68"/>
  <c r="J74" i="68"/>
  <c r="I74" i="68"/>
  <c r="G74" i="68"/>
  <c r="F74" i="68"/>
  <c r="J73" i="68"/>
  <c r="I73" i="68"/>
  <c r="G73" i="68"/>
  <c r="F73" i="68"/>
  <c r="J72" i="68"/>
  <c r="I72" i="68"/>
  <c r="G72" i="68"/>
  <c r="J71" i="68"/>
  <c r="I71" i="68"/>
  <c r="G71" i="68"/>
  <c r="J70" i="68"/>
  <c r="I70" i="68"/>
  <c r="G70" i="68"/>
  <c r="J69" i="68"/>
  <c r="I69" i="68"/>
  <c r="G69" i="68"/>
  <c r="J68" i="68"/>
  <c r="I68" i="68"/>
  <c r="G68" i="68"/>
  <c r="J67" i="68"/>
  <c r="I67" i="68"/>
  <c r="G67" i="68"/>
  <c r="J66" i="68"/>
  <c r="I66" i="68"/>
  <c r="G66" i="68"/>
  <c r="K64" i="68"/>
  <c r="J64" i="68"/>
  <c r="I64" i="68"/>
  <c r="H64" i="68"/>
  <c r="G64" i="68"/>
  <c r="F64" i="68"/>
  <c r="E64" i="68"/>
  <c r="D64" i="68"/>
  <c r="C64" i="68"/>
  <c r="B64" i="68"/>
  <c r="K63" i="68"/>
  <c r="J63" i="68"/>
  <c r="I63" i="68"/>
  <c r="H63" i="68"/>
  <c r="G63" i="68"/>
  <c r="F63" i="68"/>
  <c r="E63" i="68"/>
  <c r="D63" i="68"/>
  <c r="C63" i="68"/>
  <c r="B63" i="68"/>
  <c r="K62" i="68"/>
  <c r="J62" i="68"/>
  <c r="I62" i="68"/>
  <c r="H62" i="68"/>
  <c r="G62" i="68"/>
  <c r="F62" i="68"/>
  <c r="E62" i="68"/>
  <c r="D62" i="68"/>
  <c r="C62" i="68"/>
  <c r="B62" i="68"/>
  <c r="K61" i="68"/>
  <c r="J61" i="68"/>
  <c r="I61" i="68"/>
  <c r="H61" i="68"/>
  <c r="G61" i="68"/>
  <c r="F61" i="68"/>
  <c r="E61" i="68"/>
  <c r="D61" i="68"/>
  <c r="C61" i="68"/>
  <c r="B61" i="68"/>
  <c r="K60" i="68"/>
  <c r="J60" i="68"/>
  <c r="I60" i="68"/>
  <c r="H60" i="68"/>
  <c r="G60" i="68"/>
  <c r="F60" i="68"/>
  <c r="E60" i="68"/>
  <c r="D60" i="68"/>
  <c r="C60" i="68"/>
  <c r="B60" i="68"/>
  <c r="K59" i="68"/>
  <c r="J59" i="68"/>
  <c r="I59" i="68"/>
  <c r="H59" i="68"/>
  <c r="G59" i="68"/>
  <c r="F59" i="68"/>
  <c r="E59" i="68"/>
  <c r="D59" i="68"/>
  <c r="C59" i="68"/>
  <c r="B59" i="68"/>
  <c r="K58" i="68"/>
  <c r="J58" i="68"/>
  <c r="I58" i="68"/>
  <c r="H58" i="68"/>
  <c r="G58" i="68"/>
  <c r="F58" i="68"/>
  <c r="E58" i="68"/>
  <c r="D58" i="68"/>
  <c r="C58" i="68"/>
  <c r="B58" i="68"/>
  <c r="K57" i="68"/>
  <c r="J57" i="68"/>
  <c r="I57" i="68"/>
  <c r="H57" i="68"/>
  <c r="G57" i="68"/>
  <c r="F57" i="68"/>
  <c r="E57" i="68"/>
  <c r="D57" i="68"/>
  <c r="C57" i="68"/>
  <c r="B57" i="68"/>
  <c r="K56" i="68"/>
  <c r="J56" i="68"/>
  <c r="I56" i="68"/>
  <c r="H56" i="68"/>
  <c r="G56" i="68"/>
  <c r="F56" i="68"/>
  <c r="E56" i="68"/>
  <c r="D56" i="68"/>
  <c r="C56" i="68"/>
  <c r="B56" i="68"/>
  <c r="K55" i="68"/>
  <c r="J55" i="68"/>
  <c r="I55" i="68"/>
  <c r="H55" i="68"/>
  <c r="G55" i="68"/>
  <c r="F55" i="68"/>
  <c r="E55" i="68"/>
  <c r="D55" i="68"/>
  <c r="C55" i="68"/>
  <c r="B55" i="68"/>
  <c r="K54" i="68"/>
  <c r="J54" i="68"/>
  <c r="I54" i="68"/>
  <c r="H54" i="68"/>
  <c r="G54" i="68"/>
  <c r="F54" i="68"/>
  <c r="E54" i="68"/>
  <c r="D54" i="68"/>
  <c r="C54" i="68"/>
  <c r="B54" i="68"/>
  <c r="K53" i="68"/>
  <c r="J53" i="68"/>
  <c r="I53" i="68"/>
  <c r="H53" i="68"/>
  <c r="G53" i="68"/>
  <c r="F53" i="68"/>
  <c r="E53" i="68"/>
  <c r="D53" i="68"/>
  <c r="C53" i="68"/>
  <c r="B53" i="68"/>
  <c r="K52" i="68"/>
  <c r="J52" i="68"/>
  <c r="I52" i="68"/>
  <c r="H52" i="68"/>
  <c r="G52" i="68"/>
  <c r="F52" i="68"/>
  <c r="E52" i="68"/>
  <c r="D52" i="68"/>
  <c r="C52" i="68"/>
  <c r="B52" i="68"/>
  <c r="K51" i="68"/>
  <c r="J51" i="68"/>
  <c r="I51" i="68"/>
  <c r="H51" i="68"/>
  <c r="G51" i="68"/>
  <c r="F51" i="68"/>
  <c r="E51" i="68"/>
  <c r="D51" i="68"/>
  <c r="C51" i="68"/>
  <c r="B51" i="68"/>
  <c r="K50" i="68"/>
  <c r="J50" i="68"/>
  <c r="I50" i="68"/>
  <c r="H50" i="68"/>
  <c r="G50" i="68"/>
  <c r="F50" i="68"/>
  <c r="E50" i="68"/>
  <c r="D50" i="68"/>
  <c r="C50" i="68"/>
  <c r="B50" i="68"/>
  <c r="K49" i="68"/>
  <c r="J49" i="68"/>
  <c r="I49" i="68"/>
  <c r="H49" i="68"/>
  <c r="G49" i="68"/>
  <c r="F49" i="68"/>
  <c r="E49" i="68"/>
  <c r="D49" i="68"/>
  <c r="C49" i="68"/>
  <c r="B49" i="68"/>
  <c r="K48" i="68"/>
  <c r="J48" i="68"/>
  <c r="I48" i="68"/>
  <c r="H48" i="68"/>
  <c r="G48" i="68"/>
  <c r="F48" i="68"/>
  <c r="E48" i="68"/>
  <c r="D48" i="68"/>
  <c r="C48" i="68"/>
  <c r="B48" i="68"/>
  <c r="K47" i="68"/>
  <c r="J47" i="68"/>
  <c r="I47" i="68"/>
  <c r="H47" i="68"/>
  <c r="G47" i="68"/>
  <c r="F47" i="68"/>
  <c r="E47" i="68"/>
  <c r="D47" i="68"/>
  <c r="C47" i="68"/>
  <c r="B47" i="68"/>
  <c r="K46" i="68"/>
  <c r="J46" i="68"/>
  <c r="I46" i="68"/>
  <c r="H46" i="68"/>
  <c r="G46" i="68"/>
  <c r="F46" i="68"/>
  <c r="E46" i="68"/>
  <c r="D46" i="68"/>
  <c r="C46" i="68"/>
  <c r="B46" i="68"/>
  <c r="K45" i="68"/>
  <c r="J45" i="68"/>
  <c r="I45" i="68"/>
  <c r="H45" i="68"/>
  <c r="G45" i="68"/>
  <c r="F45" i="68"/>
  <c r="E45" i="68"/>
  <c r="D45" i="68"/>
  <c r="C45" i="68"/>
  <c r="B45" i="68"/>
  <c r="K44" i="68"/>
  <c r="J44" i="68"/>
  <c r="I44" i="68"/>
  <c r="H44" i="68"/>
  <c r="G44" i="68"/>
  <c r="F44" i="68"/>
  <c r="E44" i="68"/>
  <c r="D44" i="68"/>
  <c r="C44" i="68"/>
  <c r="B44" i="68"/>
  <c r="K43" i="68"/>
  <c r="J43" i="68"/>
  <c r="I43" i="68"/>
  <c r="H43" i="68"/>
  <c r="G43" i="68"/>
  <c r="F43" i="68"/>
  <c r="E43" i="68"/>
  <c r="D43" i="68"/>
  <c r="C43" i="68"/>
  <c r="B43" i="68"/>
  <c r="K42" i="68"/>
  <c r="J42" i="68"/>
  <c r="I42" i="68"/>
  <c r="H42" i="68"/>
  <c r="G42" i="68"/>
  <c r="F42" i="68"/>
  <c r="E42" i="68"/>
  <c r="D42" i="68"/>
  <c r="C42" i="68"/>
  <c r="B42" i="68"/>
  <c r="K41" i="68"/>
  <c r="J41" i="68"/>
  <c r="I41" i="68"/>
  <c r="H41" i="68"/>
  <c r="G41" i="68"/>
  <c r="F41" i="68"/>
  <c r="E41" i="68"/>
  <c r="D41" i="68"/>
  <c r="C41" i="68"/>
  <c r="B41" i="68"/>
  <c r="K40" i="68"/>
  <c r="J40" i="68"/>
  <c r="I40" i="68"/>
  <c r="H40" i="68"/>
  <c r="G40" i="68"/>
  <c r="F40" i="68"/>
  <c r="E40" i="68"/>
  <c r="D40" i="68"/>
  <c r="C40" i="68"/>
  <c r="B40" i="68"/>
  <c r="K39" i="68"/>
  <c r="J39" i="68"/>
  <c r="I39" i="68"/>
  <c r="H39" i="68"/>
  <c r="G39" i="68"/>
  <c r="F39" i="68"/>
  <c r="E39" i="68"/>
  <c r="D39" i="68"/>
  <c r="C39" i="68"/>
  <c r="B39" i="68"/>
  <c r="K38" i="68"/>
  <c r="J38" i="68"/>
  <c r="I38" i="68"/>
  <c r="H38" i="68"/>
  <c r="G38" i="68"/>
  <c r="F38" i="68"/>
  <c r="E38" i="68"/>
  <c r="D38" i="68"/>
  <c r="C38" i="68"/>
  <c r="B38" i="68"/>
  <c r="K37" i="68"/>
  <c r="J37" i="68"/>
  <c r="I37" i="68"/>
  <c r="H37" i="68"/>
  <c r="G37" i="68"/>
  <c r="F37" i="68"/>
  <c r="E37" i="68"/>
  <c r="D37" i="68"/>
  <c r="C37" i="68"/>
  <c r="B37" i="68"/>
  <c r="K36" i="68"/>
  <c r="J36" i="68"/>
  <c r="I36" i="68"/>
  <c r="H36" i="68"/>
  <c r="G36" i="68"/>
  <c r="F36" i="68"/>
  <c r="E36" i="68"/>
  <c r="D36" i="68"/>
  <c r="C36" i="68"/>
  <c r="B36" i="68"/>
  <c r="P31" i="68"/>
  <c r="I94" i="68" s="1"/>
  <c r="N31" i="68"/>
  <c r="H94" i="68" s="1"/>
  <c r="L31" i="68"/>
  <c r="G94" i="68" s="1"/>
  <c r="H31" i="68"/>
  <c r="E94" i="68" s="1"/>
  <c r="F31" i="68"/>
  <c r="D94" i="68" s="1"/>
  <c r="D31" i="68"/>
  <c r="C94" i="68" s="1"/>
  <c r="B31" i="68"/>
  <c r="B94" i="68" s="1"/>
  <c r="P30" i="68"/>
  <c r="I93" i="68" s="1"/>
  <c r="N30" i="68"/>
  <c r="H93" i="68" s="1"/>
  <c r="L30" i="68"/>
  <c r="G93" i="68" s="1"/>
  <c r="H30" i="68"/>
  <c r="E93" i="68" s="1"/>
  <c r="F30" i="68"/>
  <c r="D93" i="68" s="1"/>
  <c r="D30" i="68"/>
  <c r="C93" i="68" s="1"/>
  <c r="B30" i="68"/>
  <c r="B93" i="68" s="1"/>
  <c r="P29" i="68"/>
  <c r="I92" i="68" s="1"/>
  <c r="N29" i="68"/>
  <c r="H92" i="68" s="1"/>
  <c r="L29" i="68"/>
  <c r="G92" i="68" s="1"/>
  <c r="H29" i="68"/>
  <c r="E92" i="68" s="1"/>
  <c r="F29" i="68"/>
  <c r="D92" i="68" s="1"/>
  <c r="D29" i="68"/>
  <c r="C92" i="68" s="1"/>
  <c r="B29" i="68"/>
  <c r="B92" i="68" s="1"/>
  <c r="P28" i="68"/>
  <c r="I91" i="68" s="1"/>
  <c r="N28" i="68"/>
  <c r="H91" i="68" s="1"/>
  <c r="L28" i="68"/>
  <c r="G91" i="68" s="1"/>
  <c r="H28" i="68"/>
  <c r="E91" i="68" s="1"/>
  <c r="F28" i="68"/>
  <c r="D91" i="68" s="1"/>
  <c r="D28" i="68"/>
  <c r="C91" i="68" s="1"/>
  <c r="B28" i="68"/>
  <c r="B91" i="68" s="1"/>
  <c r="P27" i="68"/>
  <c r="I90" i="68" s="1"/>
  <c r="N27" i="68"/>
  <c r="H90" i="68" s="1"/>
  <c r="L27" i="68"/>
  <c r="G90" i="68" s="1"/>
  <c r="H27" i="68"/>
  <c r="E90" i="68" s="1"/>
  <c r="F27" i="68"/>
  <c r="D90" i="68" s="1"/>
  <c r="D27" i="68"/>
  <c r="C90" i="68" s="1"/>
  <c r="B27" i="68"/>
  <c r="B90" i="68" s="1"/>
  <c r="P26" i="68"/>
  <c r="I89" i="68" s="1"/>
  <c r="N26" i="68"/>
  <c r="H89" i="68" s="1"/>
  <c r="L26" i="68"/>
  <c r="G89" i="68" s="1"/>
  <c r="H26" i="68"/>
  <c r="E89" i="68" s="1"/>
  <c r="F26" i="68"/>
  <c r="D89" i="68" s="1"/>
  <c r="D26" i="68"/>
  <c r="C89" i="68" s="1"/>
  <c r="B26" i="68"/>
  <c r="B89" i="68" s="1"/>
  <c r="P25" i="68"/>
  <c r="I88" i="68" s="1"/>
  <c r="N25" i="68"/>
  <c r="H88" i="68" s="1"/>
  <c r="L25" i="68"/>
  <c r="G88" i="68" s="1"/>
  <c r="H25" i="68"/>
  <c r="E88" i="68" s="1"/>
  <c r="F25" i="68"/>
  <c r="D88" i="68" s="1"/>
  <c r="D25" i="68"/>
  <c r="C88" i="68" s="1"/>
  <c r="B25" i="68"/>
  <c r="B88" i="68" s="1"/>
  <c r="T24" i="68"/>
  <c r="K87" i="68" s="1"/>
  <c r="P24" i="68"/>
  <c r="I87" i="68" s="1"/>
  <c r="L24" i="68"/>
  <c r="G87" i="68" s="1"/>
  <c r="J24" i="68"/>
  <c r="F87" i="68" s="1"/>
  <c r="D24" i="68"/>
  <c r="C87" i="68" s="1"/>
  <c r="B24" i="68"/>
  <c r="B87" i="68" s="1"/>
  <c r="T23" i="68"/>
  <c r="K86" i="68" s="1"/>
  <c r="P23" i="68"/>
  <c r="I86" i="68" s="1"/>
  <c r="L23" i="68"/>
  <c r="G86" i="68" s="1"/>
  <c r="J23" i="68"/>
  <c r="F86" i="68" s="1"/>
  <c r="D23" i="68"/>
  <c r="C86" i="68" s="1"/>
  <c r="B23" i="68"/>
  <c r="B86" i="68" s="1"/>
  <c r="T22" i="68"/>
  <c r="K85" i="68" s="1"/>
  <c r="P22" i="68"/>
  <c r="I85" i="68" s="1"/>
  <c r="L22" i="68"/>
  <c r="G85" i="68" s="1"/>
  <c r="J22" i="68"/>
  <c r="F85" i="68" s="1"/>
  <c r="D22" i="68"/>
  <c r="C85" i="68" s="1"/>
  <c r="B22" i="68"/>
  <c r="B85" i="68" s="1"/>
  <c r="T21" i="68"/>
  <c r="K84" i="68" s="1"/>
  <c r="P21" i="68"/>
  <c r="I84" i="68" s="1"/>
  <c r="L21" i="68"/>
  <c r="G84" i="68" s="1"/>
  <c r="J21" i="68"/>
  <c r="F84" i="68" s="1"/>
  <c r="D21" i="68"/>
  <c r="C84" i="68" s="1"/>
  <c r="B21" i="68"/>
  <c r="B84" i="68" s="1"/>
  <c r="T20" i="68"/>
  <c r="K83" i="68" s="1"/>
  <c r="P20" i="68"/>
  <c r="I83" i="68" s="1"/>
  <c r="L20" i="68"/>
  <c r="G83" i="68" s="1"/>
  <c r="J20" i="68"/>
  <c r="F83" i="68" s="1"/>
  <c r="D20" i="68"/>
  <c r="C83" i="68" s="1"/>
  <c r="B20" i="68"/>
  <c r="B83" i="68" s="1"/>
  <c r="T19" i="68"/>
  <c r="K82" i="68" s="1"/>
  <c r="P19" i="68"/>
  <c r="I82" i="68" s="1"/>
  <c r="L19" i="68"/>
  <c r="G82" i="68" s="1"/>
  <c r="J19" i="68"/>
  <c r="F82" i="68" s="1"/>
  <c r="D19" i="68"/>
  <c r="C82" i="68" s="1"/>
  <c r="B19" i="68"/>
  <c r="B82" i="68" s="1"/>
  <c r="T18" i="68"/>
  <c r="K81" i="68" s="1"/>
  <c r="P18" i="68"/>
  <c r="I81" i="68" s="1"/>
  <c r="L18" i="68"/>
  <c r="G81" i="68" s="1"/>
  <c r="J18" i="68"/>
  <c r="F81" i="68" s="1"/>
  <c r="D18" i="68"/>
  <c r="C81" i="68" s="1"/>
  <c r="B18" i="68"/>
  <c r="B81" i="68" s="1"/>
  <c r="T17" i="68"/>
  <c r="K80" i="68" s="1"/>
  <c r="P17" i="68"/>
  <c r="I80" i="68" s="1"/>
  <c r="L17" i="68"/>
  <c r="G80" i="68" s="1"/>
  <c r="J17" i="68"/>
  <c r="F80" i="68" s="1"/>
  <c r="D17" i="68"/>
  <c r="C80" i="68" s="1"/>
  <c r="B17" i="68"/>
  <c r="B80" i="68" s="1"/>
  <c r="T16" i="68"/>
  <c r="K79" i="68" s="1"/>
  <c r="N16" i="68"/>
  <c r="H79" i="68" s="1"/>
  <c r="H16" i="68"/>
  <c r="E79" i="68" s="1"/>
  <c r="F16" i="68"/>
  <c r="D79" i="68" s="1"/>
  <c r="D16" i="68"/>
  <c r="C79" i="68" s="1"/>
  <c r="B16" i="68"/>
  <c r="B79" i="68" s="1"/>
  <c r="T15" i="68"/>
  <c r="K78" i="68" s="1"/>
  <c r="N15" i="68"/>
  <c r="H78" i="68" s="1"/>
  <c r="H15" i="68"/>
  <c r="E78" i="68" s="1"/>
  <c r="F15" i="68"/>
  <c r="D78" i="68" s="1"/>
  <c r="D15" i="68"/>
  <c r="C78" i="68" s="1"/>
  <c r="B15" i="68"/>
  <c r="B78" i="68" s="1"/>
  <c r="T14" i="68"/>
  <c r="K77" i="68" s="1"/>
  <c r="N14" i="68"/>
  <c r="H77" i="68" s="1"/>
  <c r="H14" i="68"/>
  <c r="E77" i="68" s="1"/>
  <c r="F14" i="68"/>
  <c r="D77" i="68" s="1"/>
  <c r="D14" i="68"/>
  <c r="C77" i="68" s="1"/>
  <c r="B14" i="68"/>
  <c r="B77" i="68" s="1"/>
  <c r="T13" i="68"/>
  <c r="K76" i="68" s="1"/>
  <c r="N13" i="68"/>
  <c r="H76" i="68" s="1"/>
  <c r="H13" i="68"/>
  <c r="E76" i="68" s="1"/>
  <c r="F13" i="68"/>
  <c r="D76" i="68" s="1"/>
  <c r="D13" i="68"/>
  <c r="C76" i="68" s="1"/>
  <c r="B13" i="68"/>
  <c r="B76" i="68" s="1"/>
  <c r="T12" i="68"/>
  <c r="K75" i="68" s="1"/>
  <c r="N12" i="68"/>
  <c r="H75" i="68" s="1"/>
  <c r="H12" i="68"/>
  <c r="E75" i="68" s="1"/>
  <c r="F12" i="68"/>
  <c r="D75" i="68" s="1"/>
  <c r="D12" i="68"/>
  <c r="C75" i="68" s="1"/>
  <c r="B12" i="68"/>
  <c r="B75" i="68" s="1"/>
  <c r="T11" i="68"/>
  <c r="K74" i="68" s="1"/>
  <c r="N11" i="68"/>
  <c r="H74" i="68" s="1"/>
  <c r="H11" i="68"/>
  <c r="E74" i="68" s="1"/>
  <c r="F11" i="68"/>
  <c r="D74" i="68" s="1"/>
  <c r="D11" i="68"/>
  <c r="C74" i="68" s="1"/>
  <c r="B11" i="68"/>
  <c r="B74" i="68" s="1"/>
  <c r="T10" i="68"/>
  <c r="K73" i="68" s="1"/>
  <c r="N10" i="68"/>
  <c r="H73" i="68" s="1"/>
  <c r="H10" i="68"/>
  <c r="E73" i="68" s="1"/>
  <c r="F10" i="68"/>
  <c r="D73" i="68" s="1"/>
  <c r="D10" i="68"/>
  <c r="C73" i="68" s="1"/>
  <c r="B10" i="68"/>
  <c r="B73" i="68" s="1"/>
  <c r="T9" i="68"/>
  <c r="K72" i="68" s="1"/>
  <c r="N9" i="68"/>
  <c r="H72" i="68" s="1"/>
  <c r="J9" i="68"/>
  <c r="F72" i="68" s="1"/>
  <c r="H9" i="68"/>
  <c r="E72" i="68" s="1"/>
  <c r="F9" i="68"/>
  <c r="D72" i="68" s="1"/>
  <c r="D9" i="68"/>
  <c r="C72" i="68" s="1"/>
  <c r="B9" i="68"/>
  <c r="B72" i="68" s="1"/>
  <c r="T8" i="68"/>
  <c r="K71" i="68" s="1"/>
  <c r="N8" i="68"/>
  <c r="H71" i="68" s="1"/>
  <c r="J8" i="68"/>
  <c r="F71" i="68" s="1"/>
  <c r="H8" i="68"/>
  <c r="E71" i="68" s="1"/>
  <c r="F8" i="68"/>
  <c r="D71" i="68" s="1"/>
  <c r="D8" i="68"/>
  <c r="C71" i="68" s="1"/>
  <c r="B8" i="68"/>
  <c r="B71" i="68" s="1"/>
  <c r="T7" i="68"/>
  <c r="K70" i="68" s="1"/>
  <c r="N7" i="68"/>
  <c r="H70" i="68" s="1"/>
  <c r="J7" i="68"/>
  <c r="F70" i="68" s="1"/>
  <c r="H7" i="68"/>
  <c r="E70" i="68" s="1"/>
  <c r="F7" i="68"/>
  <c r="D70" i="68" s="1"/>
  <c r="D7" i="68"/>
  <c r="C70" i="68" s="1"/>
  <c r="B7" i="68"/>
  <c r="B70" i="68" s="1"/>
  <c r="T6" i="68"/>
  <c r="K69" i="68" s="1"/>
  <c r="N6" i="68"/>
  <c r="H69" i="68" s="1"/>
  <c r="J6" i="68"/>
  <c r="F69" i="68" s="1"/>
  <c r="H6" i="68"/>
  <c r="E69" i="68" s="1"/>
  <c r="F6" i="68"/>
  <c r="D69" i="68" s="1"/>
  <c r="D6" i="68"/>
  <c r="C69" i="68" s="1"/>
  <c r="B6" i="68"/>
  <c r="B69" i="68" s="1"/>
  <c r="T5" i="68"/>
  <c r="K68" i="68" s="1"/>
  <c r="N5" i="68"/>
  <c r="H68" i="68" s="1"/>
  <c r="J5" i="68"/>
  <c r="F68" i="68" s="1"/>
  <c r="H5" i="68"/>
  <c r="E68" i="68" s="1"/>
  <c r="F5" i="68"/>
  <c r="D68" i="68" s="1"/>
  <c r="D5" i="68"/>
  <c r="C68" i="68" s="1"/>
  <c r="B5" i="68"/>
  <c r="B68" i="68" s="1"/>
  <c r="T4" i="68"/>
  <c r="K67" i="68" s="1"/>
  <c r="N4" i="68"/>
  <c r="H67" i="68" s="1"/>
  <c r="J4" i="68"/>
  <c r="F67" i="68" s="1"/>
  <c r="H4" i="68"/>
  <c r="E67" i="68" s="1"/>
  <c r="F4" i="68"/>
  <c r="D67" i="68" s="1"/>
  <c r="D4" i="68"/>
  <c r="C67" i="68" s="1"/>
  <c r="B4" i="68"/>
  <c r="B67" i="68" s="1"/>
  <c r="T3" i="68"/>
  <c r="K66" i="68" s="1"/>
  <c r="N3" i="68"/>
  <c r="H66" i="68" s="1"/>
  <c r="J3" i="68"/>
  <c r="F66" i="68" s="1"/>
  <c r="H3" i="68"/>
  <c r="E66" i="68" s="1"/>
  <c r="F3" i="68"/>
  <c r="D66" i="68" s="1"/>
  <c r="D3" i="68"/>
  <c r="C66" i="68" s="1"/>
  <c r="B3" i="68"/>
  <c r="B66" i="68" s="1"/>
  <c r="J42" i="65" s="1"/>
  <c r="I42" i="65" s="1"/>
  <c r="G102" i="67"/>
  <c r="F102" i="67"/>
  <c r="E102" i="67"/>
  <c r="G101" i="67"/>
  <c r="F101" i="67"/>
  <c r="E101" i="67"/>
  <c r="G100" i="67"/>
  <c r="F100" i="67"/>
  <c r="E100" i="67"/>
  <c r="G99" i="67"/>
  <c r="F99" i="67"/>
  <c r="E99" i="67"/>
  <c r="G98" i="67"/>
  <c r="F98" i="67"/>
  <c r="E98" i="67"/>
  <c r="G97" i="67"/>
  <c r="F97" i="67"/>
  <c r="E97" i="67"/>
  <c r="G96" i="67"/>
  <c r="F96" i="67"/>
  <c r="E96" i="67"/>
  <c r="G95" i="67"/>
  <c r="F95" i="67"/>
  <c r="E95" i="67"/>
  <c r="G94" i="67"/>
  <c r="F94" i="67"/>
  <c r="E94" i="67"/>
  <c r="G93" i="67"/>
  <c r="F93" i="67"/>
  <c r="E93" i="67"/>
  <c r="G92" i="67"/>
  <c r="F92" i="67"/>
  <c r="E92" i="67"/>
  <c r="G91" i="67"/>
  <c r="F91" i="67"/>
  <c r="E91" i="67"/>
  <c r="G90" i="67"/>
  <c r="F90" i="67"/>
  <c r="E90" i="67"/>
  <c r="G89" i="67"/>
  <c r="F89" i="67"/>
  <c r="E89" i="67"/>
  <c r="G88" i="67"/>
  <c r="F88" i="67"/>
  <c r="E88" i="67"/>
  <c r="G87" i="67"/>
  <c r="F87" i="67"/>
  <c r="E87" i="67"/>
  <c r="G86" i="67"/>
  <c r="F86" i="67"/>
  <c r="E86" i="67"/>
  <c r="G85" i="67"/>
  <c r="F85" i="67"/>
  <c r="E85" i="67"/>
  <c r="G84" i="67"/>
  <c r="F84" i="67"/>
  <c r="E84" i="67"/>
  <c r="G83" i="67"/>
  <c r="F83" i="67"/>
  <c r="E83" i="67"/>
  <c r="G82" i="67"/>
  <c r="F82" i="67"/>
  <c r="E82" i="67"/>
  <c r="G81" i="67"/>
  <c r="F81" i="67"/>
  <c r="E81" i="67"/>
  <c r="G80" i="67"/>
  <c r="F80" i="67"/>
  <c r="E80" i="67"/>
  <c r="G79" i="67"/>
  <c r="F79" i="67"/>
  <c r="E79" i="67"/>
  <c r="G78" i="67"/>
  <c r="F78" i="67"/>
  <c r="E78" i="67"/>
  <c r="G77" i="67"/>
  <c r="F77" i="67"/>
  <c r="E77" i="67"/>
  <c r="G76" i="67"/>
  <c r="F76" i="67"/>
  <c r="E76" i="67"/>
  <c r="G75" i="67"/>
  <c r="F75" i="67"/>
  <c r="E75" i="67"/>
  <c r="G74" i="67"/>
  <c r="F74" i="67"/>
  <c r="E74" i="67"/>
  <c r="G73" i="67"/>
  <c r="F73" i="67"/>
  <c r="E73" i="67"/>
  <c r="G72" i="67"/>
  <c r="F72" i="67"/>
  <c r="E72" i="67"/>
  <c r="G71" i="67"/>
  <c r="F71" i="67"/>
  <c r="E71" i="67"/>
  <c r="G70" i="67"/>
  <c r="F70" i="67"/>
  <c r="E70" i="67"/>
  <c r="G69" i="67"/>
  <c r="F69" i="67"/>
  <c r="E69" i="67"/>
  <c r="G68" i="67"/>
  <c r="F68" i="67"/>
  <c r="E68" i="67"/>
  <c r="G67" i="67"/>
  <c r="F67" i="67"/>
  <c r="E67" i="67"/>
  <c r="G66" i="67"/>
  <c r="F66" i="67"/>
  <c r="E66" i="67"/>
  <c r="G65" i="67"/>
  <c r="F65" i="67"/>
  <c r="E65" i="67"/>
  <c r="G64" i="67"/>
  <c r="F64" i="67"/>
  <c r="E64" i="67"/>
  <c r="G63" i="67"/>
  <c r="F63" i="67"/>
  <c r="E63" i="67"/>
  <c r="G62" i="67"/>
  <c r="F62" i="67"/>
  <c r="E62" i="67"/>
  <c r="G61" i="67"/>
  <c r="F61" i="67"/>
  <c r="E61" i="67"/>
  <c r="G60" i="67"/>
  <c r="F60" i="67"/>
  <c r="E60" i="67"/>
  <c r="G59" i="67"/>
  <c r="F59" i="67"/>
  <c r="E59" i="67"/>
  <c r="G58" i="67"/>
  <c r="F58" i="67"/>
  <c r="E58" i="67"/>
  <c r="G57" i="67"/>
  <c r="F57" i="67"/>
  <c r="E57" i="67"/>
  <c r="G56" i="67"/>
  <c r="F56" i="67"/>
  <c r="E56" i="67"/>
  <c r="G55" i="67"/>
  <c r="F55" i="67"/>
  <c r="E55" i="67"/>
  <c r="G54" i="67"/>
  <c r="F54" i="67"/>
  <c r="E54" i="67"/>
  <c r="G53" i="67"/>
  <c r="F53" i="67"/>
  <c r="E53" i="67"/>
  <c r="G52" i="67"/>
  <c r="F52" i="67"/>
  <c r="E52" i="67"/>
  <c r="G51" i="67"/>
  <c r="F51" i="67"/>
  <c r="E51" i="67"/>
  <c r="G50" i="67"/>
  <c r="F50" i="67"/>
  <c r="E50" i="67"/>
  <c r="G49" i="67"/>
  <c r="F49" i="67"/>
  <c r="E49" i="67"/>
  <c r="G48" i="67"/>
  <c r="F48" i="67"/>
  <c r="E48" i="67"/>
  <c r="G47" i="67"/>
  <c r="F47" i="67"/>
  <c r="E47" i="67"/>
  <c r="G46" i="67"/>
  <c r="F46" i="67"/>
  <c r="E46" i="67"/>
  <c r="G45" i="67"/>
  <c r="F45" i="67"/>
  <c r="E45" i="67"/>
  <c r="G44" i="67"/>
  <c r="F44" i="67"/>
  <c r="E44" i="67"/>
  <c r="G43" i="67"/>
  <c r="F43" i="67"/>
  <c r="E43" i="67"/>
  <c r="G42" i="67"/>
  <c r="F42" i="67"/>
  <c r="E42" i="67"/>
  <c r="G41" i="67"/>
  <c r="F41" i="67"/>
  <c r="E41" i="67"/>
  <c r="G40" i="67"/>
  <c r="F40" i="67"/>
  <c r="E40" i="67"/>
  <c r="G39" i="67"/>
  <c r="F39" i="67"/>
  <c r="E39" i="67"/>
  <c r="G38" i="67"/>
  <c r="F38" i="67"/>
  <c r="E38" i="67"/>
  <c r="G37" i="67"/>
  <c r="F37" i="67"/>
  <c r="E37" i="67"/>
  <c r="G36" i="67"/>
  <c r="F36" i="67"/>
  <c r="E36" i="67"/>
  <c r="G35" i="67"/>
  <c r="F35" i="67"/>
  <c r="E35" i="67"/>
  <c r="G34" i="67"/>
  <c r="F34" i="67"/>
  <c r="E34" i="67"/>
  <c r="G33" i="67"/>
  <c r="F33" i="67"/>
  <c r="E33" i="67"/>
  <c r="G32" i="67"/>
  <c r="F32" i="67"/>
  <c r="E32" i="67"/>
  <c r="G31" i="67"/>
  <c r="F31" i="67"/>
  <c r="E31" i="67"/>
  <c r="G30" i="67"/>
  <c r="F30" i="67"/>
  <c r="E30" i="67"/>
  <c r="G29" i="67"/>
  <c r="F29" i="67"/>
  <c r="E29" i="67"/>
  <c r="G28" i="67"/>
  <c r="F28" i="67"/>
  <c r="E28" i="67"/>
  <c r="G27" i="67"/>
  <c r="F27" i="67"/>
  <c r="E27" i="67"/>
  <c r="G26" i="67"/>
  <c r="F26" i="67"/>
  <c r="E26" i="67"/>
  <c r="G25" i="67"/>
  <c r="F25" i="67"/>
  <c r="E25" i="67"/>
  <c r="G24" i="67"/>
  <c r="F24" i="67"/>
  <c r="E24" i="67"/>
  <c r="G23" i="67"/>
  <c r="F23" i="67"/>
  <c r="E23" i="67"/>
  <c r="G22" i="67"/>
  <c r="F22" i="67"/>
  <c r="E22" i="67"/>
  <c r="G21" i="67"/>
  <c r="F21" i="67"/>
  <c r="E21" i="67"/>
  <c r="G20" i="67"/>
  <c r="F20" i="67"/>
  <c r="E20" i="67"/>
  <c r="G19" i="67"/>
  <c r="F19" i="67"/>
  <c r="E19" i="67"/>
  <c r="G18" i="67"/>
  <c r="F18" i="67"/>
  <c r="E18" i="67"/>
  <c r="G17" i="67"/>
  <c r="F17" i="67"/>
  <c r="E17" i="67"/>
  <c r="G16" i="67"/>
  <c r="F16" i="67"/>
  <c r="E16" i="67"/>
  <c r="G15" i="67"/>
  <c r="F15" i="67"/>
  <c r="E15" i="67"/>
  <c r="G14" i="67"/>
  <c r="F14" i="67"/>
  <c r="E14" i="67"/>
  <c r="G13" i="67"/>
  <c r="F13" i="67"/>
  <c r="E13" i="67"/>
  <c r="G12" i="67"/>
  <c r="F12" i="67"/>
  <c r="E12" i="67"/>
  <c r="G11" i="67"/>
  <c r="F11" i="67"/>
  <c r="E11" i="67"/>
  <c r="G10" i="67"/>
  <c r="F10" i="67"/>
  <c r="E10" i="67"/>
  <c r="G9" i="67"/>
  <c r="F9" i="67"/>
  <c r="E9" i="67"/>
  <c r="G8" i="67"/>
  <c r="F8" i="67"/>
  <c r="E8" i="67"/>
  <c r="G7" i="67"/>
  <c r="F7" i="67"/>
  <c r="E7" i="67"/>
  <c r="G6" i="67"/>
  <c r="F6" i="67"/>
  <c r="E6" i="67"/>
  <c r="G5" i="67"/>
  <c r="F5" i="67"/>
  <c r="E5" i="67"/>
  <c r="G4" i="67"/>
  <c r="F4" i="67"/>
  <c r="E4" i="67"/>
  <c r="G3" i="67"/>
  <c r="F3" i="67"/>
  <c r="E3" i="67"/>
  <c r="N12" i="66"/>
  <c r="M12" i="66"/>
  <c r="L12" i="66"/>
  <c r="O11" i="66"/>
  <c r="N11" i="66"/>
  <c r="M11" i="66"/>
  <c r="L11" i="66"/>
  <c r="O10" i="66"/>
  <c r="N10" i="66"/>
  <c r="M10" i="66"/>
  <c r="L10" i="66"/>
  <c r="O9" i="66"/>
  <c r="N9" i="66"/>
  <c r="M9" i="66"/>
  <c r="L9" i="66"/>
  <c r="O8" i="66"/>
  <c r="N8" i="66"/>
  <c r="M8" i="66"/>
  <c r="L8" i="66"/>
  <c r="O7" i="66"/>
  <c r="N7" i="66"/>
  <c r="M7" i="66"/>
  <c r="L7" i="66"/>
  <c r="O6" i="66"/>
  <c r="N6" i="66"/>
  <c r="M6" i="66"/>
  <c r="L6" i="66"/>
  <c r="O5" i="66"/>
  <c r="N5" i="66"/>
  <c r="M5" i="66"/>
  <c r="L5" i="66"/>
  <c r="O4" i="66"/>
  <c r="N4" i="66"/>
  <c r="M4" i="66"/>
  <c r="L4" i="66"/>
  <c r="O3" i="66"/>
  <c r="N3" i="66"/>
  <c r="M3" i="66"/>
  <c r="L3" i="66"/>
  <c r="D76" i="65"/>
  <c r="B76" i="65"/>
  <c r="D75" i="65"/>
  <c r="B75" i="65"/>
  <c r="D74" i="65"/>
  <c r="D73" i="65"/>
  <c r="B73" i="65"/>
  <c r="D72" i="65"/>
  <c r="B72" i="65"/>
  <c r="D71" i="65"/>
  <c r="B71" i="65"/>
  <c r="D70" i="65"/>
  <c r="E70" i="65" s="1"/>
  <c r="B68" i="65" s="1"/>
  <c r="B70" i="65"/>
  <c r="D67" i="65"/>
  <c r="D66" i="65"/>
  <c r="D65" i="65"/>
  <c r="D64" i="65"/>
  <c r="D63" i="65"/>
  <c r="D57" i="65"/>
  <c r="B57" i="65"/>
  <c r="D56" i="65"/>
  <c r="D55" i="65"/>
  <c r="B55" i="65"/>
  <c r="D54" i="65"/>
  <c r="D53" i="65"/>
  <c r="B53" i="65"/>
  <c r="D52" i="65"/>
  <c r="B52" i="65"/>
  <c r="D51" i="65"/>
  <c r="E51" i="65" s="1"/>
  <c r="B49" i="65" s="1"/>
  <c r="B51" i="65"/>
  <c r="D48" i="65"/>
  <c r="B48" i="65"/>
  <c r="D47" i="65"/>
  <c r="D46" i="65"/>
  <c r="B46" i="65"/>
  <c r="D45" i="65"/>
  <c r="D44" i="65"/>
  <c r="B44" i="65"/>
  <c r="D43" i="65"/>
  <c r="B43" i="65"/>
  <c r="D42" i="65"/>
  <c r="B42" i="65"/>
  <c r="C30" i="65"/>
  <c r="C29" i="65"/>
  <c r="C28" i="65"/>
  <c r="C27" i="65"/>
  <c r="C26" i="65"/>
  <c r="D21" i="65"/>
  <c r="D19" i="65"/>
  <c r="G12" i="65"/>
  <c r="E12" i="65"/>
  <c r="B24" i="65"/>
  <c r="B80" i="65"/>
  <c r="F76" i="65"/>
  <c r="G76" i="65" s="1"/>
  <c r="K1" i="66"/>
  <c r="D20" i="65"/>
  <c r="C9" i="65" l="1"/>
  <c r="C18" i="69"/>
  <c r="D17" i="69"/>
  <c r="C14" i="69"/>
  <c r="D13" i="69"/>
  <c r="C22" i="69"/>
  <c r="D21" i="69"/>
  <c r="D7" i="69"/>
  <c r="D11" i="69"/>
  <c r="C26" i="69"/>
  <c r="D25" i="69"/>
  <c r="C34" i="69"/>
  <c r="D33" i="69"/>
  <c r="C42" i="69"/>
  <c r="D41" i="69"/>
  <c r="C30" i="69"/>
  <c r="D30" i="69" s="1"/>
  <c r="D29" i="69"/>
  <c r="C38" i="69"/>
  <c r="D37" i="69"/>
  <c r="C46" i="69"/>
  <c r="D45" i="69"/>
  <c r="D49" i="69"/>
  <c r="D51" i="69"/>
  <c r="O51" i="69"/>
  <c r="Q51" i="69"/>
  <c r="D55" i="69"/>
  <c r="D59" i="69"/>
  <c r="D63" i="69"/>
  <c r="D50" i="69"/>
  <c r="N51" i="69"/>
  <c r="P51" i="69"/>
  <c r="E42" i="65"/>
  <c r="B40" i="65" s="1"/>
  <c r="B84" i="65"/>
  <c r="B82" i="65"/>
  <c r="B85" i="65"/>
  <c r="B83" i="65"/>
  <c r="I3" i="65"/>
  <c r="D8" i="65"/>
  <c r="C10" i="65"/>
  <c r="F12" i="65"/>
  <c r="D12" i="65" s="1"/>
  <c r="C11" i="65" s="1"/>
  <c r="H12" i="65"/>
  <c r="E13" i="65"/>
  <c r="F13" i="65" s="1"/>
  <c r="G13" i="65"/>
  <c r="H13" i="65" s="1"/>
  <c r="D14" i="65"/>
  <c r="H16" i="65"/>
  <c r="D18" i="65"/>
  <c r="F42" i="65"/>
  <c r="G42" i="65" s="1"/>
  <c r="F43" i="65"/>
  <c r="G43" i="65" s="1"/>
  <c r="F44" i="65"/>
  <c r="G44" i="65" s="1"/>
  <c r="J45" i="65"/>
  <c r="I45" i="65" s="1"/>
  <c r="J46" i="65"/>
  <c r="I46" i="65" s="1"/>
  <c r="F47" i="65"/>
  <c r="G47" i="65" s="1"/>
  <c r="F48" i="65"/>
  <c r="G48" i="65" s="1"/>
  <c r="F51" i="65"/>
  <c r="G51" i="65" s="1"/>
  <c r="F52" i="65"/>
  <c r="G52" i="65" s="1"/>
  <c r="F53" i="65"/>
  <c r="G53" i="65" s="1"/>
  <c r="J54" i="65"/>
  <c r="I54" i="65" s="1"/>
  <c r="J55" i="65"/>
  <c r="I55" i="65" s="1"/>
  <c r="F56" i="65"/>
  <c r="G56" i="65" s="1"/>
  <c r="F57" i="65"/>
  <c r="G57" i="65" s="1"/>
  <c r="F60" i="65"/>
  <c r="F61" i="65"/>
  <c r="G61" i="65" s="1"/>
  <c r="D61" i="65" s="1"/>
  <c r="F62" i="65"/>
  <c r="G62" i="65" s="1"/>
  <c r="D62" i="65" s="1"/>
  <c r="F63" i="65"/>
  <c r="G63" i="65" s="1"/>
  <c r="J64" i="65"/>
  <c r="I64" i="65" s="1"/>
  <c r="J65" i="65"/>
  <c r="I65" i="65" s="1"/>
  <c r="J66" i="65"/>
  <c r="I66" i="65" s="1"/>
  <c r="F67" i="65"/>
  <c r="G67" i="65" s="1"/>
  <c r="F70" i="65"/>
  <c r="G70" i="65" s="1"/>
  <c r="F71" i="65"/>
  <c r="G71" i="65" s="1"/>
  <c r="F72" i="65"/>
  <c r="G72" i="65" s="1"/>
  <c r="F73" i="65"/>
  <c r="G73" i="65" s="1"/>
  <c r="J74" i="65"/>
  <c r="I74" i="65" s="1"/>
  <c r="J75" i="65"/>
  <c r="I75" i="65" s="1"/>
  <c r="J76" i="65"/>
  <c r="I76" i="65" s="1"/>
  <c r="B81" i="65"/>
  <c r="L1" i="66"/>
  <c r="M1" i="66" s="1"/>
  <c r="C7" i="65" s="1"/>
  <c r="J43" i="65"/>
  <c r="I43" i="65" s="1"/>
  <c r="J44" i="65"/>
  <c r="I44" i="65" s="1"/>
  <c r="F45" i="65"/>
  <c r="G45" i="65" s="1"/>
  <c r="F46" i="65"/>
  <c r="G46" i="65" s="1"/>
  <c r="J47" i="65"/>
  <c r="I47" i="65" s="1"/>
  <c r="J48" i="65"/>
  <c r="I48" i="65" s="1"/>
  <c r="J51" i="65"/>
  <c r="I51" i="65" s="1"/>
  <c r="J52" i="65"/>
  <c r="I52" i="65" s="1"/>
  <c r="J53" i="65"/>
  <c r="I53" i="65" s="1"/>
  <c r="F54" i="65"/>
  <c r="G54" i="65" s="1"/>
  <c r="F55" i="65"/>
  <c r="G55" i="65" s="1"/>
  <c r="J56" i="65"/>
  <c r="I56" i="65" s="1"/>
  <c r="J57" i="65"/>
  <c r="I57" i="65" s="1"/>
  <c r="J60" i="65"/>
  <c r="I60" i="65" s="1"/>
  <c r="J61" i="65"/>
  <c r="I61" i="65" s="1"/>
  <c r="J62" i="65"/>
  <c r="I62" i="65" s="1"/>
  <c r="J63" i="65"/>
  <c r="I63" i="65" s="1"/>
  <c r="F64" i="65"/>
  <c r="G64" i="65" s="1"/>
  <c r="F65" i="65"/>
  <c r="G65" i="65" s="1"/>
  <c r="F66" i="65"/>
  <c r="G66" i="65" s="1"/>
  <c r="J67" i="65"/>
  <c r="I67" i="65" s="1"/>
  <c r="J70" i="65"/>
  <c r="I70" i="65" s="1"/>
  <c r="J71" i="65"/>
  <c r="I71" i="65" s="1"/>
  <c r="J72" i="65"/>
  <c r="I72" i="65" s="1"/>
  <c r="J73" i="65"/>
  <c r="I73" i="65" s="1"/>
  <c r="F74" i="65"/>
  <c r="G74" i="65" s="1"/>
  <c r="F75" i="65"/>
  <c r="G75" i="65" s="1"/>
  <c r="G60" i="65" l="1"/>
  <c r="D60" i="65"/>
  <c r="E60" i="65" s="1"/>
  <c r="B58" i="65" s="1"/>
  <c r="C15" i="65" s="1"/>
  <c r="C21" i="65" s="1"/>
  <c r="E21" i="65" s="1"/>
  <c r="C47" i="69"/>
  <c r="D46" i="69"/>
  <c r="C39" i="69"/>
  <c r="D38" i="69"/>
  <c r="C43" i="69"/>
  <c r="D42" i="69"/>
  <c r="C35" i="69"/>
  <c r="D34" i="69"/>
  <c r="C27" i="69"/>
  <c r="D26" i="69"/>
  <c r="C23" i="69"/>
  <c r="D22" i="69"/>
  <c r="C15" i="69"/>
  <c r="D14" i="69"/>
  <c r="C19" i="69"/>
  <c r="D18" i="69"/>
  <c r="D13" i="65"/>
  <c r="C19" i="65" l="1"/>
  <c r="E19" i="65" s="1"/>
  <c r="C20" i="65"/>
  <c r="E20" i="65" s="1"/>
  <c r="C18" i="65"/>
  <c r="E18" i="65" s="1"/>
  <c r="B4" i="65"/>
  <c r="T15" i="69"/>
  <c r="D15" i="69"/>
  <c r="T27" i="69"/>
  <c r="D27" i="69"/>
  <c r="T19" i="69"/>
  <c r="D19" i="69"/>
  <c r="T23" i="69"/>
  <c r="D23" i="69"/>
  <c r="T35" i="69"/>
  <c r="D35" i="69"/>
  <c r="T43" i="69"/>
  <c r="D43" i="69"/>
  <c r="T39" i="69"/>
  <c r="D39" i="69"/>
  <c r="T47" i="69"/>
  <c r="D47" i="69"/>
  <c r="C22" i="65"/>
  <c r="B5" i="65" s="1"/>
  <c r="B3" i="65" l="1"/>
  <c r="D76" i="64" l="1"/>
  <c r="B76" i="64"/>
  <c r="D75" i="64"/>
  <c r="B75" i="64"/>
  <c r="D74" i="64"/>
  <c r="D73" i="64"/>
  <c r="B73" i="64"/>
  <c r="D72" i="64"/>
  <c r="B72" i="64"/>
  <c r="D71" i="64"/>
  <c r="B71" i="64"/>
  <c r="D70" i="64"/>
  <c r="E70" i="64" s="1"/>
  <c r="B68" i="64" s="1"/>
  <c r="B70" i="64"/>
  <c r="D67" i="64"/>
  <c r="D66" i="64"/>
  <c r="B66" i="64"/>
  <c r="D65" i="64"/>
  <c r="B65" i="64"/>
  <c r="D64" i="64"/>
  <c r="D63" i="64"/>
  <c r="B63" i="64"/>
  <c r="D62" i="64"/>
  <c r="B62" i="64"/>
  <c r="D61" i="64"/>
  <c r="B61" i="64"/>
  <c r="D60" i="64"/>
  <c r="E60" i="64" s="1"/>
  <c r="B58" i="64" s="1"/>
  <c r="B60" i="64"/>
  <c r="D57" i="64"/>
  <c r="B57" i="64"/>
  <c r="D56" i="64"/>
  <c r="D55" i="64"/>
  <c r="B55" i="64"/>
  <c r="D54" i="64"/>
  <c r="D53" i="64"/>
  <c r="B53" i="64"/>
  <c r="D52" i="64"/>
  <c r="B52" i="64"/>
  <c r="D51" i="64"/>
  <c r="B51" i="64"/>
  <c r="D48" i="64"/>
  <c r="B48" i="64"/>
  <c r="D47" i="64"/>
  <c r="D46" i="64"/>
  <c r="B46" i="64"/>
  <c r="D45" i="64"/>
  <c r="D44" i="64"/>
  <c r="B44" i="64"/>
  <c r="D43" i="64"/>
  <c r="E42" i="64" s="1"/>
  <c r="B40" i="64" s="1"/>
  <c r="B43" i="64"/>
  <c r="J42" i="64"/>
  <c r="I42" i="64" s="1"/>
  <c r="D42" i="64"/>
  <c r="B42" i="64"/>
  <c r="C30" i="64"/>
  <c r="C29" i="64"/>
  <c r="C28" i="64"/>
  <c r="C27" i="64"/>
  <c r="C26" i="64"/>
  <c r="D21" i="64"/>
  <c r="G10" i="64"/>
  <c r="H9" i="64"/>
  <c r="B24" i="64" s="1"/>
  <c r="C9" i="64"/>
  <c r="C7" i="64"/>
  <c r="G3" i="64"/>
  <c r="G2" i="64"/>
  <c r="J76" i="64" s="1"/>
  <c r="I76" i="64" s="1"/>
  <c r="E2" i="64"/>
  <c r="C15" i="64" s="1"/>
  <c r="J1" i="64"/>
  <c r="D19" i="64" s="1"/>
  <c r="H1" i="64"/>
  <c r="E51" i="64" l="1"/>
  <c r="B49" i="64" s="1"/>
  <c r="G12" i="64"/>
  <c r="E12" i="64"/>
  <c r="D8" i="64"/>
  <c r="F9" i="64"/>
  <c r="I9" i="64"/>
  <c r="D20" i="64"/>
  <c r="D18" i="64"/>
  <c r="B81" i="64"/>
  <c r="H16" i="64"/>
  <c r="H10" i="64"/>
  <c r="C10" i="64" s="1"/>
  <c r="I3" i="64"/>
  <c r="J43" i="64"/>
  <c r="I43" i="64" s="1"/>
  <c r="J44" i="64"/>
  <c r="I44" i="64" s="1"/>
  <c r="F45" i="64"/>
  <c r="G45" i="64" s="1"/>
  <c r="F46" i="64"/>
  <c r="G46" i="64" s="1"/>
  <c r="J47" i="64"/>
  <c r="I47" i="64" s="1"/>
  <c r="J48" i="64"/>
  <c r="I48" i="64" s="1"/>
  <c r="J51" i="64"/>
  <c r="I51" i="64" s="1"/>
  <c r="J52" i="64"/>
  <c r="I52" i="64" s="1"/>
  <c r="J53" i="64"/>
  <c r="I53" i="64" s="1"/>
  <c r="F54" i="64"/>
  <c r="G54" i="64" s="1"/>
  <c r="F55" i="64"/>
  <c r="G55" i="64" s="1"/>
  <c r="J56" i="64"/>
  <c r="I56" i="64" s="1"/>
  <c r="J57" i="64"/>
  <c r="I57" i="64" s="1"/>
  <c r="J60" i="64"/>
  <c r="I60" i="64" s="1"/>
  <c r="J61" i="64"/>
  <c r="I61" i="64" s="1"/>
  <c r="J62" i="64"/>
  <c r="I62" i="64" s="1"/>
  <c r="J63" i="64"/>
  <c r="I63" i="64" s="1"/>
  <c r="F64" i="64"/>
  <c r="G64" i="64" s="1"/>
  <c r="F65" i="64"/>
  <c r="G65" i="64" s="1"/>
  <c r="F66" i="64"/>
  <c r="G66" i="64" s="1"/>
  <c r="J67" i="64"/>
  <c r="I67" i="64" s="1"/>
  <c r="J70" i="64"/>
  <c r="I70" i="64" s="1"/>
  <c r="J71" i="64"/>
  <c r="I71" i="64" s="1"/>
  <c r="J72" i="64"/>
  <c r="I72" i="64" s="1"/>
  <c r="J73" i="64"/>
  <c r="I73" i="64" s="1"/>
  <c r="F74" i="64"/>
  <c r="G74" i="64" s="1"/>
  <c r="F75" i="64"/>
  <c r="G75" i="64" s="1"/>
  <c r="F76" i="64"/>
  <c r="G76" i="64" s="1"/>
  <c r="B80" i="64"/>
  <c r="F12" i="64"/>
  <c r="D12" i="64" s="1"/>
  <c r="C11" i="64" s="1"/>
  <c r="H12" i="64"/>
  <c r="E13" i="64"/>
  <c r="F13" i="64" s="1"/>
  <c r="G13" i="64"/>
  <c r="H13" i="64" s="1"/>
  <c r="D14" i="64"/>
  <c r="F42" i="64"/>
  <c r="G42" i="64" s="1"/>
  <c r="F43" i="64"/>
  <c r="G43" i="64" s="1"/>
  <c r="F44" i="64"/>
  <c r="G44" i="64" s="1"/>
  <c r="J45" i="64"/>
  <c r="I45" i="64" s="1"/>
  <c r="J46" i="64"/>
  <c r="I46" i="64" s="1"/>
  <c r="F47" i="64"/>
  <c r="G47" i="64" s="1"/>
  <c r="F48" i="64"/>
  <c r="G48" i="64" s="1"/>
  <c r="F51" i="64"/>
  <c r="G51" i="64" s="1"/>
  <c r="F52" i="64"/>
  <c r="G52" i="64" s="1"/>
  <c r="F53" i="64"/>
  <c r="G53" i="64" s="1"/>
  <c r="J54" i="64"/>
  <c r="I54" i="64" s="1"/>
  <c r="J55" i="64"/>
  <c r="I55" i="64" s="1"/>
  <c r="F56" i="64"/>
  <c r="G56" i="64" s="1"/>
  <c r="F57" i="64"/>
  <c r="G57" i="64" s="1"/>
  <c r="F60" i="64"/>
  <c r="G60" i="64" s="1"/>
  <c r="F61" i="64"/>
  <c r="G61" i="64" s="1"/>
  <c r="F62" i="64"/>
  <c r="G62" i="64" s="1"/>
  <c r="F63" i="64"/>
  <c r="G63" i="64" s="1"/>
  <c r="J64" i="64"/>
  <c r="I64" i="64" s="1"/>
  <c r="J65" i="64"/>
  <c r="I65" i="64" s="1"/>
  <c r="J66" i="64"/>
  <c r="I66" i="64" s="1"/>
  <c r="F67" i="64"/>
  <c r="G67" i="64" s="1"/>
  <c r="F70" i="64"/>
  <c r="G70" i="64" s="1"/>
  <c r="F71" i="64"/>
  <c r="G71" i="64" s="1"/>
  <c r="F72" i="64"/>
  <c r="G72" i="64" s="1"/>
  <c r="F73" i="64"/>
  <c r="G73" i="64" s="1"/>
  <c r="J74" i="64"/>
  <c r="I74" i="64" s="1"/>
  <c r="J75" i="64"/>
  <c r="I75" i="64" s="1"/>
  <c r="C19" i="64" l="1"/>
  <c r="E19" i="64" s="1"/>
  <c r="C20" i="64"/>
  <c r="D13" i="64"/>
  <c r="C18" i="64"/>
  <c r="C22" i="64" s="1"/>
  <c r="B5" i="64" s="1"/>
  <c r="B85" i="64"/>
  <c r="B83" i="64"/>
  <c r="B84" i="64"/>
  <c r="B82" i="64"/>
  <c r="B4" i="64"/>
  <c r="E20" i="64"/>
  <c r="C21" i="64"/>
  <c r="E21" i="64" s="1"/>
  <c r="E18" i="64" l="1"/>
  <c r="B3" i="64"/>
  <c r="I7" i="21"/>
  <c r="G7" i="21"/>
  <c r="E7" i="21"/>
  <c r="E17" i="1"/>
  <c r="I33" i="21"/>
  <c r="G33" i="21"/>
  <c r="E33" i="21"/>
  <c r="I47" i="21"/>
  <c r="G47" i="21"/>
  <c r="E47" i="21"/>
  <c r="F92" i="21"/>
  <c r="E92" i="21"/>
  <c r="D92" i="21"/>
  <c r="C92" i="21"/>
  <c r="I5" i="21"/>
  <c r="G5" i="21"/>
  <c r="E5" i="21"/>
  <c r="M48" i="15" l="1"/>
  <c r="B2" i="1"/>
  <c r="B23" i="1"/>
  <c r="B13" i="1"/>
  <c r="L49" i="15" s="1"/>
  <c r="J54" i="15" s="1"/>
  <c r="J50" i="15"/>
  <c r="J51" i="15"/>
  <c r="J52" i="15"/>
  <c r="B25" i="1"/>
  <c r="AH5" i="59"/>
  <c r="AG5" i="59"/>
  <c r="AE5" i="59"/>
  <c r="AF5" i="59"/>
  <c r="AD5" i="59"/>
  <c r="Q5" i="59"/>
  <c r="P5" i="59"/>
  <c r="O5" i="59"/>
  <c r="N5" i="59"/>
  <c r="M49" i="9"/>
  <c r="L3" i="59"/>
  <c r="K3" i="59"/>
  <c r="J3" i="59"/>
  <c r="I3" i="59"/>
  <c r="AH6" i="59"/>
  <c r="AG6" i="59"/>
  <c r="AE6" i="59"/>
  <c r="AF6" i="59"/>
  <c r="AD6" i="59"/>
  <c r="Q6" i="59"/>
  <c r="AB5" i="59"/>
  <c r="P6" i="59"/>
  <c r="O6" i="59"/>
  <c r="Y5" i="59"/>
  <c r="Z5" i="59"/>
  <c r="N6" i="59"/>
  <c r="X5" i="59"/>
  <c r="Q7" i="59"/>
  <c r="P7" i="59"/>
  <c r="O7" i="59"/>
  <c r="N7" i="59"/>
  <c r="D7" i="59"/>
  <c r="AA5" i="59"/>
  <c r="E6" i="59"/>
  <c r="U6" i="59"/>
  <c r="F6" i="59"/>
  <c r="AB6" i="59"/>
  <c r="E5" i="59"/>
  <c r="AA6" i="59"/>
  <c r="C6" i="59"/>
  <c r="T6" i="59"/>
  <c r="Y6" i="59"/>
  <c r="Z6" i="59"/>
  <c r="B6" i="59"/>
  <c r="S6" i="59"/>
  <c r="X6" i="59"/>
  <c r="A2" i="50"/>
  <c r="F5" i="59"/>
  <c r="V6" i="59"/>
  <c r="B5" i="59"/>
  <c r="D6" i="59"/>
  <c r="C5" i="59"/>
  <c r="D5" i="59"/>
  <c r="K60" i="15"/>
  <c r="P59" i="15"/>
  <c r="P72" i="15"/>
  <c r="A132" i="57"/>
  <c r="A130" i="57"/>
  <c r="A128" i="57"/>
  <c r="A126" i="57"/>
  <c r="A129" i="9"/>
  <c r="A127" i="9"/>
  <c r="A125" i="9"/>
  <c r="A123" i="9"/>
  <c r="A16" i="54"/>
  <c r="A14" i="54"/>
  <c r="A19" i="55"/>
  <c r="A13" i="55"/>
  <c r="A1" i="52"/>
  <c r="A4" i="50"/>
  <c r="P8" i="59"/>
  <c r="O8" i="59"/>
  <c r="N8" i="59"/>
  <c r="Q8"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s="1"/>
  <c r="B14" i="62"/>
  <c r="B1" i="62" s="1"/>
  <c r="B3" i="62"/>
  <c r="M19" i="43"/>
  <c r="O9" i="59"/>
  <c r="P9" i="59"/>
  <c r="Q9" i="59"/>
  <c r="N9"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s="1"/>
  <c r="A8" i="52"/>
  <c r="B65" i="60" s="1"/>
  <c r="B18" i="50"/>
  <c r="B39" i="50"/>
  <c r="B15" i="50"/>
  <c r="B36" i="50"/>
  <c r="B10" i="50"/>
  <c r="B31" i="50"/>
  <c r="C6" i="50"/>
  <c r="A13" i="54"/>
  <c r="B51" i="60"/>
  <c r="B50" i="60"/>
  <c r="B47" i="60"/>
  <c r="B18" i="60"/>
  <c r="B16" i="60"/>
  <c r="B51" i="10"/>
  <c r="B49" i="60"/>
  <c r="A18" i="55"/>
  <c r="B48" i="60" s="1"/>
  <c r="A15" i="55"/>
  <c r="B45" i="60" s="1"/>
  <c r="A14" i="55"/>
  <c r="B44" i="60" s="1"/>
  <c r="B43" i="60"/>
  <c r="C10" i="50"/>
  <c r="B24" i="60" s="1"/>
  <c r="C7" i="50"/>
  <c r="C15" i="50" s="1"/>
  <c r="C18" i="50"/>
  <c r="B20" i="60"/>
  <c r="C35" i="50"/>
  <c r="C34" i="50"/>
  <c r="C33" i="50"/>
  <c r="C12"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U58" i="59"/>
  <c r="C58" i="59"/>
  <c r="T58" i="59"/>
  <c r="B58" i="59"/>
  <c r="Q57" i="59"/>
  <c r="P57" i="59"/>
  <c r="O57" i="59"/>
  <c r="N57" i="59"/>
  <c r="F57" i="59"/>
  <c r="F56" i="59"/>
  <c r="B57" i="59"/>
  <c r="B56"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U50" i="59"/>
  <c r="S50" i="59"/>
  <c r="P50" i="59"/>
  <c r="N50" i="59"/>
  <c r="F50" i="59"/>
  <c r="V50" i="59"/>
  <c r="E50" i="59"/>
  <c r="E49" i="59"/>
  <c r="P49" i="59"/>
  <c r="C50" i="59"/>
  <c r="B50" i="59"/>
  <c r="F49" i="59"/>
  <c r="F48" i="59"/>
  <c r="Q48" i="59"/>
  <c r="B49" i="59"/>
  <c r="E48" i="59"/>
  <c r="P47"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F37" i="59"/>
  <c r="F38" i="59"/>
  <c r="V38" i="59"/>
  <c r="Q36" i="59"/>
  <c r="P36" i="59"/>
  <c r="O36" i="59"/>
  <c r="N36" i="59"/>
  <c r="E36" i="59"/>
  <c r="C36" i="59"/>
  <c r="Q35" i="59"/>
  <c r="F36" i="59"/>
  <c r="P35" i="59"/>
  <c r="O35"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AB21" i="59"/>
  <c r="Q21" i="59"/>
  <c r="P21" i="59"/>
  <c r="AA21" i="59"/>
  <c r="O21" i="59"/>
  <c r="Y21" i="59"/>
  <c r="Z21" i="59"/>
  <c r="N21" i="59"/>
  <c r="X21" i="59"/>
  <c r="Z20"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Q14" i="59"/>
  <c r="P14" i="59"/>
  <c r="O14" i="59"/>
  <c r="N14" i="59"/>
  <c r="Q13" i="59"/>
  <c r="P13" i="59"/>
  <c r="O13" i="59"/>
  <c r="N13" i="59"/>
  <c r="Q12" i="59"/>
  <c r="P12" i="59"/>
  <c r="O12" i="59"/>
  <c r="N12" i="59"/>
  <c r="F12" i="59"/>
  <c r="F13" i="59"/>
  <c r="F14" i="59"/>
  <c r="V14" i="59"/>
  <c r="Q11" i="59"/>
  <c r="P11" i="59"/>
  <c r="E12" i="59"/>
  <c r="E13" i="59"/>
  <c r="E14" i="59"/>
  <c r="U14" i="59"/>
  <c r="O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37" i="59"/>
  <c r="E38" i="59"/>
  <c r="U38" i="59"/>
  <c r="E41" i="59"/>
  <c r="E42" i="59"/>
  <c r="U42" i="59"/>
  <c r="E45" i="59"/>
  <c r="E46" i="59"/>
  <c r="U46" i="59"/>
  <c r="Q47" i="59"/>
  <c r="P48" i="59"/>
  <c r="U54" i="59"/>
  <c r="E53" i="59"/>
  <c r="E52" i="59"/>
  <c r="Q10"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c r="F36" i="15"/>
  <c r="F65" i="15"/>
  <c r="F13"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F7"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s="1"/>
  <c r="C88" i="57" s="1"/>
  <c r="H78" i="57"/>
  <c r="D78" i="57"/>
  <c r="C78" i="57" s="1"/>
  <c r="C75" i="57" s="1"/>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57" i="31"/>
  <c r="R58" i="31"/>
  <c r="T58" i="31" s="1"/>
  <c r="R59" i="31"/>
  <c r="R60" i="31"/>
  <c r="T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s="1"/>
  <c r="B2" i="48"/>
  <c r="F9" i="48" s="1"/>
  <c r="H9"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B74" i="43" s="1"/>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c r="Q45" i="21"/>
  <c r="Z45" i="21" s="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c r="C111" i="57"/>
  <c r="H106" i="57"/>
  <c r="D127" i="57"/>
  <c r="C109" i="57"/>
  <c r="H103" i="57"/>
  <c r="B113" i="43"/>
  <c r="I118" i="43" s="1"/>
  <c r="J118" i="43" s="1"/>
  <c r="K118" i="43" s="1"/>
  <c r="L118" i="43" s="1"/>
  <c r="M118" i="43" s="1"/>
  <c r="M101" i="43"/>
  <c r="M103" i="43" s="1"/>
  <c r="K101" i="43"/>
  <c r="K109" i="43" s="1"/>
  <c r="I101" i="43"/>
  <c r="I102" i="43" s="1"/>
  <c r="G101" i="43"/>
  <c r="G107" i="43" s="1"/>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8" i="21"/>
  <c r="U30" i="21"/>
  <c r="S17" i="21"/>
  <c r="S28" i="21"/>
  <c r="AB21" i="21"/>
  <c r="U21"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c r="C18" i="9"/>
  <c r="D18" i="9" s="1"/>
  <c r="D22" i="15"/>
  <c r="A14" i="52"/>
  <c r="B61" i="60" s="1"/>
  <c r="C29" i="11"/>
  <c r="D27" i="11" s="1"/>
  <c r="C47" i="11"/>
  <c r="D45"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c r="H11" i="44"/>
  <c r="A6" i="54"/>
  <c r="B7" i="60" s="1"/>
  <c r="C51" i="10"/>
  <c r="A8" i="54"/>
  <c r="B8" i="60" s="1"/>
  <c r="F2" i="21"/>
  <c r="F2" i="34"/>
  <c r="F2" i="35"/>
  <c r="F2" i="33"/>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53" i="10"/>
  <c r="D123" i="9"/>
  <c r="D124" i="9"/>
  <c r="D7" i="52"/>
  <c r="M48" i="57"/>
  <c r="D63" i="40"/>
  <c r="B58" i="60"/>
  <c r="A12" i="52"/>
  <c r="B67" i="60" s="1"/>
  <c r="H49" i="43"/>
  <c r="L105" i="43"/>
  <c r="L109" i="43"/>
  <c r="H105" i="43"/>
  <c r="H107" i="43"/>
  <c r="D104" i="43"/>
  <c r="K106" i="43"/>
  <c r="K102" i="43"/>
  <c r="G105" i="43"/>
  <c r="G109" i="43"/>
  <c r="C104" i="43"/>
  <c r="C107" i="43"/>
  <c r="A4" i="52"/>
  <c r="A124" i="57"/>
  <c r="M47" i="9"/>
  <c r="N104" i="46"/>
  <c r="J17" i="43"/>
  <c r="C7" i="21"/>
  <c r="C58" i="21" s="1"/>
  <c r="D58" i="21" s="1"/>
  <c r="C7" i="33"/>
  <c r="C58" i="33" s="1"/>
  <c r="D58" i="33" s="1"/>
  <c r="C7" i="37"/>
  <c r="C52" i="37" s="1"/>
  <c r="D52" i="37"/>
  <c r="E52" i="37" s="1"/>
  <c r="F52" i="37"/>
  <c r="G52" i="37" s="1"/>
  <c r="H52" i="37" s="1"/>
  <c r="H59" i="43"/>
  <c r="H61"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I20" i="43"/>
  <c r="D115" i="43"/>
  <c r="E115" i="43"/>
  <c r="F115" i="43" s="1"/>
  <c r="B117" i="43"/>
  <c r="C117" i="43" s="1"/>
  <c r="M109" i="43"/>
  <c r="I107" i="43"/>
  <c r="N106" i="43"/>
  <c r="J105" i="43"/>
  <c r="F104" i="43"/>
  <c r="G37" i="47"/>
  <c r="C23" i="43"/>
  <c r="G19" i="43"/>
  <c r="F36" i="43"/>
  <c r="C17" i="43"/>
  <c r="F35" i="43"/>
  <c r="F37" i="43"/>
  <c r="F39" i="43"/>
  <c r="G17" i="43"/>
  <c r="C7" i="34"/>
  <c r="C59" i="34"/>
  <c r="D59" i="34" s="1"/>
  <c r="E59" i="34" s="1"/>
  <c r="C7" i="36"/>
  <c r="C46" i="36" s="1"/>
  <c r="F38" i="43"/>
  <c r="A10" i="52"/>
  <c r="B66" i="60" s="1"/>
  <c r="J20" i="15"/>
  <c r="K86" i="43"/>
  <c r="J86" i="43"/>
  <c r="D86" i="43"/>
  <c r="M87" i="43"/>
  <c r="N87" i="43"/>
  <c r="H82" i="43"/>
  <c r="K82" i="43"/>
  <c r="J82" i="43"/>
  <c r="D82" i="43"/>
  <c r="H83" i="43"/>
  <c r="M83" i="43"/>
  <c r="N83" i="43"/>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s="1"/>
  <c r="E18" i="1"/>
  <c r="C17" i="15"/>
  <c r="A2" i="9"/>
  <c r="M46" i="9"/>
  <c r="W23" i="40"/>
  <c r="S23" i="40"/>
  <c r="U23" i="40"/>
  <c r="S38" i="40"/>
  <c r="U40" i="40"/>
  <c r="S33" i="40"/>
  <c r="AB31" i="40"/>
  <c r="AC14" i="40"/>
  <c r="AC13" i="40"/>
  <c r="S14" i="40"/>
  <c r="S31" i="40"/>
  <c r="U15" i="40"/>
  <c r="S11" i="40"/>
  <c r="F8" i="48"/>
  <c r="H8"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B5" i="48"/>
  <c r="D5"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3" i="48"/>
  <c r="D13" i="48" s="1"/>
  <c r="F21" i="48"/>
  <c r="H21"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U40" i="21"/>
  <c r="S46" i="21"/>
  <c r="AC46" i="21"/>
  <c r="W10" i="21"/>
  <c r="W12" i="21"/>
  <c r="C15" i="39"/>
  <c r="C17" i="39"/>
  <c r="C19" i="39"/>
  <c r="C15" i="40"/>
  <c r="C17" i="40"/>
  <c r="B54" i="43"/>
  <c r="B65" i="43"/>
  <c r="U30" i="40"/>
  <c r="B49" i="43"/>
  <c r="B52" i="43"/>
  <c r="B56" i="43"/>
  <c r="B60" i="43"/>
  <c r="B63" i="43"/>
  <c r="B67" i="43"/>
  <c r="M20" i="43"/>
  <c r="C19" i="43" s="1"/>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M86" i="43"/>
  <c r="N86" i="43"/>
  <c r="J6" i="15"/>
  <c r="C18" i="12"/>
  <c r="F34" i="11"/>
  <c r="E19" i="1"/>
  <c r="D20" i="1"/>
  <c r="D18" i="1"/>
  <c r="F50" i="11"/>
  <c r="F19" i="1"/>
  <c r="F18" i="1"/>
  <c r="C11" i="12" s="1"/>
  <c r="D19" i="1"/>
  <c r="K87" i="43"/>
  <c r="J87" i="43"/>
  <c r="D87" i="43"/>
  <c r="C16" i="43"/>
  <c r="D5" i="43"/>
  <c r="C7" i="43"/>
  <c r="P23" i="43"/>
  <c r="D46" i="36"/>
  <c r="E46" i="36" s="1"/>
  <c r="F46" i="36" s="1"/>
  <c r="K106" i="9"/>
  <c r="E58" i="21"/>
  <c r="F58" i="21" s="1"/>
  <c r="G58" i="21"/>
  <c r="H58" i="21" s="1"/>
  <c r="I58" i="21" s="1"/>
  <c r="F59" i="34"/>
  <c r="G59" i="34" s="1"/>
  <c r="H59" i="34" s="1"/>
  <c r="O19" i="43"/>
  <c r="E58" i="33"/>
  <c r="F58" i="33" s="1"/>
  <c r="G58" i="33"/>
  <c r="D65" i="40"/>
  <c r="E63" i="40"/>
  <c r="B14" i="1"/>
  <c r="H10" i="39" s="1"/>
  <c r="L59" i="15"/>
  <c r="C115" i="43"/>
  <c r="J22" i="43"/>
  <c r="C21" i="43"/>
  <c r="M84" i="43"/>
  <c r="N84" i="43"/>
  <c r="K84" i="43"/>
  <c r="J84" i="43"/>
  <c r="D84" i="43"/>
  <c r="M81" i="43"/>
  <c r="N81" i="43"/>
  <c r="K81" i="43"/>
  <c r="J81" i="43"/>
  <c r="D81" i="43"/>
  <c r="M88" i="43"/>
  <c r="N88" i="43"/>
  <c r="K88" i="43"/>
  <c r="J88" i="43"/>
  <c r="D88" i="43"/>
  <c r="I55" i="15"/>
  <c r="I113" i="57"/>
  <c r="M50" i="57" s="1"/>
  <c r="Q59" i="15"/>
  <c r="B40" i="1"/>
  <c r="M27" i="15" s="1"/>
  <c r="C34" i="11"/>
  <c r="C38" i="11" s="1"/>
  <c r="C14" i="15"/>
  <c r="C15" i="15" s="1"/>
  <c r="E81" i="43"/>
  <c r="F63" i="40"/>
  <c r="E65" i="40"/>
  <c r="L57" i="15"/>
  <c r="J58" i="15"/>
  <c r="J56" i="15" s="1"/>
  <c r="J59" i="15" s="1"/>
  <c r="Q48" i="15" s="1"/>
  <c r="J10" i="39"/>
  <c r="W10" i="39" s="1"/>
  <c r="F10" i="40"/>
  <c r="S10" i="40" s="1"/>
  <c r="J10" i="40"/>
  <c r="W10" i="40" s="1"/>
  <c r="B79" i="43"/>
  <c r="C24" i="43"/>
  <c r="C13" i="12"/>
  <c r="G63" i="40"/>
  <c r="F65" i="40"/>
  <c r="Q71" i="15"/>
  <c r="Q58" i="15"/>
  <c r="D117" i="57"/>
  <c r="D118" i="57"/>
  <c r="I114" i="57" s="1"/>
  <c r="D131" i="57" s="1"/>
  <c r="H63" i="40"/>
  <c r="H65" i="40" s="1"/>
  <c r="G65" i="40"/>
  <c r="D133" i="57"/>
  <c r="I63" i="40"/>
  <c r="J63" i="40" s="1"/>
  <c r="M57" i="57"/>
  <c r="I65" i="40"/>
  <c r="D119" i="57"/>
  <c r="I115" i="57"/>
  <c r="D132" i="57" s="1"/>
  <c r="I14" i="62" s="1"/>
  <c r="B8" i="62" s="1"/>
  <c r="M56" i="9"/>
  <c r="D130" i="9"/>
  <c r="D13" i="52"/>
  <c r="I112" i="9"/>
  <c r="D114" i="9"/>
  <c r="D115" i="9"/>
  <c r="I113" i="9" s="1"/>
  <c r="D39" i="50"/>
  <c r="D40" i="50" s="1"/>
  <c r="D127" i="9"/>
  <c r="L67" i="9"/>
  <c r="M67" i="9"/>
  <c r="L65" i="9"/>
  <c r="M65" i="9"/>
  <c r="L66" i="9"/>
  <c r="M66" i="9"/>
  <c r="L68" i="9"/>
  <c r="M68" i="9"/>
  <c r="L63" i="9"/>
  <c r="M63" i="9"/>
  <c r="L64" i="9"/>
  <c r="M64" i="9"/>
  <c r="M69" i="9"/>
  <c r="N69" i="9"/>
  <c r="I114" i="9"/>
  <c r="D116" i="9"/>
  <c r="D129" i="9"/>
  <c r="F7" i="61"/>
  <c r="F3" i="61"/>
  <c r="F4" i="61"/>
  <c r="D4" i="61"/>
  <c r="D5" i="61"/>
  <c r="E2" i="11"/>
  <c r="E2" i="36"/>
  <c r="C19" i="57"/>
  <c r="E2" i="33"/>
  <c r="H23" i="31"/>
  <c r="D7" i="61"/>
  <c r="F6" i="61"/>
  <c r="D6" i="61"/>
  <c r="F5" i="61"/>
  <c r="D3" i="61"/>
  <c r="D20" i="57"/>
  <c r="E2" i="37"/>
  <c r="E2" i="35"/>
  <c r="E2" i="21"/>
  <c r="C20" i="57"/>
  <c r="E2" i="34"/>
  <c r="D19" i="57"/>
  <c r="D18" i="50" l="1"/>
  <c r="B31" i="60" s="1"/>
  <c r="D12" i="52"/>
  <c r="D19" i="50"/>
  <c r="B32" i="60" s="1"/>
  <c r="D41" i="50"/>
  <c r="B63" i="60" s="1"/>
  <c r="C5" i="11"/>
  <c r="H72" i="43"/>
  <c r="H74" i="43"/>
  <c r="H73" i="43"/>
  <c r="H77" i="43"/>
  <c r="H75" i="43"/>
  <c r="H76" i="43"/>
  <c r="H78" i="43"/>
  <c r="H70" i="43"/>
  <c r="H71" i="43"/>
  <c r="C5" i="43"/>
  <c r="G26" i="47"/>
  <c r="W23" i="21"/>
  <c r="S21" i="21"/>
  <c r="S19" i="21"/>
  <c r="AA15" i="21"/>
  <c r="AB23" i="21"/>
  <c r="S23" i="21"/>
  <c r="C27" i="39"/>
  <c r="B66" i="43"/>
  <c r="C29" i="39"/>
  <c r="B55" i="43"/>
  <c r="AC19" i="21"/>
  <c r="U19" i="21"/>
  <c r="U17" i="21"/>
  <c r="W17" i="21"/>
  <c r="AB15" i="21"/>
  <c r="AC15" i="21"/>
  <c r="C94" i="9"/>
  <c r="C92" i="9"/>
  <c r="C93" i="57"/>
  <c r="C95" i="57"/>
  <c r="F7" i="48"/>
  <c r="H7" i="48" s="1"/>
  <c r="B16" i="48"/>
  <c r="D16" i="48" s="1"/>
  <c r="B9" i="48"/>
  <c r="D9" i="48" s="1"/>
  <c r="B22" i="48"/>
  <c r="D22" i="48" s="1"/>
  <c r="D69" i="57"/>
  <c r="F31" i="12"/>
  <c r="F48" i="9"/>
  <c r="O52" i="9" s="1"/>
  <c r="F30" i="11"/>
  <c r="F53" i="57"/>
  <c r="D68" i="9"/>
  <c r="M18" i="15"/>
  <c r="F54" i="57"/>
  <c r="F52" i="9"/>
  <c r="F32" i="15"/>
  <c r="F61" i="15" s="1"/>
  <c r="F28" i="15"/>
  <c r="C28" i="15" s="1"/>
  <c r="F49" i="57"/>
  <c r="O53" i="57" s="1"/>
  <c r="F55" i="57"/>
  <c r="F54" i="9"/>
  <c r="F53" i="9"/>
  <c r="C18" i="15"/>
  <c r="AC10" i="40"/>
  <c r="C36" i="11"/>
  <c r="D42" i="50"/>
  <c r="D43" i="50" s="1"/>
  <c r="U10" i="39"/>
  <c r="AB10" i="39"/>
  <c r="AC10" i="39"/>
  <c r="F10" i="39"/>
  <c r="H10" i="40"/>
  <c r="AA10" i="40"/>
  <c r="B33" i="1"/>
  <c r="F41" i="15" s="1"/>
  <c r="F70" i="15" s="1"/>
  <c r="Q50" i="15"/>
  <c r="D21" i="50"/>
  <c r="D22" i="50" s="1"/>
  <c r="B35" i="60" s="1"/>
  <c r="C12" i="12"/>
  <c r="C15" i="12"/>
  <c r="C35" i="11"/>
  <c r="D20" i="50"/>
  <c r="D128" i="9"/>
  <c r="D11" i="52" s="1"/>
  <c r="C109" i="9"/>
  <c r="H106" i="9" s="1"/>
  <c r="H105" i="9"/>
  <c r="C111" i="9"/>
  <c r="H108" i="9" s="1"/>
  <c r="C110" i="9"/>
  <c r="H107" i="9" s="1"/>
  <c r="D130" i="57"/>
  <c r="H14" i="62" s="1"/>
  <c r="B7" i="62" s="1"/>
  <c r="C7" i="62" s="1"/>
  <c r="C21" i="50"/>
  <c r="L69" i="57"/>
  <c r="M69" i="57" s="1"/>
  <c r="L68" i="57"/>
  <c r="M68" i="57" s="1"/>
  <c r="L67" i="57"/>
  <c r="M67" i="57" s="1"/>
  <c r="L66" i="57"/>
  <c r="M66" i="57" s="1"/>
  <c r="L65" i="57"/>
  <c r="M65" i="57" s="1"/>
  <c r="L64" i="57"/>
  <c r="M64" i="57" s="1"/>
  <c r="M70" i="57" s="1"/>
  <c r="N70" i="57" s="1"/>
  <c r="E124" i="57"/>
  <c r="D125" i="57"/>
  <c r="G124" i="57"/>
  <c r="F125" i="57"/>
  <c r="C14" i="50"/>
  <c r="U14" i="21"/>
  <c r="U10" i="21"/>
  <c r="B6" i="48"/>
  <c r="D6" i="48" s="1"/>
  <c r="B14" i="48"/>
  <c r="D14" i="48" s="1"/>
  <c r="F4" i="48"/>
  <c r="H4" i="48" s="1"/>
  <c r="B10" i="48"/>
  <c r="D10" i="48" s="1"/>
  <c r="F6" i="48"/>
  <c r="H6" i="48" s="1"/>
  <c r="F5" i="48"/>
  <c r="H5" i="48" s="1"/>
  <c r="B8" i="48"/>
  <c r="D8" i="48" s="1"/>
  <c r="B4" i="48"/>
  <c r="D4" i="48" s="1"/>
  <c r="F22" i="48"/>
  <c r="H22" i="48" s="1"/>
  <c r="F16" i="48"/>
  <c r="H16" i="48" s="1"/>
  <c r="F10" i="48"/>
  <c r="H10" i="48" s="1"/>
  <c r="S10" i="21"/>
  <c r="AA32" i="21"/>
  <c r="AB32" i="21"/>
  <c r="AC32" i="21"/>
  <c r="AB38" i="21"/>
  <c r="S38" i="21"/>
  <c r="AC38" i="21"/>
  <c r="S35" i="21"/>
  <c r="AC35" i="21"/>
  <c r="W34" i="21"/>
  <c r="AA34" i="21"/>
  <c r="AB34" i="21"/>
  <c r="AA36" i="21"/>
  <c r="AB39" i="21"/>
  <c r="AA39" i="21"/>
  <c r="W42" i="21"/>
  <c r="U42" i="21"/>
  <c r="W40" i="21"/>
  <c r="S40" i="21"/>
  <c r="AB36" i="21"/>
  <c r="W43" i="21"/>
  <c r="U43" i="21"/>
  <c r="AA43" i="21"/>
  <c r="AA25" i="21"/>
  <c r="W25" i="21"/>
  <c r="U28" i="21"/>
  <c r="S27" i="21"/>
  <c r="U27" i="21"/>
  <c r="AC27" i="21"/>
  <c r="H26" i="21"/>
  <c r="AB26" i="21" s="1"/>
  <c r="G89" i="21"/>
  <c r="H89" i="21" s="1"/>
  <c r="I89" i="21" s="1"/>
  <c r="J89" i="21" s="1"/>
  <c r="J37" i="21"/>
  <c r="G113" i="21"/>
  <c r="F37" i="21"/>
  <c r="W44" i="21"/>
  <c r="AB44" i="21"/>
  <c r="S44" i="21"/>
  <c r="AC9" i="21"/>
  <c r="U9" i="21"/>
  <c r="W8" i="21"/>
  <c r="AB8" i="21"/>
  <c r="S8" i="21"/>
  <c r="G115" i="43"/>
  <c r="H115" i="43" s="1"/>
  <c r="D113" i="43"/>
  <c r="D7" i="62"/>
  <c r="C16" i="12"/>
  <c r="C21" i="12" s="1"/>
  <c r="C33" i="11"/>
  <c r="C22" i="12"/>
  <c r="C39" i="11"/>
  <c r="C20" i="11"/>
  <c r="C28" i="11" s="1"/>
  <c r="C27" i="11" s="1"/>
  <c r="F51" i="15"/>
  <c r="C50" i="15" s="1"/>
  <c r="C6" i="15"/>
  <c r="C23" i="12"/>
  <c r="C31" i="12"/>
  <c r="C16" i="15"/>
  <c r="C19" i="15" s="1"/>
  <c r="H87" i="43"/>
  <c r="H86" i="43"/>
  <c r="C8" i="62"/>
  <c r="D8" i="62"/>
  <c r="J65" i="40"/>
  <c r="K63" i="40"/>
  <c r="H58" i="33"/>
  <c r="J58" i="21"/>
  <c r="I52" i="37"/>
  <c r="J52" i="37" s="1"/>
  <c r="K52" i="37" s="1"/>
  <c r="L52" i="37" s="1"/>
  <c r="M52" i="37" s="1"/>
  <c r="N52" i="37" s="1"/>
  <c r="O52" i="37" s="1"/>
  <c r="H7" i="37"/>
  <c r="F7" i="37"/>
  <c r="I59" i="34"/>
  <c r="J59" i="34" s="1"/>
  <c r="K59" i="34" s="1"/>
  <c r="L59" i="34" s="1"/>
  <c r="M59" i="34" s="1"/>
  <c r="N59" i="34" s="1"/>
  <c r="O59" i="34" s="1"/>
  <c r="J7" i="34"/>
  <c r="G46" i="36"/>
  <c r="H46" i="36" s="1"/>
  <c r="I46" i="36" s="1"/>
  <c r="J46" i="36" s="1"/>
  <c r="K46" i="36" s="1"/>
  <c r="L46" i="36" s="1"/>
  <c r="M46" i="36" s="1"/>
  <c r="N46" i="36" s="1"/>
  <c r="O46" i="36" s="1"/>
  <c r="H7" i="36"/>
  <c r="P25" i="43"/>
  <c r="P21" i="43"/>
  <c r="B71" i="39" s="1"/>
  <c r="P24" i="43"/>
  <c r="B66" i="40" s="1"/>
  <c r="P22" i="43"/>
  <c r="J7" i="37"/>
  <c r="C70" i="39"/>
  <c r="D68" i="39"/>
  <c r="B23" i="48"/>
  <c r="D23" i="48" s="1"/>
  <c r="F11" i="48"/>
  <c r="H11" i="48" s="1"/>
  <c r="B7" i="48"/>
  <c r="D7" i="48" s="1"/>
  <c r="B11" i="48"/>
  <c r="D11" i="48" s="1"/>
  <c r="F7" i="36"/>
  <c r="D48" i="35"/>
  <c r="D102" i="57"/>
  <c r="G20" i="57"/>
  <c r="C104" i="57" s="1"/>
  <c r="C103" i="57"/>
  <c r="D103" i="57"/>
  <c r="K1" i="61"/>
  <c r="C102" i="57"/>
  <c r="D22" i="57"/>
  <c r="G19" i="57"/>
  <c r="C105" i="57" s="1"/>
  <c r="E20" i="43"/>
  <c r="I1" i="61"/>
  <c r="B30" i="1" s="1"/>
  <c r="G1" i="61"/>
  <c r="B33" i="60" l="1"/>
  <c r="E3" i="4"/>
  <c r="B5" i="55" s="1"/>
  <c r="B55" i="60" s="1"/>
  <c r="C48" i="11"/>
  <c r="C30" i="11"/>
  <c r="C3" i="4"/>
  <c r="B4" i="55" s="1"/>
  <c r="B53" i="60" s="1"/>
  <c r="AA10" i="39"/>
  <c r="S10" i="39"/>
  <c r="AB10" i="40"/>
  <c r="U10" i="40"/>
  <c r="C46" i="11"/>
  <c r="C45" i="11" s="1"/>
  <c r="U26" i="21"/>
  <c r="F26" i="21"/>
  <c r="K89" i="21"/>
  <c r="L89" i="21" s="1"/>
  <c r="M89" i="21" s="1"/>
  <c r="J26" i="21"/>
  <c r="H113" i="21"/>
  <c r="H37" i="21"/>
  <c r="AA37" i="21"/>
  <c r="S37" i="21"/>
  <c r="W37" i="21"/>
  <c r="AC37" i="21"/>
  <c r="C30" i="12"/>
  <c r="C28" i="12" s="1"/>
  <c r="C20" i="15"/>
  <c r="C26" i="15" s="1"/>
  <c r="E48" i="35"/>
  <c r="D70" i="39"/>
  <c r="E68" i="39"/>
  <c r="W7" i="37"/>
  <c r="AC7" i="37"/>
  <c r="V42" i="37" s="1"/>
  <c r="I42" i="37" s="1"/>
  <c r="J7" i="36"/>
  <c r="H7" i="34"/>
  <c r="F7" i="34"/>
  <c r="S7" i="37"/>
  <c r="AA7" i="37"/>
  <c r="R42" i="37" s="1"/>
  <c r="I58" i="33"/>
  <c r="L63" i="40"/>
  <c r="K65" i="40"/>
  <c r="AA7" i="36"/>
  <c r="R36" i="36" s="1"/>
  <c r="S7" i="36"/>
  <c r="AB7" i="36"/>
  <c r="T36" i="36" s="1"/>
  <c r="G36" i="36" s="1"/>
  <c r="U7" i="36"/>
  <c r="AC7" i="34"/>
  <c r="V49" i="34" s="1"/>
  <c r="I49" i="34" s="1"/>
  <c r="W7" i="34"/>
  <c r="AB7" i="37"/>
  <c r="T42" i="37" s="1"/>
  <c r="G42" i="37" s="1"/>
  <c r="U7" i="37"/>
  <c r="K58" i="21"/>
  <c r="E27" i="1"/>
  <c r="P17" i="43"/>
  <c r="N17" i="43"/>
  <c r="O17" i="43"/>
  <c r="G20" i="43" s="1"/>
  <c r="C20" i="43" s="1"/>
  <c r="M17" i="43"/>
  <c r="M11" i="15"/>
  <c r="J10" i="15" s="1"/>
  <c r="J5" i="15" s="1"/>
  <c r="F11" i="15"/>
  <c r="C35" i="43" l="1"/>
  <c r="T16" i="43"/>
  <c r="V16" i="43" s="1"/>
  <c r="T10" i="43"/>
  <c r="V10" i="43" s="1"/>
  <c r="T14" i="43"/>
  <c r="V14" i="43" s="1"/>
  <c r="T2" i="43"/>
  <c r="V2" i="43" s="1"/>
  <c r="T9" i="43"/>
  <c r="V9" i="43" s="1"/>
  <c r="C38" i="43"/>
  <c r="T12" i="43"/>
  <c r="V12" i="43" s="1"/>
  <c r="T4" i="43"/>
  <c r="V4" i="43" s="1"/>
  <c r="T8" i="43"/>
  <c r="V8" i="43" s="1"/>
  <c r="T5" i="43"/>
  <c r="V5" i="43" s="1"/>
  <c r="C36" i="43"/>
  <c r="C33" i="43"/>
  <c r="C34" i="43"/>
  <c r="T3" i="43"/>
  <c r="V3" i="43" s="1"/>
  <c r="T6" i="43"/>
  <c r="V6" i="43" s="1"/>
  <c r="C29" i="43"/>
  <c r="T7" i="43"/>
  <c r="V7" i="43" s="1"/>
  <c r="C37" i="43"/>
  <c r="C39" i="43"/>
  <c r="T11" i="43"/>
  <c r="V11" i="43" s="1"/>
  <c r="T15" i="43"/>
  <c r="V15" i="43" s="1"/>
  <c r="T13" i="43"/>
  <c r="V13" i="43" s="1"/>
  <c r="B18" i="49"/>
  <c r="B4" i="60" s="1"/>
  <c r="S26" i="21"/>
  <c r="AA26" i="21"/>
  <c r="W26" i="21"/>
  <c r="AC26" i="21"/>
  <c r="U37" i="21"/>
  <c r="AB37" i="21"/>
  <c r="E36" i="36"/>
  <c r="R37" i="36"/>
  <c r="M63" i="40"/>
  <c r="L65" i="40"/>
  <c r="J58" i="33"/>
  <c r="K58" i="33" s="1"/>
  <c r="L58" i="33" s="1"/>
  <c r="M58" i="33" s="1"/>
  <c r="N58" i="33" s="1"/>
  <c r="O58" i="33" s="1"/>
  <c r="J7" i="33"/>
  <c r="H7" i="33"/>
  <c r="AB7" i="34"/>
  <c r="T49" i="34" s="1"/>
  <c r="G49" i="34" s="1"/>
  <c r="U7" i="34"/>
  <c r="I46" i="37"/>
  <c r="J46" i="37" s="1"/>
  <c r="E70" i="39"/>
  <c r="F68" i="39"/>
  <c r="L58" i="21"/>
  <c r="G46" i="37"/>
  <c r="H46" i="37" s="1"/>
  <c r="G47" i="37"/>
  <c r="H47" i="37" s="1"/>
  <c r="I53" i="34"/>
  <c r="J53" i="34" s="1"/>
  <c r="G40" i="36"/>
  <c r="H40" i="36" s="1"/>
  <c r="F7" i="33"/>
  <c r="E42" i="37"/>
  <c r="R43" i="37"/>
  <c r="AA7" i="34"/>
  <c r="R49" i="34" s="1"/>
  <c r="S7" i="34"/>
  <c r="W7" i="36"/>
  <c r="AC7" i="36"/>
  <c r="V36" i="36" s="1"/>
  <c r="I36" i="36" s="1"/>
  <c r="F48" i="35"/>
  <c r="J18" i="15"/>
  <c r="J24" i="15"/>
  <c r="J26" i="15"/>
  <c r="J29" i="15" s="1"/>
  <c r="C10" i="15"/>
  <c r="C5" i="15" s="1"/>
  <c r="C54" i="15"/>
  <c r="C49" i="15" s="1"/>
  <c r="F22" i="11"/>
  <c r="F24" i="15"/>
  <c r="F25" i="12"/>
  <c r="G39" i="43" l="1"/>
  <c r="I39" i="43" s="1"/>
  <c r="E39" i="43"/>
  <c r="G34" i="43"/>
  <c r="I34" i="43" s="1"/>
  <c r="E34" i="43"/>
  <c r="G36" i="43"/>
  <c r="I36" i="43" s="1"/>
  <c r="E36" i="43"/>
  <c r="G37" i="43"/>
  <c r="I37" i="43" s="1"/>
  <c r="E37" i="43"/>
  <c r="C30" i="43"/>
  <c r="E30" i="43" s="1"/>
  <c r="E29" i="43"/>
  <c r="E33" i="43"/>
  <c r="G33" i="43"/>
  <c r="I33" i="43" s="1"/>
  <c r="G38" i="43"/>
  <c r="I38" i="43" s="1"/>
  <c r="E38" i="43"/>
  <c r="G35" i="43"/>
  <c r="I35" i="43" s="1"/>
  <c r="E35" i="43"/>
  <c r="G48" i="35"/>
  <c r="E49" i="34"/>
  <c r="R50" i="34"/>
  <c r="E46" i="37"/>
  <c r="F46" i="37" s="1"/>
  <c r="E47" i="37"/>
  <c r="F47" i="37" s="1"/>
  <c r="M58" i="21"/>
  <c r="G53" i="34"/>
  <c r="H53" i="34" s="1"/>
  <c r="G54" i="34"/>
  <c r="H54" i="34" s="1"/>
  <c r="W7" i="33"/>
  <c r="AC7" i="33"/>
  <c r="V48" i="33" s="1"/>
  <c r="I48" i="33" s="1"/>
  <c r="C36" i="36"/>
  <c r="C37" i="36"/>
  <c r="B2" i="36" s="1"/>
  <c r="B3" i="36" s="1"/>
  <c r="I40" i="36"/>
  <c r="J40" i="36" s="1"/>
  <c r="I41" i="36"/>
  <c r="J41" i="36" s="1"/>
  <c r="C43" i="37"/>
  <c r="B2" i="37" s="1"/>
  <c r="B3" i="37" s="1"/>
  <c r="C42" i="37"/>
  <c r="AA7" i="33"/>
  <c r="R48" i="33" s="1"/>
  <c r="S7" i="33"/>
  <c r="G41" i="36"/>
  <c r="H41" i="36" s="1"/>
  <c r="F70" i="39"/>
  <c r="G68" i="39"/>
  <c r="I47" i="37"/>
  <c r="J47" i="37" s="1"/>
  <c r="U7" i="33"/>
  <c r="AB7" i="33"/>
  <c r="T48" i="33" s="1"/>
  <c r="G48" i="33" s="1"/>
  <c r="N63" i="40"/>
  <c r="M65" i="40"/>
  <c r="E40" i="36"/>
  <c r="F40" i="36" s="1"/>
  <c r="E41" i="36"/>
  <c r="F41" i="36" s="1"/>
  <c r="C24" i="15"/>
  <c r="C23" i="15"/>
  <c r="C67" i="15"/>
  <c r="C61" i="15"/>
  <c r="C26" i="12"/>
  <c r="D25" i="12" s="1"/>
  <c r="C27" i="12"/>
  <c r="C25" i="12" s="1"/>
  <c r="C44" i="11"/>
  <c r="D41" i="11" s="1"/>
  <c r="C26" i="11"/>
  <c r="D22" i="11" s="1"/>
  <c r="C23" i="11"/>
  <c r="C42" i="11"/>
  <c r="C25" i="11"/>
  <c r="C24" i="11"/>
  <c r="C43" i="11"/>
  <c r="C32" i="15"/>
  <c r="C38" i="15"/>
  <c r="C26" i="43" l="1"/>
  <c r="B2" i="43" s="1"/>
  <c r="B3" i="43" s="1"/>
  <c r="C27" i="43"/>
  <c r="C41" i="11"/>
  <c r="C49" i="11" s="1"/>
  <c r="C51" i="11" s="1"/>
  <c r="C32" i="12"/>
  <c r="B2" i="12" s="1"/>
  <c r="C29" i="15"/>
  <c r="J19" i="15" s="1"/>
  <c r="J17" i="15" s="1"/>
  <c r="G52" i="33"/>
  <c r="H52" i="33" s="1"/>
  <c r="G53" i="33"/>
  <c r="H53" i="33" s="1"/>
  <c r="I52" i="33"/>
  <c r="J52" i="33" s="1"/>
  <c r="N58" i="21"/>
  <c r="E53" i="34"/>
  <c r="F53" i="34" s="1"/>
  <c r="E54" i="34"/>
  <c r="F54" i="34" s="1"/>
  <c r="I54" i="34"/>
  <c r="J54" i="34" s="1"/>
  <c r="J7" i="40"/>
  <c r="O63" i="40"/>
  <c r="O65" i="40" s="1"/>
  <c r="N65" i="40"/>
  <c r="F7" i="40" s="1"/>
  <c r="G70" i="39"/>
  <c r="H68" i="39"/>
  <c r="E48" i="33"/>
  <c r="R49" i="33"/>
  <c r="C50" i="34"/>
  <c r="B2" i="34" s="1"/>
  <c r="B3" i="34" s="1"/>
  <c r="C49" i="34"/>
  <c r="H48" i="35"/>
  <c r="C22" i="11"/>
  <c r="C31" i="11" s="1"/>
  <c r="C13" i="15" l="1"/>
  <c r="C36" i="15"/>
  <c r="Q47" i="15"/>
  <c r="C33" i="15"/>
  <c r="C31" i="15" s="1"/>
  <c r="C52" i="11"/>
  <c r="B2" i="11" s="1"/>
  <c r="C58" i="15"/>
  <c r="C62" i="15" s="1"/>
  <c r="C60" i="15" s="1"/>
  <c r="J60" i="15"/>
  <c r="J61" i="15" s="1"/>
  <c r="J14" i="15"/>
  <c r="J13" i="15" s="1"/>
  <c r="J23" i="15" s="1"/>
  <c r="B3" i="12"/>
  <c r="AA7" i="40"/>
  <c r="R42" i="40" s="1"/>
  <c r="S7" i="40"/>
  <c r="AC7" i="40"/>
  <c r="V42" i="40" s="1"/>
  <c r="I42" i="40" s="1"/>
  <c r="W7" i="40"/>
  <c r="H7" i="40"/>
  <c r="O58" i="21"/>
  <c r="J7" i="21"/>
  <c r="C48" i="33"/>
  <c r="C49" i="33"/>
  <c r="B2" i="33" s="1"/>
  <c r="B3" i="33" s="1"/>
  <c r="H70" i="39"/>
  <c r="I68" i="39"/>
  <c r="I48" i="35"/>
  <c r="E52" i="33"/>
  <c r="F52" i="33" s="1"/>
  <c r="E53" i="33"/>
  <c r="F53" i="33" s="1"/>
  <c r="I53" i="33"/>
  <c r="J53" i="33" s="1"/>
  <c r="B3" i="11"/>
  <c r="Q46" i="15"/>
  <c r="L47" i="15"/>
  <c r="Q68" i="15"/>
  <c r="C57" i="15"/>
  <c r="C66" i="15" s="1"/>
  <c r="J34" i="15"/>
  <c r="C37" i="15"/>
  <c r="C19" i="9"/>
  <c r="C20" i="9"/>
  <c r="C56" i="11" l="1"/>
  <c r="C57" i="11" s="1"/>
  <c r="C30" i="15"/>
  <c r="C39" i="15" s="1"/>
  <c r="C102" i="9"/>
  <c r="C101" i="9"/>
  <c r="J22" i="15"/>
  <c r="C65" i="15"/>
  <c r="C59" i="15" s="1"/>
  <c r="C68" i="15" s="1"/>
  <c r="C69" i="15" s="1"/>
  <c r="J16" i="15"/>
  <c r="J25" i="15" s="1"/>
  <c r="J48" i="35"/>
  <c r="W7" i="21"/>
  <c r="AC7" i="21"/>
  <c r="V48" i="21" s="1"/>
  <c r="I48" i="21" s="1"/>
  <c r="AB7" i="40"/>
  <c r="T42" i="40" s="1"/>
  <c r="G42" i="40" s="1"/>
  <c r="U7" i="40"/>
  <c r="I46" i="40"/>
  <c r="J46" i="40" s="1"/>
  <c r="J68" i="39"/>
  <c r="I70" i="39"/>
  <c r="H7" i="21"/>
  <c r="F7" i="21"/>
  <c r="E42" i="40"/>
  <c r="I47" i="40" s="1"/>
  <c r="J47" i="40" s="1"/>
  <c r="R43" i="40"/>
  <c r="Q67" i="15"/>
  <c r="Q66" i="15" s="1"/>
  <c r="C40" i="15"/>
  <c r="J38" i="15"/>
  <c r="J39" i="15" s="1"/>
  <c r="C43" i="40" l="1"/>
  <c r="C42" i="40"/>
  <c r="S7" i="21"/>
  <c r="AA7" i="21"/>
  <c r="R48" i="21" s="1"/>
  <c r="E46" i="40"/>
  <c r="F46" i="40" s="1"/>
  <c r="E47" i="40"/>
  <c r="F47" i="40" s="1"/>
  <c r="U7" i="21"/>
  <c r="AB7" i="21"/>
  <c r="T48" i="21" s="1"/>
  <c r="G48" i="21" s="1"/>
  <c r="J70" i="39"/>
  <c r="K68" i="39"/>
  <c r="G47" i="40"/>
  <c r="H47" i="40" s="1"/>
  <c r="G46" i="40"/>
  <c r="H46" i="40" s="1"/>
  <c r="K48" i="35"/>
  <c r="I52" i="21"/>
  <c r="J52" i="21" s="1"/>
  <c r="C72" i="15"/>
  <c r="C47" i="15"/>
  <c r="L52" i="15"/>
  <c r="Q45" i="15"/>
  <c r="Q51" i="15" s="1"/>
  <c r="Q54" i="15"/>
  <c r="B2" i="15"/>
  <c r="C43" i="15"/>
  <c r="Q63" i="15"/>
  <c r="B3" i="15"/>
  <c r="J41" i="15"/>
  <c r="L68" i="39" l="1"/>
  <c r="K70" i="39"/>
  <c r="G52" i="21"/>
  <c r="H52" i="21" s="1"/>
  <c r="G53" i="21"/>
  <c r="H53" i="21" s="1"/>
  <c r="E48" i="21"/>
  <c r="R49" i="21"/>
  <c r="L48" i="35"/>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J42" i="15"/>
  <c r="D35" i="9"/>
  <c r="Q65" i="15"/>
  <c r="L58" i="15"/>
  <c r="L61" i="15" s="1"/>
  <c r="C48" i="21" l="1"/>
  <c r="C49" i="21"/>
  <c r="B2" i="21" s="1"/>
  <c r="M48" i="35"/>
  <c r="N48" i="35" s="1"/>
  <c r="O48" i="35" s="1"/>
  <c r="F7" i="35" s="1"/>
  <c r="J7" i="35"/>
  <c r="H7" i="35"/>
  <c r="E52" i="21"/>
  <c r="F52" i="21" s="1"/>
  <c r="E53" i="21"/>
  <c r="F53" i="21" s="1"/>
  <c r="I53" i="21"/>
  <c r="J53" i="21" s="1"/>
  <c r="M68" i="39"/>
  <c r="L70" i="39"/>
  <c r="D34" i="9"/>
  <c r="Q64" i="15"/>
  <c r="Q73" i="15" s="1"/>
  <c r="Q55" i="15"/>
  <c r="Q60" i="15" s="1"/>
  <c r="D19" i="9"/>
  <c r="D101" i="9" l="1"/>
  <c r="D22" i="9"/>
  <c r="G19" i="9"/>
  <c r="B3" i="21"/>
  <c r="AC7" i="35"/>
  <c r="V38" i="35" s="1"/>
  <c r="I38" i="35" s="1"/>
  <c r="W7" i="35"/>
  <c r="N68" i="39"/>
  <c r="M70" i="39"/>
  <c r="U7" i="35"/>
  <c r="AB7" i="35"/>
  <c r="T38" i="35" s="1"/>
  <c r="G38" i="35" s="1"/>
  <c r="AA7" i="35"/>
  <c r="R38" i="35" s="1"/>
  <c r="S7" i="35"/>
  <c r="D20" i="9"/>
  <c r="D102" i="9" l="1"/>
  <c r="G20" i="9"/>
  <c r="G42" i="35"/>
  <c r="H42" i="35" s="1"/>
  <c r="G43" i="35"/>
  <c r="H43" i="35" s="1"/>
  <c r="E38" i="35"/>
  <c r="R39" i="35"/>
  <c r="O68" i="39"/>
  <c r="O70" i="39" s="1"/>
  <c r="N70" i="39"/>
  <c r="I42" i="35"/>
  <c r="J42" i="35" s="1"/>
  <c r="I43" i="35"/>
  <c r="J43" i="35" s="1"/>
  <c r="C32" i="9" l="1"/>
  <c r="C35" i="9" s="1"/>
  <c r="C34" i="9" s="1"/>
  <c r="R27" i="31"/>
  <c r="C39" i="35"/>
  <c r="C38" i="35"/>
  <c r="F7" i="39"/>
  <c r="J7" i="39"/>
  <c r="H7" i="39"/>
  <c r="E43" i="35"/>
  <c r="F43" i="35" s="1"/>
  <c r="E42" i="35"/>
  <c r="F42" i="35" s="1"/>
  <c r="C32" i="57" l="1"/>
  <c r="T27" i="31"/>
  <c r="S27" i="31"/>
  <c r="R29" i="31"/>
  <c r="R41" i="31"/>
  <c r="R37" i="31"/>
  <c r="R33" i="31"/>
  <c r="R31" i="31"/>
  <c r="R54" i="31"/>
  <c r="R50" i="31"/>
  <c r="R46" i="31"/>
  <c r="R42" i="31"/>
  <c r="R38" i="31"/>
  <c r="R34" i="31"/>
  <c r="R55" i="31"/>
  <c r="R51" i="31"/>
  <c r="R47" i="31"/>
  <c r="R43" i="31"/>
  <c r="R28" i="31"/>
  <c r="R39" i="31"/>
  <c r="R35" i="31"/>
  <c r="R30" i="31"/>
  <c r="R56" i="31"/>
  <c r="R52" i="31"/>
  <c r="R48" i="31"/>
  <c r="R44" i="31"/>
  <c r="R40" i="31"/>
  <c r="R36" i="31"/>
  <c r="R32" i="31"/>
  <c r="R53" i="31"/>
  <c r="R49" i="31"/>
  <c r="R45" i="31"/>
  <c r="W7" i="39"/>
  <c r="AC7" i="39"/>
  <c r="V47" i="39" s="1"/>
  <c r="I47" i="39" s="1"/>
  <c r="AB7" i="39"/>
  <c r="T47" i="39" s="1"/>
  <c r="G47" i="39" s="1"/>
  <c r="U7" i="39"/>
  <c r="AA7" i="39"/>
  <c r="R47" i="39" s="1"/>
  <c r="S7" i="39"/>
  <c r="B3" i="35"/>
  <c r="B2" i="35"/>
  <c r="S45" i="31" l="1"/>
  <c r="T45" i="31"/>
  <c r="S53" i="31"/>
  <c r="T53" i="31"/>
  <c r="S36" i="31"/>
  <c r="T36" i="31"/>
  <c r="T44" i="31"/>
  <c r="S44" i="31"/>
  <c r="S52" i="31"/>
  <c r="T52" i="31"/>
  <c r="S30" i="31"/>
  <c r="T30" i="31"/>
  <c r="S39" i="31"/>
  <c r="T39" i="31"/>
  <c r="S43" i="31"/>
  <c r="T43" i="31"/>
  <c r="T51" i="31"/>
  <c r="S51" i="31"/>
  <c r="T34" i="31"/>
  <c r="S34" i="31"/>
  <c r="T42" i="31"/>
  <c r="S42" i="31"/>
  <c r="S50" i="31"/>
  <c r="T50" i="31"/>
  <c r="T31" i="31"/>
  <c r="S31" i="31"/>
  <c r="T37" i="31"/>
  <c r="S37" i="31"/>
  <c r="S29" i="31"/>
  <c r="T29" i="31"/>
  <c r="S49" i="31"/>
  <c r="T49" i="31"/>
  <c r="S32" i="31"/>
  <c r="T32" i="31"/>
  <c r="T40" i="31"/>
  <c r="S40" i="31"/>
  <c r="S48" i="31"/>
  <c r="T48" i="31"/>
  <c r="S56" i="31"/>
  <c r="T56" i="31"/>
  <c r="S35" i="31"/>
  <c r="T35" i="31"/>
  <c r="T28" i="31"/>
  <c r="S28" i="31"/>
  <c r="S47" i="31"/>
  <c r="T47" i="31"/>
  <c r="T55" i="31"/>
  <c r="S55" i="31"/>
  <c r="T38" i="31"/>
  <c r="S38" i="31"/>
  <c r="S46" i="31"/>
  <c r="T46" i="31"/>
  <c r="S54" i="31"/>
  <c r="T54" i="31"/>
  <c r="S33" i="31"/>
  <c r="T33" i="31"/>
  <c r="T41" i="31"/>
  <c r="S41" i="31"/>
  <c r="S25" i="31"/>
  <c r="I51" i="39"/>
  <c r="J51" i="39" s="1"/>
  <c r="E47" i="39"/>
  <c r="I52" i="39" s="1"/>
  <c r="J52" i="39" s="1"/>
  <c r="R48" i="39"/>
  <c r="G51" i="39"/>
  <c r="H51" i="39" s="1"/>
  <c r="G52" i="39"/>
  <c r="H52" i="39" s="1"/>
  <c r="T25" i="31" l="1"/>
  <c r="R25" i="31"/>
  <c r="B24" i="31" s="1"/>
  <c r="B3" i="31" s="1"/>
  <c r="C34" i="57" s="1"/>
  <c r="I124" i="57" s="1"/>
  <c r="B23" i="31"/>
  <c r="B2" i="31" s="1"/>
  <c r="C33" i="57" s="1"/>
  <c r="H124" i="57" s="1"/>
  <c r="C48" i="39"/>
  <c r="C47" i="39"/>
  <c r="E51" i="39"/>
  <c r="F51" i="39" s="1"/>
  <c r="E52" i="39"/>
  <c r="F52" i="39" s="1"/>
  <c r="H125" i="57" l="1"/>
  <c r="I103" i="57"/>
  <c r="D109" i="57"/>
  <c r="C106" i="57"/>
  <c r="I104" i="57"/>
  <c r="C107" i="57"/>
  <c r="D110" i="57"/>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c r="G4" i="52" s="1"/>
  <c r="B41" i="60" s="1"/>
  <c r="E121" i="9"/>
  <c r="D121" i="9" s="1"/>
  <c r="D4" i="52" s="1"/>
  <c r="B37" i="60" s="1"/>
  <c r="E4" i="52"/>
  <c r="B38" i="60" s="1"/>
  <c r="I121" i="9"/>
  <c r="I4" i="52" s="1"/>
  <c r="D120" i="57" l="1"/>
  <c r="I116" i="57" s="1"/>
  <c r="D115" i="57"/>
  <c r="D116" i="57" s="1"/>
  <c r="I112" i="57" s="1"/>
  <c r="D129" i="57" s="1"/>
  <c r="D10" i="52" s="1"/>
  <c r="I111" i="57"/>
  <c r="D128" i="57" s="1"/>
  <c r="M49" i="57"/>
  <c r="D46" i="57"/>
  <c r="H121" i="9"/>
  <c r="F121" i="9"/>
  <c r="F4" i="52" s="1"/>
  <c r="B40" i="60" s="1"/>
  <c r="I102" i="9"/>
  <c r="F122" i="9"/>
  <c r="F5" i="52" s="1"/>
  <c r="B42" i="60" s="1"/>
  <c r="D122" i="9"/>
  <c r="D5" i="52" s="1"/>
  <c r="B39" i="60" s="1"/>
  <c r="H4" i="52"/>
  <c r="C104" i="9"/>
  <c r="I103" i="9"/>
  <c r="D107" i="9"/>
  <c r="C103" i="9" l="1"/>
  <c r="D14" i="62"/>
  <c r="C94" i="57"/>
  <c r="C87" i="57" s="1"/>
  <c r="C86" i="57"/>
  <c r="C73" i="57"/>
  <c r="D54" i="57"/>
  <c r="D49" i="57" s="1"/>
  <c r="M53" i="57" s="1"/>
  <c r="C79" i="57"/>
  <c r="C74" i="57" s="1"/>
  <c r="D56" i="57"/>
  <c r="M54" i="57" s="1"/>
  <c r="D53" i="57"/>
  <c r="C65" i="57"/>
  <c r="C64" i="57" s="1"/>
  <c r="C68" i="57" s="1"/>
  <c r="C69" i="57" s="1"/>
  <c r="D55" i="57" s="1"/>
  <c r="D106" i="9"/>
  <c r="D112" i="9" s="1"/>
  <c r="D113" i="9" s="1"/>
  <c r="H122" i="9"/>
  <c r="H5" i="52" s="1"/>
  <c r="D117" i="9"/>
  <c r="D30" i="50"/>
  <c r="D9" i="50"/>
  <c r="B21" i="60" s="1"/>
  <c r="M48" i="9"/>
  <c r="D45" i="9"/>
  <c r="D28" i="50"/>
  <c r="D29" i="50" s="1"/>
  <c r="D7" i="50"/>
  <c r="I110" i="9"/>
  <c r="F14" i="62" l="1"/>
  <c r="B5" i="62"/>
  <c r="E14" i="62"/>
  <c r="C96" i="57"/>
  <c r="C80" i="57"/>
  <c r="D125" i="9"/>
  <c r="D15" i="50"/>
  <c r="D36" i="50"/>
  <c r="D37" i="50" s="1"/>
  <c r="D8" i="50"/>
  <c r="B22" i="60" s="1"/>
  <c r="B19" i="60"/>
  <c r="D52" i="9"/>
  <c r="D55" i="9"/>
  <c r="M53" i="9" s="1"/>
  <c r="D59" i="9"/>
  <c r="M55" i="9" s="1"/>
  <c r="C78" i="9"/>
  <c r="C73" i="9" s="1"/>
  <c r="C93" i="9"/>
  <c r="C86" i="9" s="1"/>
  <c r="C64" i="9"/>
  <c r="C63" i="9" s="1"/>
  <c r="C67" i="9" s="1"/>
  <c r="C68" i="9" s="1"/>
  <c r="D54" i="9" s="1"/>
  <c r="C72" i="9"/>
  <c r="D53" i="9"/>
  <c r="D48" i="9" s="1"/>
  <c r="M52" i="9" s="1"/>
  <c r="C85" i="9"/>
  <c r="C95" i="9" s="1"/>
  <c r="I111" i="9"/>
  <c r="D38" i="50"/>
  <c r="B62" i="60" s="1"/>
  <c r="D44" i="50"/>
  <c r="I115" i="9"/>
  <c r="D23" i="50" s="1"/>
  <c r="B34" i="60" s="1"/>
  <c r="D8" i="52" l="1"/>
  <c r="G14" i="62"/>
  <c r="B6" i="62" s="1"/>
  <c r="D5" i="62"/>
  <c r="C5" i="62"/>
  <c r="C97" i="57"/>
  <c r="E97" i="57" s="1"/>
  <c r="E98" i="57" s="1"/>
  <c r="C81" i="57"/>
  <c r="E81" i="57" s="1"/>
  <c r="E82" i="57" s="1"/>
  <c r="C79" i="9"/>
  <c r="D17" i="50"/>
  <c r="D126" i="9"/>
  <c r="D9" i="52" s="1"/>
  <c r="C96" i="9"/>
  <c r="E96" i="9" s="1"/>
  <c r="E97" i="9" s="1"/>
  <c r="C80" i="9"/>
  <c r="E80" i="9" s="1"/>
  <c r="E81" i="9" s="1"/>
  <c r="B29" i="60"/>
  <c r="D16" i="50"/>
  <c r="B30" i="60" s="1"/>
  <c r="D6" i="62" l="1"/>
  <c r="C6" i="62"/>
  <c r="C98" i="57"/>
  <c r="D59" i="57" s="1"/>
  <c r="D57" i="57" s="1"/>
  <c r="M55" i="57" s="1"/>
  <c r="N58" i="57" s="1"/>
  <c r="N59" i="57" s="1"/>
  <c r="C82" i="57"/>
  <c r="C97" i="9"/>
  <c r="D58" i="9" s="1"/>
  <c r="D56" i="9" s="1"/>
  <c r="M54" i="9" s="1"/>
  <c r="N57" i="9" s="1"/>
  <c r="N58" i="9" s="1"/>
  <c r="C81" i="9"/>
  <c r="P58" i="57" l="1"/>
  <c r="N60" i="57"/>
  <c r="N62" i="57"/>
  <c r="N61" i="57"/>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H16" author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25" authorId="0">
      <text>
        <r>
          <rPr>
            <b/>
            <sz val="12"/>
            <color indexed="81"/>
            <rFont val="宋体"/>
            <family val="3"/>
            <charset val="134"/>
          </rPr>
          <t>时点所在年度</t>
        </r>
      </text>
    </comment>
  </commentList>
</comments>
</file>

<file path=xl/comments18.xml><?xml version="1.0" encoding="utf-8"?>
<comments xmlns="http://schemas.openxmlformats.org/spreadsheetml/2006/main">
  <authors>
    <author>USER</author>
  </authors>
  <commentList>
    <comment ref="H16" author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25" authorId="0">
      <text>
        <r>
          <rPr>
            <b/>
            <sz val="12"/>
            <color indexed="81"/>
            <rFont val="宋体"/>
            <family val="3"/>
            <charset val="134"/>
          </rPr>
          <t>时点所在年度</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<sst xmlns="http://schemas.openxmlformats.org/spreadsheetml/2006/main" count="8276" uniqueCount="3630">
  <si>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</si>
  <si>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</si>
  <si>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</si>
  <si>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</si>
  <si>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</si>
  <si>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</si>
  <si>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</si>
  <si>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</si>
  <si>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</si>
  <si>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</si>
  <si>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</si>
  <si>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</si>
  <si>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</si>
  <si>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</si>
  <si>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</si>
  <si>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</si>
  <si>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</si>
  <si>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</si>
  <si>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</si>
  <si>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</si>
  <si>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</si>
  <si>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</si>
  <si>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</si>
  <si>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</si>
  <si>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</si>
  <si>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</si>
  <si>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</si>
  <si>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</si>
  <si>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</si>
  <si>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</si>
  <si>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</si>
  <si>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</si>
  <si>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</si>
  <si>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</si>
  <si>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</si>
  <si>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</si>
  <si>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</si>
  <si>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</si>
  <si>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</si>
  <si>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</si>
  <si>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</si>
  <si>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</si>
  <si>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</si>
  <si>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</si>
  <si>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</si>
  <si>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</si>
  <si>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</si>
  <si>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</si>
  <si>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</si>
  <si>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</si>
  <si>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</si>
  <si>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</si>
  <si>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</si>
  <si>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</si>
  <si>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</si>
  <si>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</si>
  <si>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</si>
  <si>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</si>
  <si>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</si>
  <si>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</si>
  <si>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</si>
  <si>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</si>
  <si>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</si>
  <si>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</si>
  <si>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</si>
  <si>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</si>
  <si>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</si>
  <si>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</si>
  <si>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</si>
  <si>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</si>
  <si>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</si>
  <si>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</si>
  <si>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</si>
  <si>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</si>
  <si>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</si>
  <si>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</si>
  <si>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</si>
  <si>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</si>
  <si>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</si>
  <si>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</si>
  <si>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</si>
  <si>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</si>
  <si>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</si>
  <si>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</si>
  <si>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</si>
  <si>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</si>
  <si>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</si>
  <si>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</si>
  <si>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</si>
  <si>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</si>
  <si>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</si>
  <si>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</si>
  <si>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</si>
  <si>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</si>
  <si>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</si>
  <si>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</si>
  <si>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</si>
  <si>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</si>
  <si>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</si>
  <si>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</si>
  <si>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</si>
  <si>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</si>
  <si>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</si>
  <si>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</si>
  <si>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</si>
  <si>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</si>
  <si>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</si>
  <si>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</si>
  <si>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</si>
  <si>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</si>
  <si>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</si>
  <si>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</si>
  <si>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</si>
  <si>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</si>
  <si>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</si>
  <si>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</si>
  <si>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</si>
  <si>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</si>
  <si>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</si>
  <si>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</si>
  <si>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</si>
  <si>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</si>
  <si>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</si>
  <si>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</si>
  <si>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</si>
  <si>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</si>
  <si>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</si>
  <si>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</si>
  <si>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</si>
  <si>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</si>
  <si>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</si>
  <si>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</si>
  <si>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</si>
  <si>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</si>
  <si>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</si>
  <si>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</si>
  <si>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</si>
  <si>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</si>
  <si>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</si>
  <si>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</si>
  <si>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</si>
  <si>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</si>
  <si>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</si>
  <si>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</si>
  <si>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</si>
  <si>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</si>
  <si>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</si>
  <si>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</si>
  <si>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</si>
  <si>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</si>
  <si>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</si>
  <si>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</si>
  <si>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</si>
  <si>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</si>
  <si>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</si>
  <si>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</si>
  <si>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</si>
  <si>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</si>
  <si>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</si>
  <si>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</si>
  <si>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</si>
  <si>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</si>
  <si>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</si>
  <si>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</si>
  <si>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</si>
  <si>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</si>
  <si>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</si>
  <si>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</si>
  <si>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</si>
  <si>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</si>
  <si>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</si>
  <si>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</si>
  <si>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</si>
  <si>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</si>
  <si>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</si>
  <si>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</si>
  <si>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</si>
  <si>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</si>
  <si>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</si>
  <si>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</si>
  <si>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</si>
  <si>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</si>
  <si>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</si>
  <si>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</si>
  <si>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</si>
  <si>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</si>
  <si>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</si>
  <si>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</si>
  <si>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</si>
  <si>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</si>
  <si>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</si>
  <si>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</si>
  <si>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</si>
  <si>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</si>
  <si>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</si>
  <si>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</si>
  <si>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</si>
  <si>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</si>
  <si>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</si>
  <si>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</si>
  <si>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</si>
  <si>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</si>
  <si>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</si>
  <si>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</si>
  <si>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</si>
  <si>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</si>
  <si>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</si>
  <si>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</si>
  <si>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</si>
  <si>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</si>
  <si>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</si>
  <si>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</si>
  <si>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</si>
  <si>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</si>
  <si>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</si>
  <si>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</si>
  <si>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</si>
  <si>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</si>
  <si>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</si>
  <si>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</si>
  <si>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</si>
  <si>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</si>
  <si>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</si>
  <si>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</si>
  <si>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</si>
  <si>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</si>
  <si>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</si>
  <si>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</si>
  <si>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</si>
  <si>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</si>
  <si>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</si>
  <si>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</si>
  <si>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</si>
  <si>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</si>
  <si>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</si>
  <si>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</si>
  <si>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</si>
  <si>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</si>
  <si>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</si>
  <si>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</si>
  <si>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</si>
  <si>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</si>
  <si>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</si>
  <si>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</si>
  <si>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</si>
  <si>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</si>
  <si>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</si>
  <si>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</si>
  <si>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</si>
  <si>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</si>
  <si>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</si>
  <si>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</si>
  <si>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</si>
  <si>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</si>
  <si>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</si>
  <si>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</si>
  <si>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</si>
  <si>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</si>
  <si>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</si>
  <si>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</si>
  <si>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</si>
  <si>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</si>
  <si>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</si>
  <si>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</si>
  <si>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</si>
  <si>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</si>
  <si>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</si>
  <si>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</si>
  <si>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</si>
  <si>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</si>
  <si>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</si>
  <si>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</si>
  <si>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</si>
  <si>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</si>
  <si>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</si>
  <si>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</si>
  <si>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</si>
  <si>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</si>
  <si>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</si>
  <si>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</si>
  <si>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</si>
  <si>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</si>
  <si>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</si>
  <si>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</si>
  <si>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</si>
  <si>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</si>
  <si>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</si>
  <si>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</si>
  <si>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</si>
  <si>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</si>
  <si>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</si>
  <si>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</si>
  <si>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</si>
  <si>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</si>
  <si>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</si>
  <si>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</si>
  <si>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</si>
  <si>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</si>
  <si>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</si>
  <si>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</si>
  <si>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</si>
  <si>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</si>
  <si>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</si>
  <si>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</si>
  <si>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</si>
  <si>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</si>
  <si>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</si>
  <si>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</si>
  <si>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</si>
  <si>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</si>
  <si>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</si>
  <si>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</si>
  <si>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</si>
  <si>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</si>
  <si>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</si>
  <si>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</si>
  <si>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</si>
  <si>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</si>
  <si>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</si>
  <si>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</si>
  <si>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</si>
  <si>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</si>
  <si>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</si>
  <si>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</si>
  <si>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</si>
  <si>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</si>
  <si>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</si>
  <si>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</si>
  <si>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</si>
  <si>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</si>
  <si>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</si>
  <si>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</si>
  <si>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</si>
  <si>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</si>
  <si>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</si>
  <si>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</si>
  <si>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</si>
  <si>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</si>
  <si>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</si>
  <si>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</si>
  <si>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</si>
  <si>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</si>
  <si>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</si>
  <si>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</si>
  <si>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</si>
  <si>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</si>
  <si>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</si>
  <si>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</si>
  <si>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</si>
  <si>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</si>
  <si>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</si>
  <si>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</si>
  <si>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</si>
  <si>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</si>
  <si>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</si>
  <si>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</si>
  <si>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</si>
  <si>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</si>
  <si>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</si>
  <si>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</si>
  <si>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</si>
  <si>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</si>
  <si>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</si>
  <si>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</si>
  <si>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</si>
  <si>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</si>
  <si>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</si>
  <si>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</si>
  <si>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</si>
  <si>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</si>
  <si>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</si>
  <si>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</si>
  <si>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</si>
  <si>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</si>
  <si>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</si>
  <si>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</si>
  <si>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</si>
  <si>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</si>
  <si>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</si>
  <si>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</si>
  <si>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</si>
  <si>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</si>
  <si>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</si>
  <si>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</si>
  <si>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</si>
  <si>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</si>
  <si>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</si>
  <si>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</si>
  <si>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</si>
  <si>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</si>
  <si>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</si>
  <si>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</si>
  <si>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</si>
  <si>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</si>
  <si>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</si>
  <si>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</si>
  <si>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</si>
  <si>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</si>
  <si>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</si>
  <si>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</si>
  <si>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</si>
  <si>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</si>
  <si>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</si>
  <si>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</si>
  <si>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</si>
  <si>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</si>
  <si>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</si>
  <si>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</si>
  <si>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</si>
  <si>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</si>
  <si>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</si>
  <si>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</si>
  <si>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</si>
  <si>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</si>
  <si>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</si>
  <si>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</si>
  <si>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</si>
  <si>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</si>
  <si>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</si>
  <si>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</si>
  <si>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</si>
  <si>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</si>
  <si>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</si>
  <si>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</si>
  <si>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</si>
  <si>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</si>
  <si>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</si>
  <si>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</si>
  <si>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</si>
  <si>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</si>
  <si>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</si>
  <si>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</si>
  <si>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</si>
  <si>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</si>
  <si>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</si>
  <si>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</si>
  <si>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</si>
  <si>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</si>
  <si>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</si>
  <si>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</si>
  <si>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</si>
  <si>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</si>
  <si>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</si>
  <si>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</si>
  <si>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</si>
  <si>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</si>
  <si>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</si>
  <si>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</si>
  <si>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</si>
  <si>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</si>
  <si>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</si>
  <si>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</si>
  <si>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</si>
  <si>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</si>
  <si>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</si>
  <si>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</si>
  <si>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</si>
  <si>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</si>
  <si>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</si>
  <si>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</si>
  <si>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</si>
  <si>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</si>
  <si>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</si>
  <si>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</si>
  <si>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</si>
  <si>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</si>
  <si>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</si>
  <si>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</si>
  <si>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</si>
  <si>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</si>
  <si>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</si>
  <si>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</si>
  <si>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</si>
  <si>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</si>
  <si>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</si>
  <si>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</si>
  <si>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</si>
  <si>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</si>
  <si>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</si>
  <si>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</si>
  <si>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</si>
  <si>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</si>
  <si>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</si>
  <si>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</si>
  <si>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</si>
  <si>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</si>
  <si>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</si>
  <si>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</si>
  <si>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</si>
  <si>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</si>
  <si>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</si>
  <si>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</si>
  <si>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</si>
  <si>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</si>
  <si>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</si>
  <si>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</si>
  <si>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</si>
  <si>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</si>
  <si>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</si>
  <si>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</si>
  <si>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</si>
  <si>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</si>
  <si>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</si>
  <si>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</si>
  <si>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</si>
  <si>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</si>
  <si>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</si>
  <si>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</si>
  <si>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</si>
  <si>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</si>
  <si>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</si>
  <si>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</si>
  <si>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</si>
  <si>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</si>
  <si>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</si>
  <si>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</si>
  <si>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</si>
  <si>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</si>
  <si>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</si>
  <si>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</si>
  <si>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</si>
  <si>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</si>
  <si>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</si>
  <si>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</si>
  <si>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</si>
  <si>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</si>
  <si>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</si>
  <si>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</si>
  <si>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</si>
  <si>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</si>
  <si>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</si>
  <si>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</si>
  <si>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</si>
  <si>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</si>
  <si>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</si>
  <si>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</si>
  <si>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</si>
  <si>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</si>
  <si>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</si>
  <si>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</si>
  <si>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</si>
  <si>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</si>
  <si>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</si>
  <si>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</si>
  <si>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</si>
  <si>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</si>
  <si>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</si>
  <si>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</si>
  <si>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</si>
  <si>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</si>
  <si>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</si>
  <si>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</si>
  <si>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</si>
  <si>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</si>
  <si>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</si>
  <si>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</si>
  <si>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</si>
  <si>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</si>
  <si>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</si>
  <si>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</si>
  <si>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</si>
  <si>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</si>
  <si>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</si>
  <si>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</si>
  <si>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</si>
  <si>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</si>
  <si>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</si>
  <si>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</si>
  <si>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</si>
  <si>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</si>
  <si>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</si>
  <si>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</si>
  <si>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</si>
  <si>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</si>
  <si>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</si>
  <si>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</si>
  <si>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</si>
  <si>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</si>
  <si>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</si>
  <si>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</si>
  <si>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</si>
  <si>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</si>
  <si>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</si>
  <si>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</si>
  <si>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</si>
  <si>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</si>
  <si>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</si>
  <si>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</si>
  <si>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</si>
  <si>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</si>
  <si>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</si>
  <si>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</si>
  <si>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</si>
  <si>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</si>
  <si>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</si>
  <si>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</si>
  <si>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</si>
  <si>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</si>
  <si>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</si>
  <si>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</si>
  <si>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</si>
  <si>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</si>
  <si>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</si>
  <si>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</si>
  <si>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</si>
  <si>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</si>
  <si>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</si>
  <si>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</si>
  <si>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</si>
  <si>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</si>
  <si>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</si>
  <si>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</si>
  <si>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</si>
  <si>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</si>
  <si>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</si>
  <si>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</si>
  <si>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</si>
  <si>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</si>
  <si>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</si>
  <si>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</si>
  <si>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</si>
  <si>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</si>
  <si>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</si>
  <si>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</si>
  <si>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</si>
  <si>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</si>
  <si>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</si>
  <si>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</si>
  <si>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</si>
  <si>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</si>
  <si>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</si>
  <si>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</si>
  <si>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</si>
  <si>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</si>
  <si>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</si>
  <si>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</si>
  <si>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</si>
  <si>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</si>
  <si>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</si>
  <si>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</si>
  <si>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</si>
  <si>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</si>
  <si>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</si>
  <si>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</si>
  <si>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</si>
  <si>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</si>
  <si>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</si>
  <si>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</si>
  <si>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</si>
  <si>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</si>
  <si>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</si>
  <si>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</si>
  <si>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</si>
  <si>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</si>
  <si>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</si>
  <si>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</si>
  <si>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</si>
  <si>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</si>
  <si>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</si>
  <si>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</si>
  <si>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</si>
  <si>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</si>
  <si>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</si>
  <si>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</si>
  <si>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</si>
  <si>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</si>
  <si>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</si>
  <si>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</si>
  <si>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</si>
  <si>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</si>
  <si>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</si>
  <si>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</si>
  <si>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</si>
  <si>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</si>
  <si>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</si>
  <si>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</si>
  <si>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</si>
  <si>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</si>
  <si>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</si>
  <si>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</si>
  <si>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</si>
  <si>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</si>
  <si>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</si>
  <si>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</si>
  <si>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</si>
  <si>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</si>
  <si>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</si>
  <si>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</si>
  <si>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</si>
  <si>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</si>
  <si>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</si>
  <si>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</si>
  <si>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</si>
  <si>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</si>
  <si>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</si>
  <si>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</si>
  <si>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</si>
  <si>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</si>
  <si>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</si>
  <si>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</si>
  <si>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</si>
  <si>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</si>
  <si>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</si>
  <si>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</si>
  <si>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</si>
  <si>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</si>
  <si>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</si>
  <si>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</si>
  <si>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</si>
  <si>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</si>
  <si>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</si>
  <si>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</si>
  <si>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</si>
  <si>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</si>
  <si>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</si>
  <si>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</si>
  <si>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</si>
  <si>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</si>
  <si>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</si>
  <si>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</si>
  <si>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</si>
  <si>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</si>
  <si>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</si>
  <si>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</si>
  <si>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</si>
  <si>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</si>
  <si>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</si>
  <si>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</si>
  <si>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</si>
  <si>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</si>
  <si>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</si>
  <si>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</si>
  <si>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</si>
  <si>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</si>
  <si>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</si>
  <si>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</si>
  <si>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</si>
  <si>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</si>
  <si>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</si>
  <si>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</si>
  <si>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</si>
  <si>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</si>
  <si>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</si>
  <si>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</si>
  <si>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</si>
  <si>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</si>
  <si>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</si>
  <si>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</si>
  <si>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</si>
  <si>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</si>
  <si>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</si>
  <si>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</si>
  <si>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</si>
  <si>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</si>
  <si>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</si>
  <si>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</si>
  <si>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</si>
  <si>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</si>
  <si>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</si>
  <si>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</si>
  <si>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</si>
  <si>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</si>
  <si>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</si>
  <si>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</si>
  <si>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</si>
  <si>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</si>
  <si>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</si>
  <si>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</si>
  <si>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</si>
  <si>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</si>
  <si>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</si>
  <si>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</si>
  <si>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</si>
  <si>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</si>
  <si>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</si>
  <si>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</si>
  <si>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</si>
  <si>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</si>
  <si>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</si>
  <si>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</si>
  <si>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</si>
  <si>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</si>
  <si>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</si>
  <si>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</si>
  <si>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</si>
  <si>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</si>
  <si>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</si>
  <si>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</si>
  <si>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</si>
  <si>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</si>
  <si>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</si>
  <si>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</si>
  <si>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</si>
  <si>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</si>
  <si>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</si>
  <si>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</si>
  <si>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</si>
  <si>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</si>
  <si>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</si>
  <si>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</si>
  <si>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</si>
  <si>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</si>
  <si>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</si>
  <si>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</si>
  <si>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</si>
  <si>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</si>
  <si>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</si>
  <si>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</si>
  <si>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</si>
  <si>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</si>
  <si>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</si>
  <si>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</si>
  <si>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</si>
  <si>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</si>
  <si>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</si>
  <si>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</si>
  <si>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</si>
  <si>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</si>
  <si>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</si>
  <si>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</si>
  <si>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</si>
  <si>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</si>
  <si>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</si>
  <si>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</si>
  <si>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</si>
  <si>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</si>
  <si>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</si>
  <si>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</si>
  <si>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</si>
  <si>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</si>
  <si>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</si>
  <si>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</si>
  <si>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</si>
  <si>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</si>
  <si>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</si>
  <si>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</si>
  <si>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</si>
  <si>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</si>
  <si>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</si>
  <si>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</si>
  <si>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</si>
  <si>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</si>
  <si>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</si>
  <si>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</si>
  <si>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</si>
  <si>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</si>
  <si>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</si>
  <si>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</si>
  <si>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</si>
  <si>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</si>
  <si>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</si>
  <si>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</si>
  <si>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</si>
  <si>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</si>
  <si>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</si>
  <si>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</si>
  <si>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</si>
  <si>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</si>
  <si>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</si>
  <si>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</si>
  <si>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</si>
  <si>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</si>
  <si>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</si>
  <si>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</si>
  <si>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</si>
  <si>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</si>
  <si>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</si>
  <si>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</si>
  <si>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</si>
  <si>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</si>
  <si>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</si>
  <si>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</si>
  <si>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</si>
  <si>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</si>
  <si>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</si>
  <si>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</si>
  <si>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</si>
  <si>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</si>
  <si>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</si>
  <si>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</si>
  <si>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</si>
  <si>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</si>
  <si>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</si>
  <si>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</si>
  <si>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</si>
  <si>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</si>
  <si>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</si>
  <si>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</si>
  <si>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</si>
  <si>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</si>
  <si>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</si>
  <si>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</si>
  <si>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</si>
  <si>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</si>
  <si>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</si>
  <si>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</si>
  <si>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</si>
  <si>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</si>
  <si>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</si>
  <si>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</si>
  <si>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</si>
  <si>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</si>
  <si>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</si>
  <si>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</si>
  <si>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</si>
  <si>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</si>
  <si>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</si>
  <si>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</si>
  <si>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</si>
  <si>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</si>
  <si>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</si>
  <si>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</si>
  <si>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</si>
  <si>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</si>
  <si>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</si>
  <si>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</si>
  <si>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</si>
  <si>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</si>
  <si>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</si>
  <si>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</si>
  <si>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</si>
  <si>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</si>
  <si>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</si>
  <si>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</si>
  <si>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</si>
  <si>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</si>
  <si>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</si>
  <si>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</si>
  <si>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</si>
  <si>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</si>
  <si>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</si>
  <si>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</si>
  <si>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</si>
  <si>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</si>
  <si>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</si>
  <si>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</si>
  <si>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</si>
  <si>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</si>
  <si>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</si>
  <si>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</si>
  <si>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</si>
  <si>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</si>
  <si>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</si>
  <si>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</si>
  <si>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</si>
  <si>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</si>
  <si>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</si>
  <si>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</si>
  <si>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</si>
  <si>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</si>
  <si>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</si>
  <si>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</si>
  <si>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</si>
  <si>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</si>
  <si>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</si>
  <si>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</si>
  <si>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</si>
  <si>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</si>
  <si>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</si>
  <si>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</si>
  <si>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</si>
  <si>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</si>
  <si>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</si>
  <si>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</si>
  <si>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</si>
  <si>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</si>
  <si>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</si>
  <si>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</si>
  <si>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</si>
  <si>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</si>
  <si>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</si>
  <si>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</si>
  <si>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</si>
  <si>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</si>
  <si>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</si>
  <si>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</si>
  <si>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</si>
  <si>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</si>
  <si>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</si>
  <si>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</si>
  <si>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</si>
  <si>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</si>
  <si>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</si>
  <si>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</si>
  <si>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</si>
  <si>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</si>
  <si>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</si>
  <si>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</si>
  <si>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</si>
  <si>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</si>
  <si>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</si>
  <si>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</si>
  <si>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</si>
  <si>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</si>
  <si>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</si>
  <si>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</si>
  <si>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</si>
  <si>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</si>
  <si>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</si>
  <si>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</si>
  <si>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</si>
  <si>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</si>
  <si>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</si>
  <si>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</si>
  <si>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</si>
  <si>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</si>
  <si>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</si>
  <si>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</si>
  <si>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</si>
  <si>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</si>
  <si>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</si>
  <si>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</si>
  <si>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</si>
  <si>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</si>
  <si>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</si>
  <si>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</si>
  <si>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</si>
  <si>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</si>
  <si>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</si>
  <si>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</si>
  <si>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</si>
  <si>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</si>
  <si>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</si>
  <si>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</si>
  <si>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</si>
  <si>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</si>
  <si>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</si>
  <si>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</si>
  <si>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</si>
  <si>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</si>
  <si>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</si>
  <si>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</si>
  <si>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</si>
  <si>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</si>
  <si>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</si>
  <si>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</si>
  <si>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</si>
  <si>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</si>
  <si>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</si>
  <si>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</si>
  <si>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</si>
  <si>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</si>
  <si>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</si>
  <si>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</si>
  <si>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</si>
  <si>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</si>
  <si>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</si>
  <si>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</si>
  <si>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</si>
  <si>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</si>
  <si>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</si>
  <si>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</si>
  <si>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</si>
  <si>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</si>
  <si>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</si>
  <si>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</si>
  <si>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</si>
  <si>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</si>
  <si>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</si>
  <si>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</si>
  <si>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</si>
  <si>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</si>
  <si>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</si>
  <si>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</si>
  <si>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</si>
  <si>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</si>
  <si>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</si>
  <si>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</si>
  <si>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</si>
  <si>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</si>
  <si>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</si>
  <si>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</si>
  <si>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</si>
  <si>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</si>
  <si>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</si>
  <si>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</si>
  <si>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</si>
  <si>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</si>
  <si>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</si>
  <si>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</si>
  <si>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</si>
  <si>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</si>
  <si>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</si>
  <si>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</si>
  <si>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</si>
  <si>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</si>
  <si>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</si>
  <si>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</si>
  <si>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</si>
  <si>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</si>
  <si>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</si>
  <si>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</si>
  <si>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</si>
  <si>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</si>
  <si>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</si>
  <si>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</si>
  <si>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</si>
  <si>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</si>
  <si>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</si>
  <si>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</si>
  <si>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</si>
  <si>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</si>
  <si>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</si>
  <si>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</si>
  <si>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</si>
  <si>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</si>
  <si>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</si>
  <si>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</si>
  <si>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</si>
  <si>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</si>
  <si>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</si>
  <si>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</si>
  <si>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</si>
  <si>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</si>
  <si>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</si>
  <si>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</si>
  <si>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</si>
  <si>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</si>
  <si>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</si>
  <si>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</si>
  <si>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</si>
  <si>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</si>
  <si>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</si>
  <si>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</si>
  <si>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</si>
  <si>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</si>
  <si>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</si>
  <si>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</si>
  <si>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</si>
  <si>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</si>
  <si>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</si>
  <si>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</si>
  <si>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</si>
  <si>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</si>
  <si>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</si>
  <si>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</si>
  <si>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</si>
  <si>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</si>
  <si>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</si>
  <si>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</si>
  <si>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</si>
  <si>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</si>
  <si>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</si>
  <si>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</si>
  <si>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</si>
  <si>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</si>
  <si>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</si>
  <si>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</si>
  <si>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</si>
  <si>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</si>
  <si>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</si>
  <si>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</si>
  <si>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</si>
  <si>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</si>
  <si>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</si>
  <si>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</si>
  <si>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</si>
  <si>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</si>
  <si>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</si>
  <si>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</si>
  <si>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</si>
  <si>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</si>
  <si>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</si>
  <si>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</si>
  <si>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</si>
  <si>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</si>
  <si>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</si>
  <si>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</si>
  <si>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</si>
  <si>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</si>
  <si>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</si>
  <si>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</si>
  <si>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</si>
  <si>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</si>
  <si>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</si>
  <si>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</si>
  <si>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</si>
  <si>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</si>
  <si>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</si>
  <si>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</si>
  <si>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</si>
  <si>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</si>
  <si>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</si>
  <si>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</si>
  <si>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</si>
  <si>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</si>
  <si>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</si>
  <si>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</si>
  <si>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</si>
  <si>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</si>
  <si>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</si>
  <si>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</si>
  <si>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</si>
  <si>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</si>
  <si>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</si>
  <si>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</si>
  <si>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</si>
  <si>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</si>
  <si>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</si>
  <si>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</si>
  <si>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</si>
  <si>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</si>
  <si>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</si>
  <si>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</si>
  <si>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</si>
  <si>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</si>
  <si>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</si>
  <si>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</si>
  <si>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</si>
  <si>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</si>
  <si>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</si>
  <si>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</si>
  <si>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</si>
  <si>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</si>
  <si>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</si>
  <si>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</si>
  <si>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</si>
  <si>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</si>
  <si>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</si>
  <si>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</si>
  <si>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</si>
  <si>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</si>
  <si>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</si>
  <si>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</si>
  <si>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</si>
  <si>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</si>
  <si>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</si>
  <si>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</si>
  <si>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</si>
  <si>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</si>
  <si>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</si>
  <si>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</si>
  <si>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</si>
  <si>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</si>
  <si>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</si>
  <si>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</si>
  <si>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</si>
  <si>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</si>
  <si>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</si>
  <si>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</si>
  <si>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</si>
  <si>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</si>
  <si>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</si>
  <si>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</si>
  <si>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</si>
  <si>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</si>
  <si>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</si>
  <si>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</si>
  <si>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</si>
  <si>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</si>
  <si>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</si>
  <si>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</si>
  <si>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</si>
  <si>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</si>
  <si>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</si>
  <si>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</si>
  <si>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</si>
  <si>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</si>
  <si>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</si>
  <si>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</si>
  <si>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</si>
  <si>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</si>
  <si>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</si>
  <si>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</si>
  <si>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</si>
  <si>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</si>
  <si>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</si>
  <si>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</si>
  <si>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</si>
  <si>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</si>
  <si>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</si>
  <si>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</si>
  <si>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</si>
  <si>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</si>
  <si>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</si>
  <si>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</si>
  <si>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</si>
  <si>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</si>
  <si>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</si>
  <si>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</si>
  <si>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</si>
  <si>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</si>
  <si>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</si>
  <si>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</si>
  <si>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</si>
  <si>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</si>
  <si>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</si>
  <si>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</si>
  <si>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</si>
  <si>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</si>
  <si>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</si>
  <si>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</si>
  <si>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</si>
  <si>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</si>
  <si>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</si>
  <si>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</si>
  <si>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</si>
  <si>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</si>
  <si>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</si>
  <si>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</si>
  <si>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</si>
  <si>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</si>
  <si>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</si>
  <si>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</si>
  <si>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</si>
  <si>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</si>
  <si>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</si>
  <si>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</si>
  <si>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</si>
  <si>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</si>
  <si>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</si>
  <si>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</si>
  <si>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</si>
  <si>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</si>
  <si>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</si>
  <si>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</si>
  <si>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</si>
  <si>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</si>
  <si>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</si>
  <si>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</si>
  <si>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</si>
  <si>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</si>
  <si>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</si>
  <si>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</si>
  <si>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</si>
  <si>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</si>
  <si>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</si>
  <si>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</si>
  <si>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</si>
  <si>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</si>
  <si>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</si>
  <si>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</si>
  <si>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</si>
  <si>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</si>
  <si>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</si>
  <si>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</si>
  <si>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</si>
  <si>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</si>
  <si>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</si>
  <si>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</si>
  <si>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</si>
  <si>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</si>
  <si>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</si>
  <si>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</si>
  <si>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</si>
  <si>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</si>
  <si>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</si>
  <si>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</si>
  <si>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</si>
  <si>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</si>
  <si>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</si>
  <si>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</si>
  <si>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</si>
  <si>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</si>
  <si>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</si>
  <si>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</si>
  <si>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</si>
  <si>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</si>
  <si>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</si>
  <si>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</si>
  <si>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</si>
  <si>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</si>
  <si>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</si>
  <si>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</si>
  <si>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</si>
  <si>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</si>
  <si>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</si>
  <si>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</si>
  <si>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</si>
  <si>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</si>
  <si>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</si>
  <si>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</si>
  <si>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</si>
  <si>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</si>
  <si>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</si>
  <si>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</si>
  <si>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</si>
  <si>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</si>
  <si>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</si>
  <si>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</si>
  <si>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</si>
  <si>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</si>
  <si>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</si>
  <si>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</si>
  <si>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</si>
  <si>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</si>
  <si>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</si>
  <si>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</si>
  <si>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</si>
  <si>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</si>
  <si>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</si>
  <si>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</si>
  <si>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</si>
  <si>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</si>
  <si>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</si>
  <si>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</si>
  <si>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</si>
  <si>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</si>
  <si>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</si>
  <si>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</si>
  <si>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</si>
  <si>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</si>
  <si>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</si>
  <si>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</si>
  <si>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</si>
  <si>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</si>
  <si>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</si>
  <si>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</si>
  <si>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</si>
  <si>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</si>
  <si>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</si>
  <si>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</si>
  <si>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</si>
  <si>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</si>
  <si>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</si>
  <si>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</si>
  <si>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</si>
  <si>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</si>
  <si>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</si>
  <si>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</si>
  <si>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</si>
  <si>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</si>
  <si>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</si>
  <si>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</si>
  <si>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</si>
  <si>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</si>
  <si>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</si>
  <si>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</si>
  <si>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</si>
  <si>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</si>
  <si>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</si>
  <si>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</si>
  <si>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</si>
  <si>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</si>
  <si>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</si>
  <si>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</si>
  <si>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</si>
  <si>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</si>
  <si>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</si>
  <si>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</si>
  <si>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</si>
  <si>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</si>
  <si>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</si>
  <si>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</si>
  <si>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</si>
  <si>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</si>
  <si>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</si>
  <si>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</si>
  <si>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</si>
  <si>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</si>
  <si>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</si>
  <si>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</si>
  <si>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</si>
  <si>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</si>
  <si>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</si>
  <si>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</si>
  <si>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</si>
  <si>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</si>
  <si>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</si>
  <si>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</si>
  <si>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</si>
  <si>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</si>
  <si>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</si>
  <si>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</si>
  <si>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</si>
  <si>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</si>
  <si>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</si>
  <si>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</si>
  <si>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</si>
  <si>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</si>
  <si>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</si>
  <si>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</si>
  <si>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</si>
  <si>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</si>
  <si>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</si>
  <si>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</si>
  <si>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</si>
  <si>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</si>
  <si>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</si>
  <si>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</si>
  <si>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</si>
  <si>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</si>
  <si>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</si>
  <si>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</si>
  <si>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</si>
  <si>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</si>
  <si>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</si>
  <si>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</si>
  <si>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</si>
  <si>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</si>
  <si>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</si>
  <si>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</si>
  <si>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</si>
  <si>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</si>
  <si>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</si>
  <si>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</si>
  <si>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</si>
  <si>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</si>
  <si>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</si>
  <si>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</si>
  <si>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</si>
  <si>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</si>
  <si>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</si>
  <si>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</si>
  <si>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</si>
  <si>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</si>
  <si>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</si>
  <si>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</si>
  <si>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</si>
  <si>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</si>
  <si>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</si>
  <si>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</si>
  <si>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</si>
  <si>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</si>
  <si>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</si>
  <si>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</si>
  <si>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</si>
  <si>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</si>
  <si>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</si>
  <si>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</si>
  <si>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</si>
  <si>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</si>
  <si>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</si>
  <si>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</si>
  <si>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</si>
  <si>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</si>
  <si>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</si>
  <si>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</si>
  <si>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</si>
  <si>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</si>
  <si>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</si>
  <si>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</si>
  <si>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</si>
  <si>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</si>
  <si>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</si>
  <si>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</si>
  <si>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</si>
  <si>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</si>
  <si>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</si>
  <si>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</si>
  <si>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</si>
  <si>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</si>
  <si>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</si>
  <si>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</si>
  <si>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</si>
  <si>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</si>
  <si>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</si>
  <si>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</si>
  <si>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</si>
  <si>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</si>
  <si>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</si>
  <si>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</si>
  <si>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</si>
  <si>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</si>
  <si>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</si>
  <si>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</si>
  <si>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</si>
  <si>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</si>
  <si>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</si>
  <si>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</si>
  <si>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</si>
  <si>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</si>
  <si>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</si>
  <si>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</si>
  <si>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</si>
  <si>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</si>
  <si>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</si>
  <si>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</si>
  <si>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</si>
  <si>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</si>
  <si>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</si>
  <si>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</si>
  <si>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</si>
  <si>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</si>
  <si>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</si>
  <si>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</si>
  <si>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</si>
  <si>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</si>
  <si>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</si>
  <si>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</si>
  <si>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</si>
  <si>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</si>
  <si>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</si>
  <si>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</si>
  <si>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</si>
  <si>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</si>
  <si>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</si>
  <si>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</si>
  <si>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</si>
  <si>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</si>
  <si>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</si>
  <si>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</si>
  <si>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</si>
  <si>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</si>
  <si>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</si>
  <si>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</si>
  <si>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</si>
  <si>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</si>
  <si>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</si>
  <si>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</si>
  <si>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</si>
  <si>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</si>
  <si>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</si>
  <si>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</si>
  <si>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</si>
  <si>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</si>
  <si>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</si>
  <si>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</si>
  <si>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</si>
  <si>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</si>
  <si>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</si>
  <si>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</si>
  <si>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</si>
  <si>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</si>
  <si>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</si>
  <si>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</si>
  <si>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</si>
  <si>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</si>
  <si>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</si>
  <si>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</si>
  <si>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</si>
  <si>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</si>
  <si>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</si>
  <si>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</si>
  <si>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</si>
  <si>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</si>
  <si>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</si>
  <si>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</si>
  <si>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</si>
  <si>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</si>
  <si>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</si>
  <si>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</si>
  <si>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</si>
  <si>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</si>
  <si>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</si>
  <si>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</si>
  <si>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</si>
  <si>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</si>
  <si>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</si>
  <si>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</si>
  <si>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</si>
  <si>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</si>
  <si>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</si>
  <si>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</si>
  <si>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</si>
  <si>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</si>
  <si>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</si>
  <si>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</si>
  <si>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</si>
  <si>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</si>
  <si>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</si>
  <si>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</si>
  <si>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</si>
  <si>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</si>
  <si>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</si>
  <si>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</si>
  <si>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</si>
  <si>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</si>
  <si>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</si>
  <si>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</si>
  <si>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</si>
  <si>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</si>
  <si>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</si>
  <si>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</si>
  <si>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</si>
  <si>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</si>
  <si>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</si>
  <si>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</si>
  <si>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</si>
  <si>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</si>
  <si>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</si>
  <si>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</si>
  <si>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</si>
  <si>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</si>
  <si>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</si>
  <si>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</si>
  <si>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</si>
  <si>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</si>
  <si>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</si>
  <si>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</si>
  <si>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</si>
  <si>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</si>
  <si>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</si>
  <si>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</si>
  <si>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</si>
  <si>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</si>
  <si>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</si>
  <si>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</si>
  <si>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</si>
  <si>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</si>
  <si>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</si>
  <si>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</si>
  <si>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</si>
  <si>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</si>
  <si>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</si>
  <si>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</si>
  <si>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</si>
  <si>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</si>
  <si>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</si>
  <si>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</si>
  <si>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</si>
  <si>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</si>
  <si>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</si>
  <si>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</si>
  <si>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</si>
  <si>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</si>
  <si>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</si>
  <si>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</si>
  <si>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</si>
  <si>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</si>
  <si>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</si>
  <si>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</si>
  <si>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</si>
  <si>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</si>
  <si>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</si>
  <si>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</si>
  <si>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</si>
  <si>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</si>
  <si>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</si>
  <si>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</si>
  <si>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</si>
  <si>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</si>
  <si>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</si>
  <si>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</si>
  <si>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</si>
  <si>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</si>
  <si>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</si>
  <si>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</si>
  <si>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</si>
  <si>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</si>
  <si>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</si>
  <si>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</si>
  <si>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</si>
  <si>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</si>
  <si>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</si>
  <si>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</si>
  <si>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</si>
  <si>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</si>
  <si>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</si>
  <si>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</si>
  <si>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</si>
  <si>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</si>
  <si>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</si>
  <si>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</si>
  <si>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</si>
  <si>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</si>
  <si>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</si>
  <si>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</si>
  <si>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</si>
  <si>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</si>
  <si>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</si>
  <si>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</si>
  <si>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</si>
  <si>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</si>
  <si>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</si>
  <si>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</si>
  <si>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</si>
  <si>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</si>
  <si>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</si>
  <si>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</si>
  <si>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</si>
  <si>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</si>
  <si>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</si>
  <si>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</si>
  <si>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</si>
  <si>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</si>
  <si>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</si>
  <si>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</si>
  <si>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</si>
  <si>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</si>
  <si>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</si>
  <si>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</si>
  <si>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</si>
  <si>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</si>
  <si>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</si>
  <si>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</si>
  <si>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</si>
  <si>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</si>
  <si>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</si>
  <si>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</si>
  <si>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</si>
  <si>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</si>
  <si>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</si>
  <si>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</si>
  <si>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</si>
  <si>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</si>
  <si>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</si>
  <si>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</si>
  <si>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</si>
  <si>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</si>
  <si>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</si>
  <si>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</si>
  <si>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</si>
  <si>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</si>
  <si>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</si>
  <si>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</si>
  <si>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</si>
  <si>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</si>
  <si>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</si>
  <si>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</si>
  <si>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</si>
  <si>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</si>
  <si>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</si>
  <si>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</si>
  <si>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</si>
  <si>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</si>
  <si>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</si>
  <si>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</si>
  <si>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</si>
  <si>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</si>
  <si>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</si>
  <si>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</si>
  <si>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</si>
  <si>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</si>
  <si>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</si>
  <si>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</si>
  <si>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</si>
  <si>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</si>
  <si>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</si>
  <si>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</si>
  <si>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</si>
  <si>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</si>
  <si>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</si>
  <si>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</si>
  <si>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</si>
  <si>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</si>
  <si>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</si>
  <si>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</si>
  <si>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</si>
  <si>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</si>
  <si>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</si>
  <si>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</si>
  <si>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</si>
  <si>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</si>
  <si>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</si>
  <si>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</si>
  <si>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</si>
  <si>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</si>
  <si>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</si>
  <si>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</si>
  <si>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</si>
  <si>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</si>
  <si>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</si>
  <si>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</si>
  <si>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</si>
  <si>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</si>
  <si>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</si>
  <si>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</si>
  <si>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</si>
  <si>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</si>
  <si>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</si>
  <si>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</si>
  <si>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</si>
  <si>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</si>
  <si>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</si>
  <si>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</si>
  <si>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</si>
  <si>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</si>
  <si>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</si>
  <si>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</si>
  <si>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</si>
  <si>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</si>
  <si>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</si>
  <si>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</si>
  <si>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</si>
  <si>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</si>
  <si>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</si>
  <si>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</si>
  <si>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</si>
  <si>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</si>
  <si>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</si>
  <si>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</si>
  <si>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</si>
  <si>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</si>
  <si>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</si>
  <si>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</si>
  <si>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</si>
  <si>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</si>
  <si>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</si>
  <si>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</si>
  <si>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</si>
  <si>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</si>
  <si>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</si>
  <si>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</si>
  <si>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</si>
  <si>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</si>
  <si>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</si>
  <si>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</si>
  <si>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</si>
  <si>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</si>
  <si>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</si>
  <si>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</si>
  <si>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</si>
  <si>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</si>
  <si>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</si>
  <si>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</si>
  <si>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</si>
  <si>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</si>
  <si>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</si>
  <si>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</si>
  <si>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</si>
  <si>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</si>
  <si>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</si>
  <si>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</si>
  <si>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</si>
  <si>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</si>
  <si>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</si>
  <si>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</si>
  <si>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</si>
  <si>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</si>
  <si>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</si>
  <si>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</si>
  <si>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</si>
  <si>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</si>
  <si>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</si>
  <si>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</si>
  <si>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</si>
  <si>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</si>
  <si>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</si>
  <si>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</si>
  <si>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</si>
  <si>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</si>
  <si>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</si>
  <si>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</si>
  <si>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</si>
  <si>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</si>
  <si>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</si>
  <si>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</si>
  <si>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</si>
  <si>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</si>
  <si>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</si>
  <si>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</si>
  <si>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</si>
  <si>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</si>
  <si>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</si>
  <si>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</si>
  <si>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</si>
  <si>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</si>
  <si>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</si>
  <si>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</si>
  <si>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</si>
  <si>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</si>
  <si>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</si>
  <si>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</si>
  <si>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</si>
  <si>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</si>
  <si>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</si>
  <si>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</si>
  <si>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</si>
  <si>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</si>
  <si>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</si>
  <si>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</si>
  <si>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</si>
  <si>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</si>
  <si>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</si>
  <si>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</si>
  <si>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</si>
  <si>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</si>
  <si>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</si>
  <si>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</si>
  <si>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</si>
  <si>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</si>
  <si>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</si>
  <si>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</si>
  <si>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</si>
  <si>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</si>
  <si>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</si>
  <si>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</si>
  <si>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</si>
  <si>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</si>
  <si>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</si>
  <si>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</si>
  <si>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</si>
  <si>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</si>
  <si>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</si>
  <si>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</si>
  <si>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</si>
  <si>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</si>
  <si>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</si>
  <si>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</si>
  <si>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</si>
  <si>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</si>
  <si>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</si>
  <si>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</si>
  <si>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</si>
  <si>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</si>
  <si>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</si>
  <si>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</si>
  <si>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</si>
  <si>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</si>
  <si>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</si>
  <si>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</si>
  <si>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</si>
  <si>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</si>
  <si>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</si>
  <si>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</si>
  <si>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</si>
  <si>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</si>
  <si>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</si>
  <si>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</si>
  <si>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</si>
  <si>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</si>
  <si>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</si>
  <si>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</si>
  <si>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</si>
  <si>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</si>
  <si>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</si>
  <si>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</si>
  <si>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</si>
  <si>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</si>
  <si>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</si>
  <si>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</si>
  <si>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</si>
  <si>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</si>
  <si>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</si>
  <si>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</si>
  <si>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</si>
  <si>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</si>
  <si>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</si>
  <si>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</si>
  <si>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</si>
  <si>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</si>
  <si>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</si>
  <si>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</si>
  <si>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</si>
  <si>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</si>
  <si>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</si>
  <si>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</si>
  <si>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</si>
  <si>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</si>
  <si>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</si>
  <si>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</si>
  <si>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</si>
  <si>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</si>
  <si>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</si>
  <si>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</si>
  <si>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</si>
  <si>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</si>
  <si>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</si>
  <si>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</si>
  <si>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</si>
  <si>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</si>
  <si>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</si>
  <si>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</si>
  <si>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</si>
  <si>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</si>
  <si>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</si>
  <si>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</si>
  <si>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</si>
  <si>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</si>
  <si>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</si>
  <si>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</si>
  <si>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</si>
  <si>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</si>
  <si>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</si>
  <si>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</si>
  <si>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</si>
  <si>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</si>
  <si>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</si>
  <si>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</si>
  <si>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</si>
  <si>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</si>
  <si>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</si>
  <si>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</si>
  <si>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</si>
  <si>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</si>
  <si>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</si>
  <si>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</si>
  <si>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</si>
  <si>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</si>
  <si>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</si>
  <si>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</si>
  <si>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</si>
  <si>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</si>
  <si>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</si>
  <si>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</si>
  <si>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</si>
  <si>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</si>
  <si>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</si>
  <si>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</si>
  <si>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</si>
  <si>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</si>
  <si>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</si>
  <si>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</si>
  <si>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</si>
  <si>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</si>
  <si>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</si>
  <si>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</si>
  <si>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</si>
  <si>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</si>
  <si>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</si>
  <si>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</si>
  <si>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</si>
  <si>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</si>
  <si>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</si>
  <si>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</si>
  <si>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</si>
  <si>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</si>
  <si>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</si>
  <si>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</si>
  <si>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</si>
  <si>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</si>
  <si>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</si>
  <si>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</si>
  <si>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</si>
  <si>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</si>
  <si>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</si>
  <si>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</si>
  <si>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</si>
  <si>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</si>
  <si>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</si>
  <si>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</si>
  <si>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</si>
  <si>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</si>
  <si>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</si>
  <si>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</si>
  <si>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</si>
  <si>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</si>
  <si>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</si>
  <si>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</si>
  <si>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</si>
  <si>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</si>
  <si>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</si>
  <si>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</si>
  <si>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</si>
  <si>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</si>
  <si>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</si>
  <si>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</si>
  <si>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</si>
  <si>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</si>
  <si>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</si>
  <si>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</si>
  <si>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</si>
  <si>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</si>
  <si>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</si>
  <si>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</si>
  <si>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</si>
  <si>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</si>
  <si>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</si>
  <si>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</si>
  <si>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</si>
  <si>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</si>
  <si>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</si>
  <si>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</si>
  <si>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</si>
  <si>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</si>
  <si>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</si>
  <si>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</si>
  <si>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</si>
  <si>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</si>
  <si>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</si>
  <si>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</si>
  <si>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</si>
  <si>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</si>
  <si>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</si>
  <si>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</si>
  <si>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</si>
  <si>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</si>
  <si>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</si>
  <si>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</si>
  <si>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</si>
  <si>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</si>
  <si>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</si>
  <si>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</si>
  <si>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</si>
  <si>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</si>
  <si>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</si>
  <si>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</si>
  <si>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</si>
  <si>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</si>
  <si>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</si>
  <si>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</si>
  <si>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</si>
  <si>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</si>
  <si>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</si>
  <si>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</si>
  <si>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</si>
  <si>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</si>
  <si>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</si>
  <si>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</si>
  <si>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</si>
  <si>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</si>
  <si>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</si>
  <si>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</si>
  <si>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</si>
  <si>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</si>
  <si>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</si>
  <si>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</si>
  <si>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</si>
  <si>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</si>
  <si>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</si>
  <si>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</si>
  <si>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</si>
  <si>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</si>
  <si>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</si>
  <si>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</si>
  <si>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</si>
  <si>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</si>
  <si>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</si>
  <si>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</si>
  <si>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</si>
  <si>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</si>
  <si>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</si>
  <si>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</si>
  <si>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</si>
  <si>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</si>
  <si>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</si>
  <si>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</si>
  <si>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</si>
  <si>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</si>
  <si>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</si>
  <si>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</si>
  <si>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</si>
  <si>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</si>
  <si>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</si>
  <si>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</si>
  <si>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</si>
  <si>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</si>
  <si>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</si>
  <si>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</si>
  <si>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</si>
  <si>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</si>
  <si>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</si>
  <si>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</si>
  <si>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</si>
  <si>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</si>
  <si>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</si>
  <si>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</si>
  <si>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</si>
  <si>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</si>
  <si>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</si>
  <si>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</si>
  <si>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</si>
  <si>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</si>
  <si>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</si>
  <si>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</si>
  <si>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</si>
  <si>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</si>
  <si>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</si>
  <si>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</si>
  <si>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</si>
  <si>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</si>
  <si>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</si>
  <si>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</si>
  <si>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</si>
  <si>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</si>
  <si>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</si>
  <si>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</si>
  <si>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</si>
  <si>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</si>
  <si>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</si>
  <si>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</si>
  <si>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</si>
  <si>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</si>
  <si>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</si>
  <si>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</si>
  <si>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</si>
  <si>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</si>
  <si>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</si>
  <si>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</si>
  <si>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</si>
  <si>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</si>
  <si>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</si>
  <si>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</si>
  <si>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</si>
  <si>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</si>
  <si>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</si>
  <si>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</si>
  <si>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</si>
  <si>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</si>
  <si>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</si>
  <si>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</si>
  <si>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</si>
  <si>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</si>
  <si>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</si>
  <si>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</si>
  <si>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</si>
  <si>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</si>
  <si>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</si>
  <si>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</si>
  <si>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</si>
  <si>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</si>
  <si>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</si>
  <si>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</si>
  <si>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</si>
  <si>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</si>
  <si>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</si>
  <si>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</si>
  <si>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</si>
  <si>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</si>
  <si>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</si>
  <si>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</si>
  <si>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</si>
  <si>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</si>
  <si>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</si>
  <si>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</si>
  <si>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</si>
  <si>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</si>
  <si>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</si>
  <si>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</si>
  <si>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</si>
  <si>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</si>
  <si>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</si>
  <si>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</si>
  <si>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</si>
  <si>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</si>
  <si>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</si>
  <si>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</si>
  <si>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</si>
  <si>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</si>
  <si>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</si>
  <si>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</si>
  <si>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</si>
  <si>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</si>
  <si>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</si>
  <si>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</si>
  <si>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</si>
  <si>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</si>
  <si>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</si>
  <si>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</si>
  <si>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</si>
  <si>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</si>
  <si>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</si>
  <si>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</si>
  <si>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</si>
  <si>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</si>
  <si>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</si>
  <si>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</si>
  <si>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</si>
  <si>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</si>
  <si>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</si>
  <si>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</si>
  <si>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</si>
  <si>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</si>
  <si>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</si>
  <si>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</si>
  <si>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</si>
  <si>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</si>
  <si>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</si>
  <si>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</si>
  <si>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</si>
  <si>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</si>
  <si>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</si>
  <si>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</si>
  <si>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</si>
  <si>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</si>
  <si>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</si>
  <si>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</si>
  <si>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</si>
  <si>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</si>
  <si>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</si>
  <si>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</si>
  <si>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</si>
  <si>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</si>
  <si>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</si>
  <si>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</si>
  <si>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</si>
  <si>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</si>
  <si>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</si>
  <si>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</si>
  <si>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</si>
  <si>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</si>
  <si>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</si>
  <si>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</si>
  <si>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</si>
  <si>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</si>
  <si>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</si>
  <si>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</si>
  <si>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</si>
  <si>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</si>
  <si>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</si>
  <si>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</si>
  <si>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</si>
  <si>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</si>
  <si>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</si>
  <si>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</si>
  <si>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</si>
  <si>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</si>
  <si>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</si>
  <si>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</si>
  <si>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</si>
  <si>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</si>
  <si>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</si>
  <si>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</si>
  <si>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</si>
  <si>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</si>
  <si>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</si>
  <si>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</si>
  <si>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</si>
  <si>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</si>
  <si>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</si>
  <si>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</si>
  <si>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</si>
  <si>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</si>
  <si>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</si>
  <si>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</si>
  <si>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</si>
  <si>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</si>
  <si>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</si>
  <si>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</si>
  <si>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</si>
  <si>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</si>
  <si>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</si>
  <si>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</si>
  <si>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</si>
  <si>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</si>
  <si>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</si>
  <si>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</si>
  <si>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</si>
  <si>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</si>
  <si>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</si>
  <si>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</si>
  <si>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</si>
  <si>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</si>
  <si>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</si>
  <si>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</si>
  <si>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</si>
  <si>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</si>
  <si>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</si>
  <si>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</si>
  <si>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</si>
  <si>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</si>
  <si>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</si>
  <si>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</si>
  <si>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</si>
  <si>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</si>
  <si>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</si>
  <si>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</si>
  <si>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</si>
  <si>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</si>
  <si>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</si>
  <si>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</si>
  <si>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</si>
  <si>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</si>
  <si>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</si>
  <si>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</si>
  <si>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</si>
  <si>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</si>
  <si>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</si>
  <si>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</si>
  <si>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</si>
  <si>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</si>
  <si>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</si>
  <si>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</si>
  <si>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</si>
  <si>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</si>
  <si>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</si>
  <si>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</si>
  <si>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</si>
  <si>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</si>
  <si>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</si>
  <si>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</si>
  <si>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</si>
  <si>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</si>
  <si>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</si>
  <si>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</si>
  <si>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</si>
  <si>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</si>
  <si>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</si>
  <si>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</si>
  <si>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</si>
  <si>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</si>
  <si>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</si>
  <si>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</si>
  <si>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</si>
  <si>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</si>
  <si>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</si>
  <si>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</si>
  <si>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</si>
  <si>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</si>
  <si>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</si>
  <si>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</si>
  <si>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</si>
  <si>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</si>
  <si>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</si>
  <si>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</si>
  <si>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</si>
  <si>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</si>
  <si>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</si>
  <si>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</si>
  <si>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</si>
  <si>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</si>
  <si>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</si>
  <si>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</si>
  <si>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</si>
  <si>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</si>
  <si>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</si>
  <si>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</si>
  <si>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</si>
  <si>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</si>
  <si>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</si>
  <si>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</si>
  <si>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</si>
  <si>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</si>
  <si>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</si>
  <si>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</si>
  <si>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</si>
  <si>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</si>
  <si>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</si>
  <si>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</si>
  <si>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</si>
  <si>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</si>
  <si>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</si>
  <si>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</si>
  <si>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</si>
  <si>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</si>
  <si>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</si>
  <si>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</si>
  <si>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</si>
  <si>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</si>
  <si>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</si>
  <si>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</si>
  <si>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</si>
  <si>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</si>
  <si>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</si>
  <si>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</si>
  <si>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</si>
  <si>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</si>
  <si>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</si>
  <si>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</si>
  <si>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</si>
  <si>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</si>
  <si>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</si>
  <si>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</si>
  <si>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</si>
  <si>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</si>
  <si>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</si>
  <si>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</si>
  <si>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</si>
  <si>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</si>
  <si>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</si>
  <si>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</si>
  <si>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</si>
  <si>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</si>
  <si>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</si>
  <si>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</si>
  <si>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</si>
  <si>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</si>
  <si>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</si>
  <si>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</si>
  <si>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</si>
  <si>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</si>
  <si>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</si>
  <si>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</si>
  <si>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</si>
  <si>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</si>
  <si>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</si>
  <si>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</si>
  <si>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</si>
  <si>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</si>
  <si>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</si>
  <si>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</si>
  <si>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</si>
  <si>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</si>
  <si>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</si>
  <si>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</si>
  <si>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</si>
  <si>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</si>
  <si>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</si>
  <si>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</si>
  <si>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</si>
  <si>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</si>
  <si>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</si>
  <si>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</si>
  <si>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</si>
  <si>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</si>
  <si>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</si>
  <si>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</si>
  <si>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</si>
  <si>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</si>
  <si>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</si>
  <si>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</si>
  <si>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</si>
  <si>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</si>
  <si>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</si>
  <si>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</si>
  <si>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</si>
  <si>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</si>
  <si>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</si>
  <si>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</si>
  <si>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</si>
  <si>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</si>
  <si>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</si>
  <si>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</si>
  <si>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</si>
  <si>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</si>
  <si>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</si>
  <si>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</si>
  <si>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</si>
  <si>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</si>
  <si>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</si>
  <si>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</si>
  <si>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</si>
  <si>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</si>
  <si>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</si>
  <si>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</si>
  <si>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</si>
  <si>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</si>
  <si>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</si>
  <si>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</si>
  <si>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</si>
  <si>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</si>
  <si>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</si>
  <si>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</si>
  <si>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</si>
  <si>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</si>
  <si>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</si>
  <si>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</si>
  <si>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</si>
  <si>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</si>
  <si>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</si>
  <si>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</si>
  <si>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</si>
  <si>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</si>
  <si>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</si>
  <si>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</si>
  <si>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</si>
  <si>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</si>
  <si>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</si>
  <si>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</si>
  <si>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</si>
  <si>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</si>
  <si>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</si>
  <si>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</si>
  <si>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</si>
  <si>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</si>
  <si>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</si>
  <si>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</si>
  <si>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</si>
  <si>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</si>
  <si>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</si>
  <si>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</si>
  <si>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</si>
  <si>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</si>
  <si>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</si>
  <si>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</si>
  <si>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</si>
  <si>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</si>
  <si>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</si>
  <si>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</si>
  <si>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</si>
  <si>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</si>
  <si>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</si>
  <si>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</si>
  <si>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</si>
  <si>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</si>
  <si>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</si>
  <si>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</si>
  <si>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</si>
  <si>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</si>
  <si>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</si>
  <si>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</si>
  <si>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</si>
  <si>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</si>
  <si>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</si>
  <si>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</si>
  <si>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</si>
  <si>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</si>
  <si>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</si>
  <si>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</si>
  <si>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</si>
  <si>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</si>
  <si>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</si>
  <si>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</si>
  <si>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</si>
  <si>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</si>
  <si>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</si>
  <si>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</si>
  <si>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</si>
  <si>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</si>
  <si>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</si>
  <si>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</si>
  <si>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</si>
  <si>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</si>
  <si>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</si>
  <si>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</si>
  <si>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</si>
  <si>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</si>
  <si>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</si>
  <si>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</si>
  <si>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</si>
  <si>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</si>
  <si>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</si>
  <si>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</si>
  <si>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</si>
  <si>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</si>
  <si>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</si>
  <si>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</si>
  <si>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</si>
  <si>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</si>
  <si>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</si>
  <si>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</si>
  <si>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</si>
  <si>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</si>
  <si>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</si>
  <si>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</si>
  <si>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</si>
  <si>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</si>
  <si>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</si>
  <si>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</si>
  <si>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</si>
  <si>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</si>
  <si>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</si>
  <si>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</si>
  <si>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</si>
  <si>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</si>
  <si>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</si>
  <si>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</si>
  <si>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</si>
  <si>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</si>
  <si>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</si>
  <si>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</si>
  <si>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</si>
  <si>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</si>
  <si>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</si>
  <si>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</si>
  <si>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</si>
  <si>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</si>
  <si>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</si>
  <si>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</si>
  <si>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</si>
  <si>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</si>
  <si>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</si>
  <si>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</si>
  <si>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</si>
  <si>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</si>
  <si>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</si>
  <si>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</si>
  <si>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</si>
  <si>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</si>
  <si>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</si>
  <si>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</si>
  <si>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</si>
  <si>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</si>
  <si>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</si>
  <si>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</si>
  <si>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</si>
  <si>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</si>
  <si>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</si>
  <si>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</si>
  <si>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</si>
  <si>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</si>
  <si>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</si>
  <si>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</si>
  <si>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</si>
  <si>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</si>
  <si>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</si>
  <si>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</si>
  <si>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</si>
  <si>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</si>
  <si>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</si>
  <si>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</si>
  <si>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</si>
  <si>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</si>
  <si>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</si>
  <si>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</si>
  <si>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</si>
  <si>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</si>
  <si>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</si>
  <si>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</si>
  <si>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</si>
  <si>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</si>
  <si>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</si>
  <si>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</si>
  <si>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</si>
  <si>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</si>
  <si>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</si>
  <si>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</si>
  <si>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</si>
  <si>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</si>
  <si>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</si>
  <si>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</si>
  <si>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</si>
  <si>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</si>
  <si>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</si>
  <si>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</si>
  <si>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</si>
  <si>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</si>
  <si>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</si>
  <si>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</si>
  <si>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</si>
  <si>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</si>
  <si>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</si>
  <si>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</si>
  <si>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</si>
  <si>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</si>
  <si>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</si>
  <si>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</si>
  <si>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</si>
  <si>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</si>
  <si>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</si>
  <si>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</si>
  <si>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</si>
  <si>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</si>
  <si>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</si>
  <si>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</si>
  <si>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</si>
  <si>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</si>
  <si>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</si>
  <si>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</si>
  <si>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</si>
  <si>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</si>
  <si>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</si>
  <si>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</si>
  <si>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</si>
  <si>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</si>
  <si>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</si>
  <si>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</si>
  <si>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</si>
  <si>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</si>
  <si>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</si>
  <si>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</si>
  <si>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</si>
  <si>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叶凌</t>
  </si>
  <si>
    <t>陈颖</t>
  </si>
  <si>
    <t>评估日期</t>
  </si>
  <si>
    <t>贷款机构</t>
  </si>
  <si>
    <t>记录时间</t>
    <phoneticPr fontId="4" type="noConversion"/>
  </si>
  <si>
    <t>康正代办</t>
    <phoneticPr fontId="4" type="noConversion"/>
  </si>
  <si>
    <t>更改日期</t>
    <phoneticPr fontId="4" type="noConversion"/>
  </si>
  <si>
    <t>评估通知单</t>
    <phoneticPr fontId="4" type="noConversion"/>
  </si>
  <si>
    <t>仅限于抵押物</t>
    <phoneticPr fontId="4" type="noConversion"/>
  </si>
  <si>
    <t>序号</t>
    <phoneticPr fontId="4" type="noConversion"/>
  </si>
  <si>
    <t>姓名</t>
  </si>
  <si>
    <t>身份证号</t>
  </si>
  <si>
    <t>联系电话</t>
  </si>
  <si>
    <t>所在区县</t>
  </si>
  <si>
    <t>居住区名</t>
    <phoneticPr fontId="4" type="noConversion"/>
  </si>
  <si>
    <t>组团名</t>
    <phoneticPr fontId="4" type="noConversion"/>
  </si>
  <si>
    <t>楼号</t>
    <phoneticPr fontId="4" type="noConversion"/>
  </si>
  <si>
    <t>单元</t>
    <phoneticPr fontId="4" type="noConversion"/>
  </si>
  <si>
    <t>门牌号</t>
    <phoneticPr fontId="4" type="noConversion"/>
  </si>
  <si>
    <t>开发商(产权人)</t>
  </si>
  <si>
    <t>面积M2</t>
  </si>
  <si>
    <t>第几层</t>
    <phoneticPr fontId="4" type="noConversion"/>
  </si>
  <si>
    <t>楼户型</t>
    <phoneticPr fontId="4" type="noConversion"/>
  </si>
  <si>
    <t>套内建</t>
    <phoneticPr fontId="4" type="noConversion"/>
  </si>
  <si>
    <t>单元住宅类型</t>
    <phoneticPr fontId="4" type="noConversion"/>
  </si>
  <si>
    <t>成交总价</t>
    <phoneticPr fontId="4" type="noConversion"/>
  </si>
  <si>
    <t>建面成交单价</t>
    <phoneticPr fontId="4" type="noConversion"/>
  </si>
  <si>
    <t>评估总额</t>
  </si>
  <si>
    <t>评估总额(万元)</t>
  </si>
  <si>
    <t>建面评估单价(元/M2)</t>
    <phoneticPr fontId="4" type="noConversion"/>
  </si>
  <si>
    <t>风险率</t>
  </si>
  <si>
    <t>最高抵押额</t>
  </si>
  <si>
    <t>大写</t>
  </si>
  <si>
    <r>
      <t>年</t>
    </r>
    <r>
      <rPr>
        <sz val="12"/>
        <color indexed="8"/>
        <rFont val="Times New Roman"/>
        <family val="1"/>
      </rPr>
      <t/>
    </r>
    <phoneticPr fontId="4" type="noConversion"/>
  </si>
  <si>
    <t>月</t>
    <phoneticPr fontId="4" type="noConversion"/>
  </si>
  <si>
    <t>日</t>
    <phoneticPr fontId="4" type="noConversion"/>
  </si>
  <si>
    <t>收费</t>
  </si>
  <si>
    <t>资金管理中心</t>
    <phoneticPr fontId="4" type="noConversion"/>
  </si>
  <si>
    <t>申请人编号</t>
    <phoneticPr fontId="4" type="noConversion"/>
  </si>
  <si>
    <t>评估人</t>
  </si>
  <si>
    <t>工程进度</t>
  </si>
  <si>
    <t>结论</t>
  </si>
  <si>
    <t>备注</t>
    <phoneticPr fontId="4" type="noConversion"/>
  </si>
  <si>
    <t>复核人</t>
    <phoneticPr fontId="4" type="noConversion"/>
  </si>
  <si>
    <t>交付时间</t>
    <phoneticPr fontId="4" type="noConversion"/>
  </si>
  <si>
    <t>评估月份</t>
    <phoneticPr fontId="4" type="noConversion"/>
  </si>
  <si>
    <t>房屋剩余年限</t>
    <phoneticPr fontId="4" type="noConversion"/>
  </si>
  <si>
    <t>房屋所有权证</t>
    <phoneticPr fontId="4" type="noConversion"/>
  </si>
  <si>
    <t>周次</t>
    <phoneticPr fontId="4" type="noConversion"/>
  </si>
  <si>
    <t>编号</t>
    <phoneticPr fontId="4" type="noConversion"/>
  </si>
  <si>
    <t>制作人</t>
    <phoneticPr fontId="4" type="noConversion"/>
  </si>
  <si>
    <t>变更内容</t>
    <phoneticPr fontId="4" type="noConversion"/>
  </si>
  <si>
    <t>年</t>
    <phoneticPr fontId="4" type="noConversion"/>
  </si>
  <si>
    <t>更改内容</t>
    <phoneticPr fontId="4" type="noConversion"/>
  </si>
  <si>
    <t>抵押注记</t>
    <phoneticPr fontId="4" type="noConversion"/>
  </si>
  <si>
    <t>合同类型</t>
    <phoneticPr fontId="4" type="noConversion"/>
  </si>
  <si>
    <t>合同特定编号</t>
    <phoneticPr fontId="4" type="noConversion"/>
  </si>
  <si>
    <t>合同编号</t>
    <phoneticPr fontId="4" type="noConversion"/>
  </si>
  <si>
    <t>出卖人</t>
    <phoneticPr fontId="4" type="noConversion"/>
  </si>
  <si>
    <t>注册地址</t>
    <phoneticPr fontId="4" type="noConversion"/>
  </si>
  <si>
    <t>营业执照注册号</t>
    <phoneticPr fontId="4" type="noConversion"/>
  </si>
  <si>
    <t>法定代表人</t>
    <phoneticPr fontId="4" type="noConversion"/>
  </si>
  <si>
    <t>邮政编码</t>
    <phoneticPr fontId="4" type="noConversion"/>
  </si>
  <si>
    <t>联系电话</t>
    <phoneticPr fontId="4" type="noConversion"/>
  </si>
  <si>
    <t>层高（米）</t>
    <phoneticPr fontId="4" type="noConversion"/>
  </si>
  <si>
    <t>交易日期</t>
    <phoneticPr fontId="4" type="noConversion"/>
  </si>
  <si>
    <t>缺失备注</t>
    <phoneticPr fontId="4" type="noConversion"/>
  </si>
  <si>
    <t>补充人</t>
    <phoneticPr fontId="4" type="noConversion"/>
  </si>
  <si>
    <t>出具日期</t>
    <phoneticPr fontId="4" type="noConversion"/>
  </si>
  <si>
    <t>释放清单出具日期</t>
    <phoneticPr fontId="4" type="noConversion"/>
  </si>
  <si>
    <t>销售方式</t>
    <phoneticPr fontId="4" type="noConversion"/>
  </si>
  <si>
    <t>交易情况</t>
    <phoneticPr fontId="4" type="noConversion"/>
  </si>
  <si>
    <t>交易方式</t>
    <phoneticPr fontId="4" type="noConversion"/>
  </si>
  <si>
    <t>价格内涵</t>
    <phoneticPr fontId="4" type="noConversion"/>
  </si>
  <si>
    <t>评估套内单价</t>
    <phoneticPr fontId="4" type="noConversion"/>
  </si>
  <si>
    <t>套内单价</t>
    <phoneticPr fontId="4" type="noConversion"/>
  </si>
  <si>
    <t>2009-2-CP-00384-U</t>
    <phoneticPr fontId="4" type="noConversion"/>
  </si>
  <si>
    <t>王楠</t>
    <phoneticPr fontId="4" type="noConversion"/>
  </si>
  <si>
    <t>110101198112202525</t>
    <phoneticPr fontId="4" type="noConversion"/>
  </si>
  <si>
    <t>13810332442</t>
    <phoneticPr fontId="4" type="noConversion"/>
  </si>
  <si>
    <t>劲松六区</t>
    <phoneticPr fontId="4" type="noConversion"/>
  </si>
  <si>
    <t>608号楼</t>
    <phoneticPr fontId="4" type="noConversion"/>
  </si>
  <si>
    <t>9门</t>
    <phoneticPr fontId="4" type="noConversion"/>
  </si>
  <si>
    <t>915号</t>
    <phoneticPr fontId="4" type="noConversion"/>
  </si>
  <si>
    <t>刘爱玲</t>
    <phoneticPr fontId="4" type="noConversion"/>
  </si>
  <si>
    <t>5</t>
    <phoneticPr fontId="4" type="noConversion"/>
  </si>
  <si>
    <t>三室一厅一卫一厨</t>
    <phoneticPr fontId="4" type="noConversion"/>
  </si>
  <si>
    <t>复式、平层√、跃层、错层</t>
    <phoneticPr fontId="4" type="noConversion"/>
  </si>
  <si>
    <t>北京住房公积金管理中心住房公积金贷款中心</t>
    <phoneticPr fontId="4" type="noConversion"/>
  </si>
  <si>
    <t>91302009011164</t>
    <phoneticPr fontId="4" type="noConversion"/>
  </si>
  <si>
    <t>范永刚</t>
    <phoneticPr fontId="4" type="noConversion"/>
  </si>
  <si>
    <t>现房</t>
    <phoneticPr fontId="4" type="noConversion"/>
  </si>
  <si>
    <t>可抵押商品住宅</t>
  </si>
  <si>
    <t>李晓岩</t>
    <phoneticPr fontId="4" type="noConversion"/>
  </si>
  <si>
    <t>一</t>
    <phoneticPr fontId="4" type="noConversion"/>
  </si>
  <si>
    <t>二</t>
    <phoneticPr fontId="4" type="noConversion"/>
  </si>
  <si>
    <t>孙岳</t>
    <phoneticPr fontId="4" type="noConversion"/>
  </si>
  <si>
    <t>新增</t>
    <phoneticPr fontId="4" type="noConversion"/>
  </si>
  <si>
    <t>买卖合同</t>
    <phoneticPr fontId="4" type="noConversion"/>
  </si>
  <si>
    <t>二手房</t>
    <phoneticPr fontId="4" type="noConversion"/>
  </si>
  <si>
    <t>正常</t>
    <phoneticPr fontId="4" type="noConversion"/>
  </si>
  <si>
    <t>中介</t>
    <phoneticPr fontId="4" type="noConversion"/>
  </si>
  <si>
    <t>不含任何税费</t>
    <phoneticPr fontId="4" type="noConversion"/>
  </si>
  <si>
    <t>2009-2-CP-00802-GU</t>
    <phoneticPr fontId="4" type="noConversion"/>
  </si>
  <si>
    <t>王强</t>
    <phoneticPr fontId="4" type="noConversion"/>
  </si>
  <si>
    <t>110103197511220614</t>
    <phoneticPr fontId="4" type="noConversion"/>
  </si>
  <si>
    <t>劲松四区</t>
    <phoneticPr fontId="4" type="noConversion"/>
  </si>
  <si>
    <t>414楼</t>
    <phoneticPr fontId="4" type="noConversion"/>
  </si>
  <si>
    <t>1门9层</t>
    <phoneticPr fontId="4" type="noConversion"/>
  </si>
  <si>
    <t>905号</t>
    <phoneticPr fontId="4" type="noConversion"/>
  </si>
  <si>
    <t>姜世伟</t>
    <phoneticPr fontId="4" type="noConversion"/>
  </si>
  <si>
    <t>二室一卫一厨</t>
    <phoneticPr fontId="4" type="noConversion"/>
  </si>
  <si>
    <t>91302009020573</t>
    <phoneticPr fontId="4" type="noConversion"/>
  </si>
  <si>
    <t>徐墨云</t>
    <phoneticPr fontId="4" type="noConversion"/>
  </si>
  <si>
    <t xml:space="preserve"> </t>
    <phoneticPr fontId="4" type="noConversion"/>
  </si>
  <si>
    <t>京房权证朝私08字第355940号</t>
    <phoneticPr fontId="4" type="noConversion"/>
  </si>
  <si>
    <t>四</t>
    <phoneticPr fontId="4" type="noConversion"/>
  </si>
  <si>
    <t>2009-2-CP-01720-GU</t>
    <phoneticPr fontId="4" type="noConversion"/>
  </si>
  <si>
    <t>干颖</t>
    <phoneticPr fontId="4" type="noConversion"/>
  </si>
  <si>
    <t>110105197309112145</t>
    <phoneticPr fontId="4" type="noConversion"/>
  </si>
  <si>
    <t>劲松4区</t>
    <phoneticPr fontId="4" type="noConversion"/>
  </si>
  <si>
    <t>1门</t>
    <phoneticPr fontId="4" type="noConversion"/>
  </si>
  <si>
    <t>403号</t>
    <phoneticPr fontId="4" type="noConversion"/>
  </si>
  <si>
    <t>刘群</t>
    <phoneticPr fontId="4" type="noConversion"/>
  </si>
  <si>
    <t>4</t>
    <phoneticPr fontId="4" type="noConversion"/>
  </si>
  <si>
    <t>一室一厅一卫一厨</t>
    <phoneticPr fontId="4" type="noConversion"/>
  </si>
  <si>
    <t>北京住房公积金管理中心住房公积金贷款中心</t>
  </si>
  <si>
    <t>91302009030647</t>
    <phoneticPr fontId="4" type="noConversion"/>
  </si>
  <si>
    <t>三</t>
    <phoneticPr fontId="4" type="noConversion"/>
  </si>
  <si>
    <t>京房权证朝私字第101535号</t>
    <phoneticPr fontId="4" type="noConversion"/>
  </si>
  <si>
    <t>2009-2-CP-01782-GU</t>
    <phoneticPr fontId="4" type="noConversion"/>
  </si>
  <si>
    <t>陈哲</t>
    <phoneticPr fontId="4" type="noConversion"/>
  </si>
  <si>
    <t>230703198002090123</t>
    <phoneticPr fontId="4" type="noConversion"/>
  </si>
  <si>
    <t>13120489593</t>
    <phoneticPr fontId="4" type="noConversion"/>
  </si>
  <si>
    <t>劲松一区</t>
    <phoneticPr fontId="4" type="noConversion"/>
  </si>
  <si>
    <t>134号楼</t>
    <phoneticPr fontId="4" type="noConversion"/>
  </si>
  <si>
    <t>4门</t>
    <phoneticPr fontId="4" type="noConversion"/>
  </si>
  <si>
    <t>13号</t>
    <phoneticPr fontId="4" type="noConversion"/>
  </si>
  <si>
    <t>刘振海</t>
    <phoneticPr fontId="4" type="noConversion"/>
  </si>
  <si>
    <t>二室一厅一卫一厨</t>
    <phoneticPr fontId="4" type="noConversion"/>
  </si>
  <si>
    <t>京房权证朝私字第166066号</t>
    <phoneticPr fontId="16" type="noConversion"/>
  </si>
  <si>
    <t>刘影</t>
    <phoneticPr fontId="4" type="noConversion"/>
  </si>
  <si>
    <t>合同</t>
    <phoneticPr fontId="4" type="noConversion"/>
  </si>
  <si>
    <t>C</t>
    <phoneticPr fontId="4" type="noConversion"/>
  </si>
  <si>
    <t>57899</t>
    <phoneticPr fontId="4" type="noConversion"/>
  </si>
  <si>
    <t>2009-2-CP-01783-GU</t>
    <phoneticPr fontId="4" type="noConversion"/>
  </si>
  <si>
    <t>傅长春</t>
    <phoneticPr fontId="4" type="noConversion"/>
  </si>
  <si>
    <t>110103196302201551</t>
    <phoneticPr fontId="4" type="noConversion"/>
  </si>
  <si>
    <t>劲松6区</t>
    <phoneticPr fontId="4" type="noConversion"/>
  </si>
  <si>
    <t>405号</t>
    <phoneticPr fontId="4" type="noConversion"/>
  </si>
  <si>
    <t>薛雯</t>
    <phoneticPr fontId="4" type="noConversion"/>
  </si>
  <si>
    <t>二室一厅一卫一厨</t>
  </si>
  <si>
    <t>91302009030179</t>
    <phoneticPr fontId="4" type="noConversion"/>
  </si>
  <si>
    <t>现房</t>
  </si>
  <si>
    <t>京房权证朝私字第211114号</t>
    <phoneticPr fontId="4" type="noConversion"/>
  </si>
  <si>
    <t>戴钧</t>
    <phoneticPr fontId="4" type="noConversion"/>
  </si>
  <si>
    <t>2009-2-CP-03923-GU</t>
    <phoneticPr fontId="4" type="noConversion"/>
  </si>
  <si>
    <t>汪鹏</t>
    <phoneticPr fontId="4" type="noConversion"/>
  </si>
  <si>
    <t>130681197601060634</t>
    <phoneticPr fontId="4" type="noConversion"/>
  </si>
  <si>
    <t>13683137883</t>
    <phoneticPr fontId="4" type="noConversion"/>
  </si>
  <si>
    <t>劲松西口广和南里二条</t>
    <phoneticPr fontId="4" type="noConversion"/>
  </si>
  <si>
    <t>14号楼</t>
    <phoneticPr fontId="4" type="noConversion"/>
  </si>
  <si>
    <t>1411号</t>
    <phoneticPr fontId="4" type="noConversion"/>
  </si>
  <si>
    <t>刘根禄</t>
    <phoneticPr fontId="4" type="noConversion"/>
  </si>
  <si>
    <t>91302009042781</t>
    <phoneticPr fontId="4" type="noConversion"/>
  </si>
  <si>
    <t>京房权证朝私04字第67273号</t>
    <phoneticPr fontId="4" type="noConversion"/>
  </si>
  <si>
    <t>新增</t>
  </si>
  <si>
    <t xml:space="preserve"> </t>
  </si>
  <si>
    <t>2009-2-CP-07675-GU</t>
    <phoneticPr fontId="4" type="noConversion"/>
  </si>
  <si>
    <t>王振云</t>
    <phoneticPr fontId="4" type="noConversion"/>
  </si>
  <si>
    <t>110103195812171212</t>
    <phoneticPr fontId="4" type="noConversion"/>
  </si>
  <si>
    <t>13641295360</t>
    <phoneticPr fontId="4" type="noConversion"/>
  </si>
  <si>
    <t>324号楼</t>
    <phoneticPr fontId="4" type="noConversion"/>
  </si>
  <si>
    <t>416号</t>
    <phoneticPr fontId="4" type="noConversion"/>
  </si>
  <si>
    <t>娄安民</t>
    <phoneticPr fontId="4" type="noConversion"/>
  </si>
  <si>
    <t>91302009061646</t>
    <phoneticPr fontId="4" type="noConversion"/>
  </si>
  <si>
    <t>高鹏</t>
    <phoneticPr fontId="4" type="noConversion"/>
  </si>
  <si>
    <t>二手房</t>
  </si>
  <si>
    <t>李晓岩</t>
  </si>
  <si>
    <t>六</t>
    <phoneticPr fontId="4" type="noConversion"/>
  </si>
  <si>
    <t>五</t>
    <phoneticPr fontId="4" type="noConversion"/>
  </si>
  <si>
    <t>2009-2-CP-00197-U</t>
    <phoneticPr fontId="4" type="noConversion"/>
  </si>
  <si>
    <t>杨云</t>
    <phoneticPr fontId="4" type="noConversion"/>
  </si>
  <si>
    <t>433001197203080022</t>
    <phoneticPr fontId="4" type="noConversion"/>
  </si>
  <si>
    <t>13683153076</t>
    <phoneticPr fontId="4" type="noConversion"/>
  </si>
  <si>
    <t>朝阳区</t>
    <phoneticPr fontId="4" type="noConversion"/>
  </si>
  <si>
    <t>潘家园</t>
    <phoneticPr fontId="4" type="noConversion"/>
  </si>
  <si>
    <t>38号楼</t>
    <phoneticPr fontId="4" type="noConversion"/>
  </si>
  <si>
    <t>13层</t>
    <phoneticPr fontId="4" type="noConversion"/>
  </si>
  <si>
    <t>1308号</t>
    <phoneticPr fontId="4" type="noConversion"/>
  </si>
  <si>
    <t>13</t>
    <phoneticPr fontId="4" type="noConversion"/>
  </si>
  <si>
    <t>复式、平层√、跃层、错层</t>
    <phoneticPr fontId="4" type="noConversion"/>
  </si>
  <si>
    <t>北京住房公积金管理中心住房公积金贷款中心</t>
    <phoneticPr fontId="4" type="noConversion"/>
  </si>
  <si>
    <t>91302009010587</t>
    <phoneticPr fontId="4" type="noConversion"/>
  </si>
  <si>
    <t>范永刚</t>
    <phoneticPr fontId="4" type="noConversion"/>
  </si>
  <si>
    <t>现房</t>
    <phoneticPr fontId="4" type="noConversion"/>
  </si>
  <si>
    <t>李晓岩</t>
    <phoneticPr fontId="4" type="noConversion"/>
  </si>
  <si>
    <t>二</t>
    <phoneticPr fontId="4" type="noConversion"/>
  </si>
  <si>
    <t>X京房权证朝字第634076号</t>
    <phoneticPr fontId="4" type="noConversion"/>
  </si>
  <si>
    <t>一</t>
    <phoneticPr fontId="4" type="noConversion"/>
  </si>
  <si>
    <t>刘娇</t>
    <phoneticPr fontId="4" type="noConversion"/>
  </si>
  <si>
    <t>新增</t>
    <phoneticPr fontId="4" type="noConversion"/>
  </si>
  <si>
    <t>买卖合同</t>
    <phoneticPr fontId="4" type="noConversion"/>
  </si>
  <si>
    <t>唐绍钧</t>
    <phoneticPr fontId="4" type="noConversion"/>
  </si>
  <si>
    <t>二手房</t>
    <phoneticPr fontId="4" type="noConversion"/>
  </si>
  <si>
    <t>正常</t>
    <phoneticPr fontId="4" type="noConversion"/>
  </si>
  <si>
    <t>中介</t>
    <phoneticPr fontId="4" type="noConversion"/>
  </si>
  <si>
    <t>不含任何税费</t>
    <phoneticPr fontId="4" type="noConversion"/>
  </si>
  <si>
    <t>2009-2-CP-00755-GU</t>
    <phoneticPr fontId="4" type="noConversion"/>
  </si>
  <si>
    <t>杨蕾、杨永颐</t>
    <phoneticPr fontId="4" type="noConversion"/>
  </si>
  <si>
    <t>110105198303286165、110105194502236138</t>
    <phoneticPr fontId="4" type="noConversion"/>
  </si>
  <si>
    <t>13810069456</t>
    <phoneticPr fontId="4" type="noConversion"/>
  </si>
  <si>
    <t>潘家园东里</t>
    <phoneticPr fontId="4" type="noConversion"/>
  </si>
  <si>
    <t>31号楼</t>
    <phoneticPr fontId="4" type="noConversion"/>
  </si>
  <si>
    <t>413号</t>
    <phoneticPr fontId="4" type="noConversion"/>
  </si>
  <si>
    <t>滕盛萍</t>
    <phoneticPr fontId="4" type="noConversion"/>
  </si>
  <si>
    <t>二室一厅一卫一厨</t>
    <phoneticPr fontId="4" type="noConversion"/>
  </si>
  <si>
    <t>91302009020983</t>
    <phoneticPr fontId="4" type="noConversion"/>
  </si>
  <si>
    <t>徐墨云</t>
    <phoneticPr fontId="4" type="noConversion"/>
  </si>
  <si>
    <t>京房权证朝私字第320754号</t>
    <phoneticPr fontId="4" type="noConversion"/>
  </si>
  <si>
    <t>四</t>
    <phoneticPr fontId="4" type="noConversion"/>
  </si>
  <si>
    <t>张颖</t>
    <phoneticPr fontId="4" type="noConversion"/>
  </si>
  <si>
    <t>协议</t>
    <phoneticPr fontId="4" type="noConversion"/>
  </si>
  <si>
    <t>2009-2-CP-00783-GU</t>
    <phoneticPr fontId="4" type="noConversion"/>
  </si>
  <si>
    <t>杜家平</t>
    <phoneticPr fontId="4" type="noConversion"/>
  </si>
  <si>
    <t>110102195705312730</t>
    <phoneticPr fontId="4" type="noConversion"/>
  </si>
  <si>
    <t>13810056890</t>
    <phoneticPr fontId="4" type="noConversion"/>
  </si>
  <si>
    <t>27号楼</t>
    <phoneticPr fontId="4" type="noConversion"/>
  </si>
  <si>
    <t>407号</t>
    <phoneticPr fontId="4" type="noConversion"/>
  </si>
  <si>
    <t>焦双亭</t>
    <phoneticPr fontId="4" type="noConversion"/>
  </si>
  <si>
    <t>91302009020681</t>
    <phoneticPr fontId="4" type="noConversion"/>
  </si>
  <si>
    <t>京房权证朝私字第321027号</t>
    <phoneticPr fontId="4" type="noConversion"/>
  </si>
  <si>
    <t>合同</t>
    <phoneticPr fontId="4" type="noConversion"/>
  </si>
  <si>
    <t>C</t>
    <phoneticPr fontId="4" type="noConversion"/>
  </si>
  <si>
    <t>53343</t>
    <phoneticPr fontId="4" type="noConversion"/>
  </si>
  <si>
    <t>2009-2-CP-01764-GU</t>
    <phoneticPr fontId="4" type="noConversion"/>
  </si>
  <si>
    <t>王涛</t>
    <phoneticPr fontId="4" type="noConversion"/>
  </si>
  <si>
    <t>110116198311163612</t>
    <phoneticPr fontId="4" type="noConversion"/>
  </si>
  <si>
    <t>潘家园东里</t>
    <phoneticPr fontId="16" type="noConversion"/>
  </si>
  <si>
    <t>3号楼</t>
    <phoneticPr fontId="4" type="noConversion"/>
  </si>
  <si>
    <t>3门</t>
    <phoneticPr fontId="4" type="noConversion"/>
  </si>
  <si>
    <t>611号</t>
    <phoneticPr fontId="4" type="noConversion"/>
  </si>
  <si>
    <t>吴淑霞</t>
    <phoneticPr fontId="4" type="noConversion"/>
  </si>
  <si>
    <t>6</t>
    <phoneticPr fontId="4" type="noConversion"/>
  </si>
  <si>
    <t>京房权证朝私06字第215828号</t>
    <phoneticPr fontId="4" type="noConversion"/>
  </si>
  <si>
    <t>孙岳</t>
    <phoneticPr fontId="4" type="noConversion"/>
  </si>
  <si>
    <t>2009-2-CP-03741-GU</t>
    <phoneticPr fontId="4" type="noConversion"/>
  </si>
  <si>
    <t>赵铁英、朱岩</t>
    <phoneticPr fontId="4" type="noConversion"/>
  </si>
  <si>
    <t>130105197911240936、11010519780801112X</t>
    <phoneticPr fontId="4" type="noConversion"/>
  </si>
  <si>
    <t>13811833177</t>
    <phoneticPr fontId="4" type="noConversion"/>
  </si>
  <si>
    <t>23号楼</t>
    <phoneticPr fontId="4" type="noConversion"/>
  </si>
  <si>
    <t>1门</t>
    <phoneticPr fontId="4" type="noConversion"/>
  </si>
  <si>
    <t>101号</t>
    <phoneticPr fontId="4" type="noConversion"/>
  </si>
  <si>
    <t>李露寒</t>
    <phoneticPr fontId="4" type="noConversion"/>
  </si>
  <si>
    <t>91302009041869</t>
    <phoneticPr fontId="4" type="noConversion"/>
  </si>
  <si>
    <t>京房权证朝私07字第346517号</t>
    <phoneticPr fontId="4" type="noConversion"/>
  </si>
  <si>
    <t>戴钧</t>
    <phoneticPr fontId="4" type="noConversion"/>
  </si>
  <si>
    <t xml:space="preserve"> </t>
    <phoneticPr fontId="4" type="noConversion"/>
  </si>
  <si>
    <t>2009-2-CP-08508-U</t>
    <phoneticPr fontId="4" type="noConversion"/>
  </si>
  <si>
    <t>曹丽静</t>
    <phoneticPr fontId="4" type="noConversion"/>
  </si>
  <si>
    <t>130102197805120341</t>
    <phoneticPr fontId="4" type="noConversion"/>
  </si>
  <si>
    <t>13911206206</t>
    <phoneticPr fontId="4" type="noConversion"/>
  </si>
  <si>
    <t>40号楼</t>
    <phoneticPr fontId="4" type="noConversion"/>
  </si>
  <si>
    <t>2005号</t>
    <phoneticPr fontId="4" type="noConversion"/>
  </si>
  <si>
    <t>李春利</t>
    <phoneticPr fontId="4" type="noConversion"/>
  </si>
  <si>
    <t>20</t>
    <phoneticPr fontId="4" type="noConversion"/>
  </si>
  <si>
    <t>六</t>
    <phoneticPr fontId="4" type="noConversion"/>
  </si>
  <si>
    <t>三</t>
    <phoneticPr fontId="4" type="noConversion"/>
  </si>
  <si>
    <t>总参谋部和平村退休干部住房建设工程指挥部</t>
    <phoneticPr fontId="7" type="noConversion"/>
  </si>
  <si>
    <t>核定资产</t>
  </si>
  <si>
    <t>房地产市场价值</t>
  </si>
  <si>
    <t>北京市</t>
  </si>
  <si>
    <t>朝阳区和平村</t>
    <phoneticPr fontId="7" type="noConversion"/>
  </si>
  <si>
    <t>企业</t>
  </si>
  <si>
    <t>仅计算典型户型</t>
  </si>
  <si>
    <t>住宅</t>
  </si>
  <si>
    <t>住宅</t>
    <phoneticPr fontId="20" type="noConversion"/>
  </si>
  <si>
    <t>正常</t>
  </si>
  <si>
    <t>60-70（含）</t>
  </si>
  <si>
    <t>2009-2-CP-01783-GU</t>
    <phoneticPr fontId="4" type="noConversion"/>
  </si>
  <si>
    <t>房屋状况</t>
  </si>
  <si>
    <t>土地使用</t>
  </si>
  <si>
    <t>情况</t>
  </si>
  <si>
    <t>他项权利</t>
  </si>
  <si>
    <t>录入修改时间</t>
  </si>
  <si>
    <t>编号</t>
  </si>
  <si>
    <t>房屋所有权证号</t>
  </si>
  <si>
    <t>房屋座落</t>
  </si>
  <si>
    <t>地号</t>
  </si>
  <si>
    <t>产别</t>
  </si>
  <si>
    <t>幢号</t>
  </si>
  <si>
    <t>房号</t>
  </si>
  <si>
    <t>结构</t>
  </si>
  <si>
    <t>房屋总层数</t>
  </si>
  <si>
    <t>设计用途</t>
  </si>
  <si>
    <t>建成年代</t>
  </si>
  <si>
    <t>朝向</t>
  </si>
  <si>
    <t>备注</t>
  </si>
  <si>
    <t>土地证号</t>
  </si>
  <si>
    <t>使用面积</t>
  </si>
  <si>
    <t>权属性质</t>
  </si>
  <si>
    <t>地权起年</t>
  </si>
  <si>
    <t>月</t>
  </si>
  <si>
    <t>日</t>
  </si>
  <si>
    <t>至年</t>
  </si>
  <si>
    <t>权利人</t>
  </si>
  <si>
    <t>权利种类</t>
  </si>
  <si>
    <t>权利范围</t>
  </si>
  <si>
    <t>权利价值</t>
  </si>
  <si>
    <t>设定日期</t>
  </si>
  <si>
    <t>约定期限</t>
  </si>
  <si>
    <t>注销日期</t>
  </si>
  <si>
    <t>土地使用年限</t>
  </si>
  <si>
    <t>录入修改人</t>
  </si>
  <si>
    <t>年</t>
  </si>
  <si>
    <t>周次</t>
  </si>
  <si>
    <t>房屋耐用年限</t>
    <phoneticPr fontId="16" type="noConversion"/>
  </si>
  <si>
    <t>剩余使用年限</t>
    <phoneticPr fontId="16" type="noConversion"/>
  </si>
  <si>
    <t>朝阳区劲松6区608号楼</t>
    <phoneticPr fontId="16" type="noConversion"/>
  </si>
  <si>
    <t>I-2-1-58（1）</t>
    <phoneticPr fontId="16" type="noConversion"/>
  </si>
  <si>
    <t>私有产</t>
    <phoneticPr fontId="16" type="noConversion"/>
  </si>
  <si>
    <t>4门405</t>
    <phoneticPr fontId="16" type="noConversion"/>
  </si>
  <si>
    <t>混合</t>
    <phoneticPr fontId="16" type="noConversion"/>
  </si>
  <si>
    <t>住宅</t>
    <phoneticPr fontId="16" type="noConversion"/>
  </si>
  <si>
    <t>南北</t>
    <phoneticPr fontId="16" type="noConversion"/>
  </si>
  <si>
    <t>戴钧</t>
    <phoneticPr fontId="16" type="noConversion"/>
  </si>
  <si>
    <t>二</t>
    <phoneticPr fontId="16" type="noConversion"/>
  </si>
  <si>
    <t>2009-2-CP-03923-GU</t>
    <phoneticPr fontId="4" type="noConversion"/>
  </si>
  <si>
    <t>京房权证朝私04字第67273号</t>
    <phoneticPr fontId="4" type="noConversion"/>
  </si>
  <si>
    <t>朝阳区劲松西口广和南里二条14号楼</t>
    <phoneticPr fontId="16" type="noConversion"/>
  </si>
  <si>
    <t>私有产</t>
    <phoneticPr fontId="16" type="noConversion"/>
  </si>
  <si>
    <t>现钢浇</t>
    <phoneticPr fontId="16" type="noConversion"/>
  </si>
  <si>
    <t>住宅</t>
    <phoneticPr fontId="16" type="noConversion"/>
  </si>
  <si>
    <t>南</t>
    <phoneticPr fontId="16" type="noConversion"/>
  </si>
  <si>
    <t>戴钧</t>
    <phoneticPr fontId="16" type="noConversion"/>
  </si>
  <si>
    <t>四</t>
    <phoneticPr fontId="16" type="noConversion"/>
  </si>
  <si>
    <t>2009-2-CP-07675-GU</t>
    <phoneticPr fontId="4" type="noConversion"/>
  </si>
  <si>
    <t>京房权证朝私字第109506号</t>
    <phoneticPr fontId="16" type="noConversion"/>
  </si>
  <si>
    <t>朝阳区劲松三区324号楼</t>
    <phoneticPr fontId="16" type="noConversion"/>
  </si>
  <si>
    <t>I-2-1-67（2）</t>
    <phoneticPr fontId="16" type="noConversion"/>
  </si>
  <si>
    <t>4门416</t>
    <phoneticPr fontId="16" type="noConversion"/>
  </si>
  <si>
    <t>混合</t>
    <phoneticPr fontId="16" type="noConversion"/>
  </si>
  <si>
    <t>南北</t>
    <phoneticPr fontId="16" type="noConversion"/>
  </si>
  <si>
    <t>五</t>
    <phoneticPr fontId="16" type="noConversion"/>
  </si>
  <si>
    <t>居室</t>
  </si>
  <si>
    <t>厨房</t>
  </si>
  <si>
    <t>卫生间</t>
  </si>
  <si>
    <t>公共部分</t>
  </si>
  <si>
    <t>序号</t>
  </si>
  <si>
    <t>小区名称</t>
  </si>
  <si>
    <t>楼号</t>
  </si>
  <si>
    <t>标准</t>
  </si>
  <si>
    <t>屋面</t>
  </si>
  <si>
    <t>外墙面</t>
  </si>
  <si>
    <t>外门窗</t>
  </si>
  <si>
    <t>天棚</t>
  </si>
  <si>
    <t>内墙面</t>
  </si>
  <si>
    <t>楼面</t>
  </si>
  <si>
    <t>内门</t>
  </si>
  <si>
    <t>建筑装饰配件及附属设备</t>
  </si>
  <si>
    <t xml:space="preserve"> 大堂</t>
  </si>
  <si>
    <t>门廊</t>
  </si>
  <si>
    <t>楼梯间</t>
  </si>
  <si>
    <t>特色</t>
  </si>
  <si>
    <t>供水</t>
  </si>
  <si>
    <t>排水</t>
  </si>
  <si>
    <t>供电</t>
  </si>
  <si>
    <t>采暖</t>
  </si>
  <si>
    <t>燃气</t>
  </si>
  <si>
    <t>通讯</t>
  </si>
  <si>
    <t>通风</t>
  </si>
  <si>
    <t>消防</t>
  </si>
  <si>
    <t>计量</t>
  </si>
  <si>
    <t>保安</t>
  </si>
  <si>
    <t>电梯</t>
  </si>
  <si>
    <t>停车</t>
  </si>
  <si>
    <t>物业管理</t>
  </si>
  <si>
    <t>居住区类型</t>
  </si>
  <si>
    <t>商服中心等级</t>
  </si>
  <si>
    <t>道路级别</t>
  </si>
  <si>
    <t>公交</t>
  </si>
  <si>
    <t>配套</t>
  </si>
  <si>
    <t>基础供气</t>
  </si>
  <si>
    <t>绿地率</t>
  </si>
  <si>
    <t>公共绿地</t>
  </si>
  <si>
    <t>楼宇类型</t>
  </si>
  <si>
    <t>环境</t>
  </si>
  <si>
    <t>积聚程度</t>
  </si>
  <si>
    <t>基础设施</t>
  </si>
  <si>
    <t>居住密度</t>
  </si>
  <si>
    <t>园林绿化</t>
  </si>
  <si>
    <t>录入人</t>
  </si>
  <si>
    <t>修改人</t>
  </si>
  <si>
    <t>变更类型</t>
  </si>
  <si>
    <t>建成年代</t>
    <phoneticPr fontId="4" type="noConversion"/>
  </si>
  <si>
    <t>朝向</t>
    <phoneticPr fontId="4" type="noConversion"/>
  </si>
  <si>
    <t>贷款额度</t>
    <phoneticPr fontId="4" type="noConversion"/>
  </si>
  <si>
    <t>贷款年限</t>
    <phoneticPr fontId="4" type="noConversion"/>
  </si>
  <si>
    <t>劲松三区</t>
    <phoneticPr fontId="4" type="noConversion"/>
  </si>
  <si>
    <t>324号楼4-416</t>
    <phoneticPr fontId="4" type="noConversion"/>
  </si>
  <si>
    <t>涂料</t>
    <phoneticPr fontId="4" type="noConversion"/>
  </si>
  <si>
    <t>外窗：塑钢窗，户门：防盗门</t>
    <phoneticPr fontId="4" type="noConversion"/>
  </si>
  <si>
    <t>PVC吊顶</t>
    <phoneticPr fontId="4" type="noConversion"/>
  </si>
  <si>
    <t>瓷砖</t>
    <phoneticPr fontId="4" type="noConversion"/>
  </si>
  <si>
    <t>地砖</t>
    <phoneticPr fontId="4" type="noConversion"/>
  </si>
  <si>
    <t>普通木门</t>
    <phoneticPr fontId="4" type="noConversion"/>
  </si>
  <si>
    <t>洗菜池</t>
    <phoneticPr fontId="4" type="noConversion"/>
  </si>
  <si>
    <t>面盆、座便器</t>
    <phoneticPr fontId="4" type="noConversion"/>
  </si>
  <si>
    <t>水泥地面、涂料墙面</t>
    <phoneticPr fontId="4" type="noConversion"/>
  </si>
  <si>
    <t>市政供水</t>
    <phoneticPr fontId="4" type="noConversion"/>
  </si>
  <si>
    <t>市政排水</t>
    <phoneticPr fontId="4" type="noConversion"/>
  </si>
  <si>
    <t>市政供电</t>
  </si>
  <si>
    <t>小区集中供暖</t>
    <phoneticPr fontId="4" type="noConversion"/>
  </si>
  <si>
    <t>管道天然气</t>
    <phoneticPr fontId="4" type="noConversion"/>
  </si>
  <si>
    <t>电话线、有线电视入户</t>
    <phoneticPr fontId="4" type="noConversion"/>
  </si>
  <si>
    <t>消防井</t>
    <phoneticPr fontId="4" type="noConversion"/>
  </si>
  <si>
    <t>电表磁卡计费</t>
    <phoneticPr fontId="4" type="noConversion"/>
  </si>
  <si>
    <t>电子门禁</t>
    <phoneticPr fontId="4" type="noConversion"/>
  </si>
  <si>
    <t>楼前后停车</t>
    <phoneticPr fontId="4" type="noConversion"/>
  </si>
  <si>
    <t>自管</t>
    <phoneticPr fontId="4" type="noConversion"/>
  </si>
  <si>
    <t>标准居住区</t>
    <phoneticPr fontId="4" type="noConversion"/>
  </si>
  <si>
    <t xml:space="preserve">市级、区级、小区级、街区级√   </t>
    <phoneticPr fontId="4" type="noConversion"/>
  </si>
  <si>
    <t>城市主干道、城市次干道√、支路</t>
    <phoneticPr fontId="4" type="noConversion"/>
  </si>
  <si>
    <t>有707、674、37等多条公交线路经过</t>
    <phoneticPr fontId="4" type="noConversion"/>
  </si>
  <si>
    <t>利用周围配套设施</t>
  </si>
  <si>
    <t>天然气√、煤气</t>
    <phoneticPr fontId="4" type="noConversion"/>
  </si>
  <si>
    <t>板楼</t>
    <phoneticPr fontId="4" type="noConversion"/>
  </si>
  <si>
    <t>中</t>
    <phoneticPr fontId="4" type="noConversion"/>
  </si>
  <si>
    <t>七通一平</t>
    <phoneticPr fontId="4" type="noConversion"/>
  </si>
  <si>
    <t>一般</t>
    <phoneticPr fontId="4" type="noConversion"/>
  </si>
  <si>
    <t>张旭婷</t>
    <phoneticPr fontId="4" type="noConversion"/>
  </si>
  <si>
    <t>南北</t>
    <phoneticPr fontId="4" type="noConversion"/>
  </si>
  <si>
    <t>2009-2-CP-03923-GU</t>
    <phoneticPr fontId="4" type="noConversion"/>
  </si>
  <si>
    <t>劲松西口广和南里二条</t>
    <phoneticPr fontId="4" type="noConversion"/>
  </si>
  <si>
    <t>朝阳区</t>
    <phoneticPr fontId="4" type="noConversion"/>
  </si>
  <si>
    <t>14#1411</t>
    <phoneticPr fontId="4" type="noConversion"/>
  </si>
  <si>
    <t>涂料</t>
    <phoneticPr fontId="4" type="noConversion"/>
  </si>
  <si>
    <t>外窗：塑钢窗；外门：防盗门</t>
  </si>
  <si>
    <t>铝扣板吊顶</t>
    <phoneticPr fontId="4" type="noConversion"/>
  </si>
  <si>
    <t>瓷砖</t>
    <phoneticPr fontId="4" type="noConversion"/>
  </si>
  <si>
    <t>地砖、木地板</t>
    <phoneticPr fontId="4" type="noConversion"/>
  </si>
  <si>
    <t>地砖</t>
    <phoneticPr fontId="4" type="noConversion"/>
  </si>
  <si>
    <t>普通木门</t>
    <phoneticPr fontId="4" type="noConversion"/>
  </si>
  <si>
    <t>洗菜池、橱柜、灶具、抽油烟机</t>
    <phoneticPr fontId="4" type="noConversion"/>
  </si>
  <si>
    <t>座便器、面盆</t>
    <phoneticPr fontId="4" type="noConversion"/>
  </si>
  <si>
    <t>水泥地面，涂料墙面</t>
    <phoneticPr fontId="194" type="noConversion"/>
  </si>
  <si>
    <t>市政供水</t>
  </si>
  <si>
    <t>市政排水</t>
  </si>
  <si>
    <t>市政供电</t>
    <phoneticPr fontId="4" type="noConversion"/>
  </si>
  <si>
    <t>集中供暖</t>
  </si>
  <si>
    <t>管道天然气</t>
    <phoneticPr fontId="4" type="noConversion"/>
  </si>
  <si>
    <t>有线电视、电话线入户</t>
    <phoneticPr fontId="4" type="noConversion"/>
  </si>
  <si>
    <t>消防栓</t>
    <phoneticPr fontId="4" type="noConversion"/>
  </si>
  <si>
    <t>电表磁卡计量</t>
    <phoneticPr fontId="4" type="noConversion"/>
  </si>
  <si>
    <t>小区门卫</t>
    <phoneticPr fontId="4" type="noConversion"/>
  </si>
  <si>
    <t>2部电梯</t>
    <phoneticPr fontId="4" type="noConversion"/>
  </si>
  <si>
    <t>专用停车场位</t>
  </si>
  <si>
    <t>单位自管</t>
    <phoneticPr fontId="4" type="noConversion"/>
  </si>
  <si>
    <t>标准居住区</t>
  </si>
  <si>
    <t>市级、区级、小区级√、街区级</t>
    <phoneticPr fontId="4" type="noConversion"/>
  </si>
  <si>
    <t>城市主干道、城市次干道√、支路</t>
  </si>
  <si>
    <t>有29、34、35路等多条公交线路经过</t>
    <phoneticPr fontId="4" type="noConversion"/>
  </si>
  <si>
    <t>天然气√、煤气</t>
  </si>
  <si>
    <t>板楼</t>
    <phoneticPr fontId="4" type="noConversion"/>
  </si>
  <si>
    <t>中</t>
    <phoneticPr fontId="4" type="noConversion"/>
  </si>
  <si>
    <t>七通一平</t>
    <phoneticPr fontId="4" type="noConversion"/>
  </si>
  <si>
    <t>一般</t>
    <phoneticPr fontId="4" type="noConversion"/>
  </si>
  <si>
    <t>张颖</t>
    <phoneticPr fontId="4" type="noConversion"/>
  </si>
  <si>
    <t>二</t>
    <phoneticPr fontId="4" type="noConversion"/>
  </si>
  <si>
    <t>南</t>
    <phoneticPr fontId="4" type="noConversion"/>
  </si>
  <si>
    <t>建成年代</t>
    <phoneticPr fontId="20" type="noConversion"/>
  </si>
  <si>
    <t>南北</t>
  </si>
  <si>
    <t>南北</t>
    <phoneticPr fontId="20" type="noConversion"/>
  </si>
  <si>
    <t>南</t>
  </si>
  <si>
    <t>南</t>
    <phoneticPr fontId="20" type="noConversion"/>
  </si>
  <si>
    <t>东</t>
  </si>
  <si>
    <t>东</t>
    <phoneticPr fontId="20" type="noConversion"/>
  </si>
  <si>
    <t>城市支路</t>
    <phoneticPr fontId="20" type="noConversion"/>
  </si>
  <si>
    <t>劲松三区</t>
    <phoneticPr fontId="4" type="noConversion"/>
  </si>
  <si>
    <t>3/6</t>
    <phoneticPr fontId="20" type="noConversion"/>
  </si>
  <si>
    <t>14/15</t>
    <phoneticPr fontId="20" type="noConversion"/>
  </si>
  <si>
    <t>6/6</t>
    <phoneticPr fontId="20" type="noConversion"/>
  </si>
  <si>
    <t>26/30</t>
    <phoneticPr fontId="20" type="noConversion"/>
  </si>
  <si>
    <t>楼层</t>
    <phoneticPr fontId="20" type="noConversion"/>
  </si>
  <si>
    <t>城市支路</t>
    <phoneticPr fontId="20" type="noConversion"/>
  </si>
  <si>
    <t>简装</t>
  </si>
  <si>
    <t>简装</t>
    <phoneticPr fontId="20" type="noConversion"/>
  </si>
  <si>
    <t>普装</t>
  </si>
  <si>
    <t>普装</t>
    <phoneticPr fontId="20" type="noConversion"/>
  </si>
  <si>
    <t>平层</t>
  </si>
  <si>
    <t>平层</t>
    <phoneticPr fontId="20" type="noConversion"/>
  </si>
  <si>
    <t>七通</t>
  </si>
  <si>
    <t>七通</t>
    <phoneticPr fontId="20" type="noConversion"/>
  </si>
  <si>
    <t>毛坯</t>
  </si>
  <si>
    <t>毛坯</t>
    <phoneticPr fontId="20" type="noConversion"/>
  </si>
  <si>
    <t>中高档</t>
  </si>
  <si>
    <t>中高档</t>
    <phoneticPr fontId="20" type="noConversion"/>
  </si>
  <si>
    <t>中档</t>
  </si>
  <si>
    <t>中档</t>
    <phoneticPr fontId="20" type="noConversion"/>
  </si>
  <si>
    <t>钢混</t>
  </si>
  <si>
    <t>钢混</t>
    <phoneticPr fontId="20" type="noConversion"/>
  </si>
  <si>
    <t>砖混</t>
  </si>
  <si>
    <t>砖混</t>
    <phoneticPr fontId="20" type="noConversion"/>
  </si>
  <si>
    <t>物业公司管理</t>
  </si>
  <si>
    <t>物业公司管理</t>
    <phoneticPr fontId="20" type="noConversion"/>
  </si>
  <si>
    <t>单位自管</t>
  </si>
  <si>
    <t>单位自管</t>
    <phoneticPr fontId="20" type="noConversion"/>
  </si>
  <si>
    <t>城市支路</t>
    <phoneticPr fontId="20" type="noConversion"/>
  </si>
  <si>
    <t>多层板楼</t>
  </si>
  <si>
    <t>多层板楼</t>
    <phoneticPr fontId="20" type="noConversion"/>
  </si>
  <si>
    <t>高层板楼</t>
  </si>
  <si>
    <t>高层板楼</t>
    <phoneticPr fontId="20" type="noConversion"/>
  </si>
  <si>
    <t>塔楼</t>
  </si>
  <si>
    <t>塔楼</t>
    <phoneticPr fontId="20" type="noConversion"/>
  </si>
  <si>
    <t>50-60（含）</t>
  </si>
  <si>
    <t>售价</t>
  </si>
  <si>
    <t>元</t>
  </si>
  <si>
    <t>楼面单价</t>
  </si>
  <si>
    <t>是</t>
  </si>
  <si>
    <t>无租约</t>
  </si>
  <si>
    <t>估价对象周边有劲松二区、广和南里二条、劲松六区等，综合评价居住社区成熟度较好</t>
    <phoneticPr fontId="35" type="noConversion"/>
  </si>
  <si>
    <t>估价对象周边有29、34、35路等多条公交线路，综合评价交通便捷度较好</t>
    <phoneticPr fontId="35" type="noConversion"/>
  </si>
  <si>
    <t>七通</t>
    <phoneticPr fontId="20" type="noConversion"/>
  </si>
  <si>
    <t>估价对象所在区域公共配套设施齐备情况较好</t>
    <phoneticPr fontId="35" type="noConversion"/>
  </si>
  <si>
    <t>区域自然环境：龙潭湖公园、通惠河；人文环境；综合评价环境状况一般</t>
    <phoneticPr fontId="35" type="noConversion"/>
  </si>
  <si>
    <t>城市支路</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</si>
  <si>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</si>
  <si>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居住用地（指二类居住用地）</t>
  </si>
  <si>
    <t>有</t>
  </si>
  <si>
    <t>1000米以外</t>
  </si>
  <si>
    <t>2002基准地价</t>
    <phoneticPr fontId="4" type="noConversion"/>
  </si>
  <si>
    <t>建筑面积</t>
    <phoneticPr fontId="4" type="noConversion"/>
  </si>
  <si>
    <t>土地面积</t>
    <phoneticPr fontId="4" type="noConversion"/>
  </si>
  <si>
    <t>总价</t>
    <phoneticPr fontId="4" type="noConversion"/>
  </si>
  <si>
    <t>——</t>
    <phoneticPr fontId="146" type="noConversion"/>
  </si>
  <si>
    <t>元</t>
    <phoneticPr fontId="4" type="noConversion"/>
  </si>
  <si>
    <t>用途/地上主用途</t>
    <phoneticPr fontId="4" type="noConversion"/>
  </si>
  <si>
    <t>土地级别</t>
    <phoneticPr fontId="4" type="noConversion"/>
  </si>
  <si>
    <t>位置</t>
    <phoneticPr fontId="146" type="noConversion"/>
  </si>
  <si>
    <t>楼面单价</t>
    <phoneticPr fontId="4" type="noConversion"/>
  </si>
  <si>
    <t>元/平方米</t>
    <phoneticPr fontId="4" type="noConversion"/>
  </si>
  <si>
    <t>用途类别</t>
    <phoneticPr fontId="4" type="noConversion"/>
  </si>
  <si>
    <t>容积率</t>
  </si>
  <si>
    <t>级别平均容积率</t>
    <phoneticPr fontId="4" type="noConversion"/>
  </si>
  <si>
    <t>楼面单价（毛）</t>
    <phoneticPr fontId="146" type="noConversion"/>
  </si>
  <si>
    <t>楼面单价（出）</t>
    <phoneticPr fontId="146" type="noConversion"/>
  </si>
  <si>
    <t>元/平方米</t>
    <phoneticPr fontId="146" type="noConversion"/>
  </si>
  <si>
    <t>一、</t>
    <phoneticPr fontId="4" type="noConversion"/>
  </si>
  <si>
    <t>楼面熟地价</t>
    <phoneticPr fontId="4" type="noConversion"/>
  </si>
  <si>
    <t>楼面熟地价</t>
    <phoneticPr fontId="146" type="noConversion"/>
  </si>
  <si>
    <t>完整土地使用权平均价格，谓之为地下时，取地上1/3</t>
    <phoneticPr fontId="146" type="noConversion"/>
  </si>
  <si>
    <t>楼面毛低价</t>
    <phoneticPr fontId="146" type="noConversion"/>
  </si>
  <si>
    <t>出让金及城市基础设施建设费</t>
    <phoneticPr fontId="146" type="noConversion"/>
  </si>
  <si>
    <t>二、</t>
    <phoneticPr fontId="4" type="noConversion"/>
  </si>
  <si>
    <t>期日修正指数</t>
    <phoneticPr fontId="4" type="noConversion"/>
  </si>
  <si>
    <t>基准期日</t>
    <phoneticPr fontId="4" type="noConversion"/>
  </si>
  <si>
    <t>估价期日</t>
    <phoneticPr fontId="4" type="noConversion"/>
  </si>
  <si>
    <t>三、</t>
    <phoneticPr fontId="4" type="noConversion"/>
  </si>
  <si>
    <t>年期修正系数</t>
    <phoneticPr fontId="4" type="noConversion"/>
  </si>
  <si>
    <t>土地还原率</t>
    <phoneticPr fontId="4" type="noConversion"/>
  </si>
  <si>
    <t>四、</t>
    <phoneticPr fontId="4" type="noConversion"/>
  </si>
  <si>
    <t>容积率修正系数</t>
    <phoneticPr fontId="4" type="noConversion"/>
  </si>
  <si>
    <t>市区</t>
    <phoneticPr fontId="146" type="noConversion"/>
  </si>
  <si>
    <r>
      <t>R</t>
    </r>
    <r>
      <rPr>
        <sz val="12"/>
        <rFont val="宋体"/>
        <family val="3"/>
        <charset val="134"/>
      </rPr>
      <t>≤</t>
    </r>
    <r>
      <rPr>
        <sz val="12"/>
        <rFont val="Arial"/>
        <family val="2"/>
      </rPr>
      <t>10</t>
    </r>
    <phoneticPr fontId="4" type="noConversion"/>
  </si>
  <si>
    <t>郊区</t>
    <phoneticPr fontId="146" type="noConversion"/>
  </si>
  <si>
    <t>R&gt;10</t>
    <phoneticPr fontId="4" type="noConversion"/>
  </si>
  <si>
    <t>五、</t>
    <phoneticPr fontId="4" type="noConversion"/>
  </si>
  <si>
    <t>因素修正系数</t>
    <phoneticPr fontId="4" type="noConversion"/>
  </si>
  <si>
    <t>六、</t>
    <phoneticPr fontId="146" type="noConversion"/>
  </si>
  <si>
    <t>其他修正</t>
    <phoneticPr fontId="4" type="noConversion"/>
  </si>
  <si>
    <t>其他修正，如开发程度</t>
    <phoneticPr fontId="146" type="noConversion"/>
  </si>
  <si>
    <t>估价对象开发程度</t>
    <phoneticPr fontId="4" type="noConversion"/>
  </si>
  <si>
    <t>级别开发程度</t>
    <phoneticPr fontId="4" type="noConversion"/>
  </si>
  <si>
    <t>七、</t>
    <phoneticPr fontId="4" type="noConversion"/>
  </si>
  <si>
    <t>估算结果</t>
    <phoneticPr fontId="4" type="noConversion"/>
  </si>
  <si>
    <r>
      <rPr>
        <b/>
        <sz val="12"/>
        <rFont val="宋体"/>
        <family val="3"/>
        <charset val="134"/>
      </rPr>
      <t>单价</t>
    </r>
    <phoneticPr fontId="4" type="noConversion"/>
  </si>
  <si>
    <t>面积</t>
    <phoneticPr fontId="4" type="noConversion"/>
  </si>
  <si>
    <t>总额</t>
    <phoneticPr fontId="4" type="noConversion"/>
  </si>
  <si>
    <t>1.熟地价</t>
    <phoneticPr fontId="146" type="noConversion"/>
  </si>
  <si>
    <t>楼面熟地价=适用的基准地价×期日修正系数×年期修正系数×容积率修正系数×因素修正系数</t>
    <phoneticPr fontId="4" type="noConversion"/>
  </si>
  <si>
    <t>地面熟地价</t>
    <phoneticPr fontId="4" type="noConversion"/>
  </si>
  <si>
    <t>地面熟地价=适用的基准地价×期日修正系数×年期修正系数×容积率修正系数×因素修正系数×宗地容积率</t>
    <phoneticPr fontId="4" type="noConversion"/>
  </si>
  <si>
    <t>2.毛地价</t>
    <phoneticPr fontId="146" type="noConversion"/>
  </si>
  <si>
    <t>楼面毛地价</t>
    <phoneticPr fontId="146" type="noConversion"/>
  </si>
  <si>
    <t>楼面毛地价=适用的基准地价×期日修正系数×年期修正系数×因素修正系数×级别平均容积率/宗地容积率</t>
    <phoneticPr fontId="4" type="noConversion"/>
  </si>
  <si>
    <t>地面毛地价</t>
    <phoneticPr fontId="146" type="noConversion"/>
  </si>
  <si>
    <t>地面毛地价=适用的基准地价×期日修正系数×年期修正系数×因素修正系数×级别平均容积率</t>
    <phoneticPr fontId="4" type="noConversion"/>
  </si>
  <si>
    <t>3.出让金</t>
    <phoneticPr fontId="146" type="noConversion"/>
  </si>
  <si>
    <t>相差季度数</t>
    <phoneticPr fontId="4" type="noConversion"/>
  </si>
  <si>
    <t>季度</t>
    <phoneticPr fontId="4" type="noConversion"/>
  </si>
  <si>
    <r>
      <rPr>
        <sz val="11"/>
        <rFont val="宋体"/>
        <family val="3"/>
        <charset val="134"/>
      </rPr>
      <t>自定义</t>
    </r>
    <phoneticPr fontId="4" type="noConversion"/>
  </si>
  <si>
    <t>综合平均</t>
  </si>
  <si>
    <t>商业</t>
    <phoneticPr fontId="4" type="noConversion"/>
  </si>
  <si>
    <t>办公/综合</t>
    <phoneticPr fontId="4" type="noConversion"/>
  </si>
  <si>
    <t>住宅/居住</t>
    <phoneticPr fontId="146" type="noConversion"/>
  </si>
  <si>
    <t>工业</t>
  </si>
  <si>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</si>
  <si>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</si>
  <si>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</si>
  <si>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</si>
  <si>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r>
      <rPr>
        <sz val="10"/>
        <color indexed="8"/>
        <rFont val="宋体"/>
        <family val="3"/>
        <charset val="134"/>
        <scheme val="minor"/>
      </rPr>
      <t>修正幅度</t>
    </r>
    <phoneticPr fontId="4" type="noConversion"/>
  </si>
  <si>
    <t>合计</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</si>
  <si>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</si>
  <si>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</si>
  <si>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</si>
  <si>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</si>
  <si>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</si>
  <si>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 xml:space="preserve"> 商业繁华程度</t>
    <phoneticPr fontId="4" type="noConversion"/>
  </si>
  <si>
    <t>交通便捷度</t>
    <phoneticPr fontId="4" type="noConversion"/>
  </si>
  <si>
    <t>区域土地利用方向</t>
    <phoneticPr fontId="4" type="noConversion"/>
  </si>
  <si>
    <t>临街宽度和深度</t>
    <phoneticPr fontId="4" type="noConversion"/>
  </si>
  <si>
    <t>宽度XX米，深度XX米,临街宽度及深度比例适宜程度？对土地利用的影响？</t>
    <phoneticPr fontId="4" type="noConversion"/>
  </si>
  <si>
    <t>临街道路状况</t>
    <phoneticPr fontId="4" type="noConversion"/>
  </si>
  <si>
    <t>宗地形状及可利用程度</t>
    <phoneticPr fontId="4" type="noConversion"/>
  </si>
  <si>
    <t>宗地形状？，但对宗地利用影响？</t>
    <phoneticPr fontId="4" type="noConversion"/>
  </si>
  <si>
    <t>基础设施完备状况</t>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</si>
  <si>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</si>
  <si>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</si>
  <si>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</si>
  <si>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</si>
  <si>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</si>
  <si>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</si>
  <si>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</si>
  <si>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t>办公集聚程度</t>
    <phoneticPr fontId="4" type="noConversion"/>
  </si>
  <si>
    <t>公共服务设施和基础设施状况</t>
    <phoneticPr fontId="4" type="noConversion"/>
  </si>
  <si>
    <t>住宅/居住</t>
    <phoneticPr fontId="4" type="noConversion"/>
  </si>
  <si>
    <t>居住社区成熟度</t>
    <phoneticPr fontId="4" type="noConversion"/>
  </si>
  <si>
    <t>区域土地利用方向</t>
    <phoneticPr fontId="4" type="noConversion"/>
  </si>
  <si>
    <t>临路状况</t>
    <phoneticPr fontId="4" type="noConversion"/>
  </si>
  <si>
    <t>宗地形状及可利用程度</t>
    <phoneticPr fontId="4" type="noConversion"/>
  </si>
  <si>
    <t>宗地形状？，但对宗地利用影响？</t>
    <phoneticPr fontId="4" type="noConversion"/>
  </si>
  <si>
    <t>公共服务设施和基础设施状况</t>
    <phoneticPr fontId="4" type="noConversion"/>
  </si>
  <si>
    <t>自然和人文环境状况</t>
    <phoneticPr fontId="4" type="noConversion"/>
  </si>
  <si>
    <t>与商业中心的接近程度</t>
    <phoneticPr fontId="4" type="noConversion"/>
  </si>
  <si>
    <t>工业</t>
    <phoneticPr fontId="4" type="noConversion"/>
  </si>
  <si>
    <t>影响因素</t>
    <phoneticPr fontId="4" type="noConversion"/>
  </si>
  <si>
    <t>等级</t>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</si>
  <si>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</si>
  <si>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</si>
  <si>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</si>
  <si>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</si>
  <si>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</si>
  <si>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</si>
  <si>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</si>
  <si>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t>产业集聚程度</t>
    <phoneticPr fontId="4" type="noConversion"/>
  </si>
  <si>
    <t>交通便捷度</t>
    <phoneticPr fontId="4" type="noConversion"/>
  </si>
  <si>
    <t>区域土地利用方向</t>
    <phoneticPr fontId="4" type="noConversion"/>
  </si>
  <si>
    <t>宗地形状及可利用程度</t>
    <phoneticPr fontId="4" type="noConversion"/>
  </si>
  <si>
    <t>宗地形状？，但对宗地利用影响？</t>
    <phoneticPr fontId="4" type="noConversion"/>
  </si>
  <si>
    <t>基础设施完备状况</t>
    <phoneticPr fontId="4" type="noConversion"/>
  </si>
  <si>
    <t>环境状况</t>
    <phoneticPr fontId="4" type="noConversion"/>
  </si>
  <si>
    <t>宗地容积率R</t>
    <phoneticPr fontId="4" type="noConversion"/>
  </si>
  <si>
    <t>修正系数</t>
    <phoneticPr fontId="4" type="noConversion"/>
  </si>
  <si>
    <t>商业</t>
    <phoneticPr fontId="4" type="noConversion"/>
  </si>
  <si>
    <t>办公/综合</t>
    <phoneticPr fontId="4" type="noConversion"/>
  </si>
  <si>
    <t>住宅/居住</t>
    <phoneticPr fontId="4" type="noConversion"/>
  </si>
  <si>
    <t>商业（远郊）</t>
    <phoneticPr fontId="4"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</si>
  <si>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</si>
  <si>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</si>
  <si>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</si>
  <si>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</si>
  <si>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</si>
  <si>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</si>
  <si>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</si>
  <si>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</si>
  <si>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</si>
  <si>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</si>
  <si>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</si>
  <si>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工业</t>
    <phoneticPr fontId="4" type="noConversion"/>
  </si>
  <si>
    <t>设定容积率</t>
  </si>
  <si>
    <t>地上</t>
  </si>
  <si>
    <t>剩余土地使用年限</t>
  </si>
  <si>
    <t>基础设施完备状况</t>
    <phoneticPr fontId="4" type="noConversion"/>
  </si>
  <si>
    <t>临路状况</t>
    <phoneticPr fontId="4" type="noConversion"/>
  </si>
  <si>
    <t>自然和人文环境状况</t>
    <phoneticPr fontId="4" type="noConversion"/>
  </si>
  <si>
    <t>与商业中心的接近程度</t>
    <phoneticPr fontId="4" type="noConversion"/>
  </si>
  <si>
    <t>工业</t>
    <phoneticPr fontId="4" type="noConversion"/>
  </si>
  <si>
    <t>产业集聚程度</t>
    <phoneticPr fontId="4" type="noConversion"/>
  </si>
  <si>
    <t>环境状况</t>
    <phoneticPr fontId="4" type="noConversion"/>
  </si>
  <si>
    <t>宗地容积率R</t>
    <phoneticPr fontId="4" type="noConversion"/>
  </si>
  <si>
    <t>修正系数</t>
    <phoneticPr fontId="4" type="noConversion"/>
  </si>
  <si>
    <t>商业（远郊）</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</si>
  <si>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</si>
  <si>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</si>
  <si>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</si>
  <si>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</si>
  <si>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</si>
  <si>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</si>
  <si>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</si>
  <si>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</si>
  <si>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</si>
  <si>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</si>
  <si>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熟地价</t>
    <phoneticPr fontId="146" type="noConversion"/>
  </si>
  <si>
    <t>商业</t>
    <phoneticPr fontId="146" type="noConversion"/>
  </si>
  <si>
    <t>综合</t>
    <phoneticPr fontId="146" type="noConversion"/>
  </si>
  <si>
    <t>居住</t>
    <phoneticPr fontId="146" type="noConversion"/>
  </si>
  <si>
    <t>工业</t>
    <phoneticPr fontId="146" type="noConversion"/>
  </si>
  <si>
    <t>低限</t>
    <phoneticPr fontId="146" type="noConversion"/>
  </si>
  <si>
    <t>高限</t>
    <phoneticPr fontId="146" type="noConversion"/>
  </si>
  <si>
    <t>毛地价</t>
    <phoneticPr fontId="146" type="noConversion"/>
  </si>
  <si>
    <r>
      <rPr>
        <b/>
        <sz val="10.5"/>
        <color theme="1"/>
        <rFont val="宋体"/>
        <family val="3"/>
        <charset val="134"/>
      </rPr>
      <t>容积率</t>
    </r>
  </si>
  <si>
    <r>
      <rPr>
        <b/>
        <sz val="10.5"/>
        <color theme="1"/>
        <rFont val="宋体"/>
        <family val="3"/>
        <charset val="134"/>
      </rPr>
      <t>修正系数</t>
    </r>
    <phoneticPr fontId="146" type="noConversion"/>
  </si>
  <si>
    <r>
      <rPr>
        <b/>
        <sz val="10.5"/>
        <color theme="1"/>
        <rFont val="宋体"/>
        <family val="3"/>
        <charset val="134"/>
      </rPr>
      <t>修正系数（远郊）</t>
    </r>
    <phoneticPr fontId="146" type="noConversion"/>
  </si>
  <si>
    <r>
      <rPr>
        <b/>
        <sz val="10.5"/>
        <color theme="1"/>
        <rFont val="宋体"/>
        <family val="3"/>
        <charset val="134"/>
      </rPr>
      <t>商业</t>
    </r>
  </si>
  <si>
    <r>
      <rPr>
        <b/>
        <sz val="10.5"/>
        <color theme="1"/>
        <rFont val="宋体"/>
        <family val="3"/>
        <charset val="134"/>
      </rPr>
      <t>办公</t>
    </r>
    <r>
      <rPr>
        <b/>
        <sz val="10.5"/>
        <color theme="1"/>
        <rFont val="Arial"/>
        <family val="2"/>
      </rPr>
      <t>/</t>
    </r>
    <r>
      <rPr>
        <b/>
        <sz val="10.5"/>
        <color theme="1"/>
        <rFont val="宋体"/>
        <family val="3"/>
        <charset val="134"/>
      </rPr>
      <t>综合</t>
    </r>
    <phoneticPr fontId="146" type="noConversion"/>
  </si>
  <si>
    <t>影响因素</t>
  </si>
  <si>
    <t>低</t>
    <phoneticPr fontId="146" type="noConversion"/>
  </si>
  <si>
    <t>高</t>
    <phoneticPr fontId="146"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</si>
  <si>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</si>
  <si>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</si>
  <si>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</si>
  <si>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</si>
  <si>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公共服务设施和基础设施状况</t>
    <phoneticPr fontId="4" type="noConversion"/>
  </si>
  <si>
    <t>居住社区成熟度</t>
    <phoneticPr fontId="4" type="noConversion"/>
  </si>
  <si>
    <t>公共服务设施和基础设施状况</t>
    <phoneticPr fontId="4" type="noConversion"/>
  </si>
  <si>
    <t>交通便捷度</t>
    <phoneticPr fontId="4" type="noConversion"/>
  </si>
  <si>
    <t>环境状况</t>
    <phoneticPr fontId="4" type="noConversion"/>
  </si>
  <si>
    <t>影响因素/高</t>
    <phoneticPr fontId="146" type="noConversion"/>
  </si>
  <si>
    <t>一级</t>
    <phoneticPr fontId="4" type="noConversion"/>
  </si>
  <si>
    <t>二级</t>
    <phoneticPr fontId="4" type="noConversion"/>
  </si>
  <si>
    <t>影响因素/低</t>
    <phoneticPr fontId="146" type="noConversion"/>
  </si>
  <si>
    <r>
      <rPr>
        <b/>
        <sz val="10"/>
        <color rgb="FFFF0000"/>
        <rFont val="宋体"/>
        <family val="3"/>
        <charset val="134"/>
      </rPr>
      <t>当前日期所在季度地价指数为</t>
    </r>
    <r>
      <rPr>
        <b/>
        <sz val="10"/>
        <color rgb="FFFF0000"/>
        <rFont val="Arial"/>
        <family val="2"/>
      </rPr>
      <t>2014</t>
    </r>
    <r>
      <rPr>
        <b/>
        <sz val="10"/>
        <color rgb="FFFF0000"/>
        <rFont val="宋体"/>
        <family val="3"/>
        <charset val="134"/>
      </rPr>
      <t>年</t>
    </r>
    <r>
      <rPr>
        <b/>
        <sz val="10"/>
        <color rgb="FFFF0000"/>
        <rFont val="Arial"/>
        <family val="2"/>
      </rPr>
      <t>1</t>
    </r>
    <r>
      <rPr>
        <b/>
        <sz val="10"/>
        <color rgb="FFFF0000"/>
        <rFont val="宋体"/>
        <family val="3"/>
        <charset val="134"/>
      </rPr>
      <t>季度至今平均增长率计算得出。即，</t>
    </r>
    <r>
      <rPr>
        <b/>
        <sz val="10"/>
        <color rgb="FFFF0000"/>
        <rFont val="Arial"/>
        <family val="2"/>
      </rPr>
      <t>2017</t>
    </r>
    <r>
      <rPr>
        <b/>
        <sz val="10"/>
        <color rgb="FFFF0000"/>
        <rFont val="宋体"/>
        <family val="3"/>
        <charset val="134"/>
      </rPr>
      <t>年</t>
    </r>
    <r>
      <rPr>
        <b/>
        <sz val="10"/>
        <color rgb="FFFF0000"/>
        <rFont val="Arial"/>
        <family val="2"/>
      </rPr>
      <t>1</t>
    </r>
    <r>
      <rPr>
        <b/>
        <sz val="10"/>
        <color rgb="FFFF0000"/>
        <rFont val="宋体"/>
        <family val="3"/>
        <charset val="134"/>
      </rPr>
      <t>季度地价指数为</t>
    </r>
    <r>
      <rPr>
        <b/>
        <sz val="10"/>
        <color rgb="FFFF0000"/>
        <rFont val="Arial"/>
        <family val="2"/>
      </rPr>
      <t>2014</t>
    </r>
    <r>
      <rPr>
        <b/>
        <sz val="10"/>
        <color rgb="FFFF0000"/>
        <rFont val="宋体"/>
        <family val="3"/>
        <charset val="134"/>
      </rPr>
      <t>年</t>
    </r>
    <r>
      <rPr>
        <b/>
        <sz val="10"/>
        <color rgb="FFFF0000"/>
        <rFont val="Arial"/>
        <family val="2"/>
      </rPr>
      <t>1</t>
    </r>
    <r>
      <rPr>
        <b/>
        <sz val="10"/>
        <color rgb="FFFF0000"/>
        <rFont val="宋体"/>
        <family val="3"/>
        <charset val="134"/>
      </rPr>
      <t>季度至今平均增长率乘</t>
    </r>
    <r>
      <rPr>
        <b/>
        <sz val="10"/>
        <color rgb="FFFF0000"/>
        <rFont val="Arial"/>
        <family val="2"/>
      </rPr>
      <t>2016</t>
    </r>
    <r>
      <rPr>
        <b/>
        <sz val="10"/>
        <color rgb="FFFF0000"/>
        <rFont val="宋体"/>
        <family val="3"/>
        <charset val="134"/>
      </rPr>
      <t>年</t>
    </r>
    <r>
      <rPr>
        <b/>
        <sz val="10"/>
        <color rgb="FFFF0000"/>
        <rFont val="Arial"/>
        <family val="2"/>
      </rPr>
      <t>4</t>
    </r>
    <r>
      <rPr>
        <b/>
        <sz val="10"/>
        <color rgb="FFFF0000"/>
        <rFont val="宋体"/>
        <family val="3"/>
        <charset val="134"/>
      </rPr>
      <t>季度地价指数计算得出。</t>
    </r>
    <phoneticPr fontId="146"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</si>
  <si>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</si>
  <si>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</si>
  <si>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</si>
  <si>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</si>
  <si>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综合</t>
    <phoneticPr fontId="4" type="noConversion"/>
  </si>
  <si>
    <r>
      <rPr>
        <sz val="11"/>
        <color indexed="8"/>
        <rFont val="楷体_GB2312"/>
        <family val="3"/>
        <charset val="134"/>
      </rPr>
      <t>商业</t>
    </r>
    <phoneticPr fontId="4" type="noConversion"/>
  </si>
  <si>
    <t>办公/综合</t>
    <phoneticPr fontId="4" type="noConversion"/>
  </si>
  <si>
    <r>
      <rPr>
        <sz val="11"/>
        <color indexed="8"/>
        <rFont val="楷体_GB2312"/>
        <family val="3"/>
        <charset val="134"/>
      </rPr>
      <t>工业</t>
    </r>
    <phoneticPr fontId="4" type="noConversion"/>
  </si>
  <si>
    <t>年度</t>
    <phoneticPr fontId="146" type="noConversion"/>
  </si>
  <si>
    <t>季度</t>
    <phoneticPr fontId="146" type="noConversion"/>
  </si>
  <si>
    <t>商业/办公</t>
    <phoneticPr fontId="4" type="noConversion"/>
  </si>
  <si>
    <t>本行不参与计算</t>
    <phoneticPr fontId="146" type="noConversion"/>
  </si>
  <si>
    <t>2018-2</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</si>
  <si>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</si>
  <si>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2018-1</t>
    <phoneticPr fontId="4" type="noConversion"/>
  </si>
  <si>
    <t>2017-4</t>
    <phoneticPr fontId="4" type="noConversion"/>
  </si>
  <si>
    <t>2017-3</t>
    <phoneticPr fontId="4" type="noConversion"/>
  </si>
  <si>
    <t>2017-2</t>
    <phoneticPr fontId="4" type="noConversion"/>
  </si>
  <si>
    <t>2017-1</t>
    <phoneticPr fontId="4" type="noConversion"/>
  </si>
  <si>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</si>
  <si>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</si>
  <si>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</si>
  <si>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</si>
  <si>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</si>
  <si>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</si>
  <si>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</si>
  <si>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</si>
  <si>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</si>
  <si>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</si>
  <si>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</si>
  <si>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</si>
  <si>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</si>
  <si>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</si>
  <si>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</si>
  <si>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</si>
  <si>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</si>
  <si>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</si>
  <si>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</si>
  <si>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</si>
  <si>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</si>
  <si>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</si>
  <si>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</si>
  <si>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</si>
  <si>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</si>
  <si>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</si>
  <si>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</si>
  <si>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</si>
  <si>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</si>
  <si>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</si>
  <si>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</si>
  <si>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</si>
  <si>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</si>
  <si>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</si>
  <si>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</si>
  <si>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</si>
  <si>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</si>
  <si>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</si>
  <si>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</si>
  <si>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</si>
  <si>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</si>
  <si>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</si>
  <si>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</si>
  <si>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</si>
  <si>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</si>
  <si>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</si>
  <si>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</si>
  <si>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</si>
  <si>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</si>
  <si>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</si>
  <si>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</si>
  <si>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</si>
  <si>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工业</t>
    </r>
  </si>
  <si>
    <t>市区</t>
  </si>
  <si>
    <t>住宅</t>
    <phoneticPr fontId="146" type="noConversion"/>
  </si>
  <si>
    <t>七通一平</t>
  </si>
  <si>
    <t>四环路内</t>
  </si>
  <si>
    <t>未包含在土地取得成本中</t>
  </si>
  <si>
    <t>已包含在土地购买价格中</t>
  </si>
  <si>
    <t>成本法</t>
  </si>
  <si>
    <t>比较法-住宅</t>
  </si>
  <si>
    <t>楼层</t>
    <phoneticPr fontId="20" type="noConversion"/>
  </si>
  <si>
    <t>朝向</t>
    <phoneticPr fontId="20" type="noConversion"/>
  </si>
  <si>
    <t>南</t>
    <phoneticPr fontId="20" type="noConversion"/>
  </si>
  <si>
    <t>东南</t>
  </si>
  <si>
    <t>东南</t>
    <phoneticPr fontId="20" type="noConversion"/>
  </si>
  <si>
    <t>西南</t>
  </si>
  <si>
    <t>西南</t>
    <phoneticPr fontId="20" type="noConversion"/>
  </si>
  <si>
    <t>东</t>
    <phoneticPr fontId="20" type="noConversion"/>
  </si>
  <si>
    <t>东北</t>
  </si>
  <si>
    <t>东北</t>
    <phoneticPr fontId="20" type="noConversion"/>
  </si>
  <si>
    <t>西</t>
  </si>
  <si>
    <t>西</t>
    <phoneticPr fontId="20" type="noConversion"/>
  </si>
  <si>
    <t>西北</t>
  </si>
  <si>
    <t>西北</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</si>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</sst>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0"/>
    <numFmt numFmtId="197" formatCode="[DBNum1][$-804]General"/>
  </numFmts>
  <fonts count="26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3"/>
      <charset val="134"/>
      <scheme val="minor"/>
    </font>
    <font>
      <sz val="12"/>
      <color indexed="8"/>
      <name val="Times New Roman"/>
      <family val="1"/>
    </font>
    <font>
      <sz val="10"/>
      <name val="Times New Roman"/>
      <family val="1"/>
    </font>
    <font>
      <sz val="10"/>
      <color rgb="FFFF0000"/>
      <name val="Times New Roman"/>
      <family val="1"/>
    </font>
    <font>
      <b/>
      <sz val="16"/>
      <color indexed="10"/>
      <name val="宋体"/>
      <family val="3"/>
      <charset val="134"/>
      <scheme val="minor"/>
    </font>
    <font>
      <b/>
      <sz val="12"/>
      <name val="宋体"/>
      <family val="3"/>
      <charset val="134"/>
      <scheme val="minor"/>
    </font>
    <font>
      <sz val="10"/>
      <name val="宋体"/>
      <family val="3"/>
      <charset val="134"/>
      <scheme val="minor"/>
    </font>
    <font>
      <sz val="12"/>
      <name val="宋体"/>
      <family val="3"/>
      <charset val="134"/>
      <scheme val="minor"/>
    </font>
    <font>
      <sz val="11"/>
      <name val="宋体"/>
      <family val="3"/>
      <charset val="134"/>
      <scheme val="minor"/>
    </font>
    <font>
      <b/>
      <sz val="11"/>
      <name val="宋体"/>
      <family val="3"/>
      <charset val="134"/>
      <scheme val="minor"/>
    </font>
    <font>
      <sz val="12"/>
      <color rgb="FFFF0000"/>
      <name val="宋体"/>
      <family val="3"/>
      <charset val="134"/>
      <scheme val="minor"/>
    </font>
    <font>
      <i/>
      <sz val="12"/>
      <name val="宋体"/>
      <family val="3"/>
      <charset val="134"/>
      <scheme val="minor"/>
    </font>
    <font>
      <sz val="11"/>
      <color indexed="8"/>
      <name val="宋体"/>
      <family val="3"/>
      <charset val="134"/>
      <scheme val="minor"/>
    </font>
    <font>
      <sz val="10"/>
      <color theme="9" tint="-0.249977111117893"/>
      <name val="宋体"/>
      <family val="3"/>
      <charset val="134"/>
      <scheme val="minor"/>
    </font>
    <font>
      <sz val="10.5"/>
      <color theme="1"/>
      <name val="宋体"/>
      <family val="3"/>
      <charset val="134"/>
    </font>
    <font>
      <sz val="10.5"/>
      <color theme="1"/>
      <name val="Arial"/>
      <family val="2"/>
    </font>
    <font>
      <b/>
      <sz val="10.5"/>
      <color theme="1"/>
      <name val="Arial"/>
      <family val="2"/>
    </font>
    <font>
      <b/>
      <sz val="10.5"/>
      <color theme="1"/>
      <name val="宋体"/>
      <family val="3"/>
      <charset val="134"/>
    </font>
    <font>
      <sz val="10.5"/>
      <color theme="1"/>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3" tint="0.79998168889431442"/>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medium">
        <color rgb="FFDFE8ED"/>
      </bottom>
      <diagonal/>
    </border>
    <border>
      <left style="medium">
        <color rgb="FFDFE8ED"/>
      </left>
      <right style="thin">
        <color rgb="FFDFE8ED"/>
      </right>
      <top style="medium">
        <color rgb="FFDFE8ED"/>
      </top>
      <bottom style="thin">
        <color rgb="FFDFE8ED"/>
      </bottom>
      <diagonal/>
    </border>
    <border>
      <left style="medium">
        <color rgb="FFDFE8ED"/>
      </left>
      <right style="thin">
        <color rgb="FFDFE8ED"/>
      </right>
      <top style="thin">
        <color rgb="FFDFE8ED"/>
      </top>
      <bottom style="thin">
        <color rgb="FFDFE8ED"/>
      </bottom>
      <diagonal/>
    </border>
    <border>
      <left style="medium">
        <color rgb="FFDFE8ED"/>
      </left>
      <right style="thin">
        <color rgb="FFDFE8ED"/>
      </right>
      <top style="thin">
        <color rgb="FFDFE8ED"/>
      </top>
      <bottom style="medium">
        <color rgb="FFDFE8ED"/>
      </bottom>
      <diagonal/>
    </border>
  </borders>
  <cellStyleXfs count="19">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44" fontId="243" fillId="0" borderId="0" applyFont="0" applyFill="0" applyBorder="0" applyAlignment="0" applyProtection="0">
      <alignment vertical="center"/>
    </xf>
    <xf numFmtId="9" fontId="30" fillId="0" borderId="0" applyFont="0" applyFill="0" applyBorder="0" applyAlignment="0" applyProtection="0">
      <alignment vertical="center"/>
    </xf>
    <xf numFmtId="0" fontId="93" fillId="0" borderId="0">
      <alignment vertical="center"/>
    </xf>
    <xf numFmtId="0" fontId="1" fillId="0" borderId="0">
      <alignment vertical="center"/>
    </xf>
    <xf numFmtId="0" fontId="1" fillId="0" borderId="0">
      <alignment vertical="center"/>
    </xf>
  </cellStyleXfs>
  <cellXfs count="37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16" fillId="18" borderId="1" xfId="0" applyNumberFormat="1" applyFont="1" applyFill="1" applyBorder="1" applyAlignment="1" applyProtection="1">
      <alignment horizontal="left"/>
      <protection locked="0"/>
    </xf>
    <xf numFmtId="0" fontId="16" fillId="18" borderId="1" xfId="0" applyFont="1" applyFill="1" applyBorder="1" applyAlignment="1" applyProtection="1">
      <alignment horizontal="center"/>
      <protection locked="0"/>
    </xf>
    <xf numFmtId="49" fontId="16" fillId="18" borderId="1" xfId="0" applyNumberFormat="1" applyFont="1" applyFill="1" applyBorder="1" applyAlignment="1" applyProtection="1">
      <alignment horizontal="center"/>
      <protection locked="0"/>
    </xf>
    <xf numFmtId="0" fontId="16" fillId="18" borderId="1" xfId="0" applyFont="1" applyFill="1" applyBorder="1" applyAlignment="1" applyProtection="1">
      <protection locked="0"/>
    </xf>
    <xf numFmtId="0" fontId="16" fillId="18" borderId="1" xfId="0" applyFont="1" applyFill="1" applyBorder="1" applyAlignment="1" applyProtection="1">
      <alignment horizontal="left"/>
      <protection locked="0"/>
    </xf>
    <xf numFmtId="0" fontId="16" fillId="18" borderId="1" xfId="0" applyFont="1" applyFill="1" applyBorder="1" applyAlignment="1" applyProtection="1">
      <alignment horizontal="right"/>
      <protection locked="0"/>
    </xf>
    <xf numFmtId="182" fontId="16" fillId="18" borderId="1" xfId="0" applyNumberFormat="1" applyFont="1" applyFill="1" applyBorder="1" applyAlignment="1" applyProtection="1">
      <alignment horizontal="left"/>
      <protection locked="0"/>
    </xf>
    <xf numFmtId="182" fontId="16" fillId="18" borderId="1" xfId="0" applyNumberFormat="1" applyFont="1" applyFill="1" applyBorder="1" applyAlignment="1" applyProtection="1">
      <alignment horizontal="right"/>
      <protection locked="0"/>
    </xf>
    <xf numFmtId="49" fontId="224" fillId="18" borderId="1" xfId="0" applyNumberFormat="1" applyFont="1" applyFill="1" applyBorder="1" applyAlignment="1" applyProtection="1">
      <alignment horizontal="left"/>
      <protection locked="0"/>
    </xf>
    <xf numFmtId="0" fontId="224" fillId="18" borderId="1" xfId="0" applyFont="1" applyFill="1" applyBorder="1" applyAlignment="1" applyProtection="1">
      <protection locked="0"/>
    </xf>
    <xf numFmtId="31" fontId="16" fillId="18" borderId="1" xfId="0" applyNumberFormat="1" applyFont="1" applyFill="1" applyBorder="1" applyAlignment="1" applyProtection="1">
      <protection locked="0"/>
    </xf>
    <xf numFmtId="0" fontId="230" fillId="18" borderId="1" xfId="0" applyFont="1" applyFill="1" applyBorder="1" applyAlignment="1" applyProtection="1">
      <alignment horizontal="center"/>
      <protection locked="0"/>
    </xf>
    <xf numFmtId="0" fontId="136" fillId="18" borderId="1" xfId="0" applyFont="1" applyFill="1" applyBorder="1" applyAlignment="1" applyProtection="1">
      <alignment horizontal="center"/>
      <protection locked="0"/>
    </xf>
    <xf numFmtId="0" fontId="136" fillId="18" borderId="1" xfId="0" applyFont="1" applyFill="1" applyBorder="1" applyAlignment="1">
      <alignment horizontal="center"/>
    </xf>
    <xf numFmtId="0" fontId="16" fillId="19" borderId="1" xfId="0" applyFont="1" applyFill="1" applyBorder="1" applyAlignment="1" applyProtection="1">
      <protection locked="0"/>
    </xf>
    <xf numFmtId="49" fontId="16" fillId="19" borderId="1" xfId="0" applyNumberFormat="1" applyFont="1" applyFill="1" applyBorder="1" applyAlignment="1" applyProtection="1">
      <protection locked="0"/>
    </xf>
    <xf numFmtId="196" fontId="16" fillId="19" borderId="1" xfId="0" applyNumberFormat="1" applyFont="1" applyFill="1" applyBorder="1" applyAlignment="1" applyProtection="1">
      <protection locked="0"/>
    </xf>
    <xf numFmtId="179" fontId="16" fillId="19" borderId="1" xfId="0" applyNumberFormat="1" applyFont="1" applyFill="1" applyBorder="1" applyAlignment="1" applyProtection="1">
      <protection locked="0"/>
    </xf>
    <xf numFmtId="31" fontId="16" fillId="19" borderId="1" xfId="0" applyNumberFormat="1" applyFont="1" applyFill="1" applyBorder="1" applyAlignment="1" applyProtection="1">
      <protection locked="0"/>
    </xf>
    <xf numFmtId="184" fontId="136" fillId="18" borderId="1" xfId="0" applyNumberFormat="1" applyFont="1" applyFill="1" applyBorder="1" applyAlignment="1" applyProtection="1">
      <alignment horizontal="center"/>
      <protection locked="0"/>
    </xf>
    <xf numFmtId="184" fontId="230" fillId="18" borderId="1" xfId="0" applyNumberFormat="1" applyFont="1" applyFill="1" applyBorder="1" applyAlignment="1" applyProtection="1">
      <alignment horizontal="center"/>
      <protection locked="0"/>
    </xf>
    <xf numFmtId="0" fontId="136" fillId="20" borderId="1" xfId="0" applyFont="1" applyFill="1" applyBorder="1" applyAlignment="1" applyProtection="1">
      <alignment horizontal="center"/>
      <protection locked="0"/>
    </xf>
    <xf numFmtId="0" fontId="16" fillId="0" borderId="0" xfId="0" applyFont="1" applyFill="1" applyBorder="1" applyAlignment="1" applyProtection="1">
      <protection locked="0"/>
    </xf>
    <xf numFmtId="49" fontId="136" fillId="18" borderId="1" xfId="0" applyNumberFormat="1" applyFont="1" applyFill="1" applyBorder="1" applyAlignment="1" applyProtection="1">
      <alignment horizontal="left"/>
      <protection locked="0"/>
    </xf>
    <xf numFmtId="49" fontId="136" fillId="18" borderId="1" xfId="0" applyNumberFormat="1" applyFont="1" applyFill="1" applyBorder="1" applyAlignment="1" applyProtection="1">
      <alignment horizontal="center"/>
      <protection locked="0"/>
    </xf>
    <xf numFmtId="182" fontId="136" fillId="18" borderId="1" xfId="0" applyNumberFormat="1" applyFont="1" applyFill="1" applyBorder="1" applyAlignment="1" applyProtection="1">
      <alignment horizontal="center"/>
      <protection locked="0"/>
    </xf>
    <xf numFmtId="49" fontId="230" fillId="18" borderId="1" xfId="0" applyNumberFormat="1" applyFont="1" applyFill="1" applyBorder="1" applyAlignment="1" applyProtection="1">
      <alignment horizontal="center"/>
      <protection locked="0"/>
    </xf>
    <xf numFmtId="31" fontId="136" fillId="18" borderId="1" xfId="0" applyNumberFormat="1" applyFont="1" applyFill="1" applyBorder="1" applyAlignment="1" applyProtection="1">
      <alignment horizontal="center"/>
      <protection locked="0"/>
    </xf>
    <xf numFmtId="0" fontId="136" fillId="19" borderId="1" xfId="0" applyFont="1" applyFill="1" applyBorder="1" applyAlignment="1" applyProtection="1">
      <alignment horizontal="center"/>
      <protection locked="0"/>
    </xf>
    <xf numFmtId="46" fontId="136" fillId="19" borderId="1" xfId="0" applyNumberFormat="1" applyFont="1" applyFill="1" applyBorder="1" applyAlignment="1" applyProtection="1">
      <alignment horizontal="center"/>
      <protection locked="0"/>
    </xf>
    <xf numFmtId="49" fontId="136" fillId="19" borderId="1" xfId="0" applyNumberFormat="1" applyFont="1" applyFill="1" applyBorder="1" applyAlignment="1" applyProtection="1">
      <alignment horizontal="center"/>
      <protection locked="0"/>
    </xf>
    <xf numFmtId="196" fontId="136" fillId="19" borderId="1" xfId="0" applyNumberFormat="1" applyFont="1" applyFill="1" applyBorder="1" applyAlignment="1" applyProtection="1">
      <alignment horizontal="center"/>
      <protection locked="0"/>
    </xf>
    <xf numFmtId="179" fontId="136" fillId="19" borderId="1" xfId="0" applyNumberFormat="1" applyFont="1" applyFill="1" applyBorder="1" applyAlignment="1" applyProtection="1">
      <alignment horizontal="center"/>
      <protection locked="0"/>
    </xf>
    <xf numFmtId="31" fontId="136" fillId="19" borderId="1" xfId="0" applyNumberFormat="1" applyFont="1" applyFill="1" applyBorder="1" applyAlignment="1" applyProtection="1">
      <alignment horizontal="center"/>
      <protection locked="0"/>
    </xf>
    <xf numFmtId="0" fontId="136" fillId="0" borderId="0" xfId="0" applyFont="1" applyFill="1" applyBorder="1" applyAlignment="1" applyProtection="1">
      <alignment horizontal="center"/>
      <protection locked="0"/>
    </xf>
    <xf numFmtId="0" fontId="16" fillId="6" borderId="1" xfId="0" applyFont="1" applyFill="1" applyBorder="1" applyAlignment="1" applyProtection="1"/>
    <xf numFmtId="0" fontId="16" fillId="6" borderId="1" xfId="0" applyFont="1" applyFill="1" applyBorder="1" applyAlignment="1"/>
    <xf numFmtId="49" fontId="16" fillId="6" borderId="1" xfId="0" applyNumberFormat="1" applyFont="1" applyFill="1" applyBorder="1" applyAlignment="1"/>
    <xf numFmtId="176" fontId="16" fillId="6" borderId="1" xfId="0" applyNumberFormat="1" applyFont="1" applyFill="1" applyBorder="1" applyAlignment="1">
      <alignment horizontal="right"/>
    </xf>
    <xf numFmtId="186" fontId="16" fillId="6" borderId="1" xfId="0" applyNumberFormat="1" applyFont="1" applyFill="1" applyBorder="1" applyAlignment="1">
      <alignment horizontal="right"/>
    </xf>
    <xf numFmtId="2" fontId="16" fillId="6" borderId="1" xfId="0" applyNumberFormat="1" applyFont="1" applyFill="1" applyBorder="1" applyAlignment="1">
      <alignment horizontal="right"/>
    </xf>
    <xf numFmtId="182" fontId="16" fillId="6" borderId="1" xfId="0" applyNumberFormat="1" applyFont="1" applyFill="1" applyBorder="1" applyAlignment="1"/>
    <xf numFmtId="9" fontId="16" fillId="6" borderId="1" xfId="0" applyNumberFormat="1" applyFont="1" applyFill="1" applyBorder="1" applyAlignment="1"/>
    <xf numFmtId="2" fontId="16" fillId="6" borderId="1" xfId="0" applyNumberFormat="1" applyFont="1" applyFill="1" applyBorder="1" applyAlignment="1" applyProtection="1">
      <alignment horizontal="right"/>
    </xf>
    <xf numFmtId="182" fontId="16" fillId="6" borderId="1" xfId="0" applyNumberFormat="1" applyFont="1" applyFill="1" applyBorder="1" applyAlignment="1">
      <alignment horizontal="right"/>
    </xf>
    <xf numFmtId="0" fontId="16" fillId="6" borderId="1" xfId="0" applyFont="1" applyFill="1" applyBorder="1" applyAlignment="1" applyProtection="1">
      <protection locked="0"/>
    </xf>
    <xf numFmtId="49" fontId="16" fillId="6" borderId="1" xfId="0" applyNumberFormat="1" applyFont="1" applyFill="1" applyBorder="1" applyAlignment="1" applyProtection="1"/>
    <xf numFmtId="0" fontId="16" fillId="6" borderId="1" xfId="0" applyFont="1" applyFill="1" applyBorder="1" applyAlignment="1">
      <alignment horizontal="center"/>
    </xf>
    <xf numFmtId="31" fontId="16" fillId="6" borderId="1" xfId="0" applyNumberFormat="1" applyFont="1" applyFill="1" applyBorder="1" applyAlignment="1" applyProtection="1"/>
    <xf numFmtId="197" fontId="16" fillId="6" borderId="1" xfId="0" applyNumberFormat="1" applyFont="1" applyFill="1" applyBorder="1" applyAlignment="1" applyProtection="1">
      <alignment horizontal="center"/>
    </xf>
    <xf numFmtId="0" fontId="16" fillId="6" borderId="1" xfId="0" applyFont="1" applyFill="1" applyBorder="1" applyAlignment="1" applyProtection="1">
      <alignment horizontal="center"/>
      <protection locked="0"/>
    </xf>
    <xf numFmtId="49" fontId="16" fillId="6" borderId="1" xfId="0" applyNumberFormat="1" applyFont="1" applyFill="1" applyBorder="1" applyAlignment="1" applyProtection="1">
      <protection locked="0"/>
    </xf>
    <xf numFmtId="196" fontId="16" fillId="6" borderId="1" xfId="0" applyNumberFormat="1" applyFont="1" applyFill="1" applyBorder="1" applyAlignment="1" applyProtection="1">
      <protection locked="0"/>
    </xf>
    <xf numFmtId="179" fontId="16" fillId="6" borderId="1" xfId="0" applyNumberFormat="1" applyFont="1" applyFill="1" applyBorder="1" applyAlignment="1" applyProtection="1">
      <protection locked="0"/>
    </xf>
    <xf numFmtId="31" fontId="16" fillId="6" borderId="1" xfId="0" applyNumberFormat="1" applyFont="1" applyFill="1" applyBorder="1" applyAlignment="1" applyProtection="1">
      <protection locked="0"/>
    </xf>
    <xf numFmtId="184" fontId="16" fillId="6" borderId="1" xfId="0" applyNumberFormat="1" applyFont="1" applyFill="1" applyBorder="1" applyAlignment="1" applyProtection="1">
      <protection locked="0"/>
    </xf>
    <xf numFmtId="0" fontId="245" fillId="6" borderId="0" xfId="0" applyFont="1" applyFill="1" applyBorder="1" applyAlignment="1"/>
    <xf numFmtId="0" fontId="16" fillId="6" borderId="0" xfId="0" applyFont="1" applyFill="1" applyBorder="1" applyAlignment="1" applyProtection="1">
      <protection locked="0"/>
    </xf>
    <xf numFmtId="0" fontId="16" fillId="6" borderId="0" xfId="0" applyFont="1" applyFill="1" applyBorder="1" applyAlignment="1"/>
    <xf numFmtId="0" fontId="16" fillId="6" borderId="1" xfId="0" applyFont="1" applyFill="1" applyBorder="1" applyAlignment="1">
      <alignment horizontal="left"/>
    </xf>
    <xf numFmtId="0" fontId="16" fillId="6" borderId="1" xfId="0" applyFont="1" applyFill="1" applyBorder="1" applyAlignment="1" applyProtection="1">
      <alignment horizontal="left"/>
    </xf>
    <xf numFmtId="176" fontId="16" fillId="6" borderId="1" xfId="0" applyNumberFormat="1" applyFont="1" applyFill="1" applyBorder="1" applyAlignment="1"/>
    <xf numFmtId="186" fontId="16" fillId="6" borderId="1" xfId="0" applyNumberFormat="1" applyFont="1" applyFill="1" applyBorder="1" applyAlignment="1"/>
    <xf numFmtId="31" fontId="16" fillId="6" borderId="1" xfId="0" applyNumberFormat="1" applyFont="1" applyFill="1" applyBorder="1" applyAlignment="1" applyProtection="1">
      <alignment horizontal="right"/>
    </xf>
    <xf numFmtId="197" fontId="16" fillId="6" borderId="1" xfId="0" applyNumberFormat="1" applyFont="1" applyFill="1" applyBorder="1" applyAlignment="1">
      <alignment horizontal="left"/>
    </xf>
    <xf numFmtId="31" fontId="16" fillId="6" borderId="1" xfId="0" applyNumberFormat="1" applyFont="1" applyFill="1" applyBorder="1" applyAlignment="1"/>
    <xf numFmtId="49" fontId="16" fillId="6" borderId="1" xfId="0" applyNumberFormat="1" applyFont="1" applyFill="1" applyBorder="1" applyAlignment="1" applyProtection="1">
      <alignment horizontal="left"/>
    </xf>
    <xf numFmtId="1" fontId="16" fillId="6" borderId="1" xfId="0" applyNumberFormat="1" applyFont="1" applyFill="1" applyBorder="1" applyAlignment="1">
      <alignment horizontal="center"/>
    </xf>
    <xf numFmtId="49" fontId="16" fillId="6" borderId="1" xfId="0" applyNumberFormat="1" applyFont="1" applyFill="1" applyBorder="1" applyAlignment="1">
      <alignment horizontal="left"/>
    </xf>
    <xf numFmtId="196" fontId="16" fillId="6" borderId="1" xfId="0" applyNumberFormat="1" applyFont="1" applyFill="1" applyBorder="1" applyAlignment="1"/>
    <xf numFmtId="179" fontId="16" fillId="6" borderId="1" xfId="0" applyNumberFormat="1" applyFont="1" applyFill="1" applyBorder="1" applyAlignment="1"/>
    <xf numFmtId="49" fontId="16" fillId="6" borderId="1" xfId="0" applyNumberFormat="1" applyFont="1" applyFill="1" applyBorder="1" applyAlignment="1">
      <alignment horizontal="right"/>
    </xf>
    <xf numFmtId="177" fontId="16" fillId="6" borderId="1" xfId="0" applyNumberFormat="1" applyFont="1" applyFill="1" applyBorder="1" applyAlignment="1" applyProtection="1">
      <alignment horizontal="left"/>
    </xf>
    <xf numFmtId="0" fontId="143" fillId="6" borderId="1" xfId="0" applyFont="1" applyFill="1" applyBorder="1" applyAlignment="1"/>
    <xf numFmtId="49" fontId="143" fillId="6" borderId="1" xfId="0" applyNumberFormat="1" applyFont="1" applyFill="1" applyBorder="1" applyAlignment="1"/>
    <xf numFmtId="2" fontId="143" fillId="6" borderId="1" xfId="0" applyNumberFormat="1" applyFont="1" applyFill="1" applyBorder="1" applyAlignment="1">
      <alignment horizontal="right"/>
    </xf>
    <xf numFmtId="182" fontId="143" fillId="6" borderId="1" xfId="0" applyNumberFormat="1" applyFont="1" applyFill="1" applyBorder="1" applyAlignment="1"/>
    <xf numFmtId="9" fontId="143" fillId="6" borderId="1" xfId="0" applyNumberFormat="1" applyFont="1" applyFill="1" applyBorder="1" applyAlignment="1"/>
    <xf numFmtId="2" fontId="143" fillId="6" borderId="1" xfId="0" applyNumberFormat="1" applyFont="1" applyFill="1" applyBorder="1" applyAlignment="1" applyProtection="1">
      <alignment horizontal="right"/>
    </xf>
    <xf numFmtId="182" fontId="143" fillId="6" borderId="1" xfId="0" applyNumberFormat="1" applyFont="1" applyFill="1" applyBorder="1" applyAlignment="1">
      <alignment horizontal="right"/>
    </xf>
    <xf numFmtId="0" fontId="143" fillId="6" borderId="1" xfId="0" applyFont="1" applyFill="1" applyBorder="1" applyAlignment="1">
      <alignment horizontal="center"/>
    </xf>
    <xf numFmtId="197" fontId="143" fillId="6" borderId="1" xfId="0" applyNumberFormat="1" applyFont="1" applyFill="1" applyBorder="1" applyAlignment="1" applyProtection="1">
      <alignment horizontal="center"/>
    </xf>
    <xf numFmtId="0" fontId="143" fillId="6" borderId="1" xfId="0" applyFont="1" applyFill="1" applyBorder="1" applyAlignment="1" applyProtection="1">
      <protection locked="0"/>
    </xf>
    <xf numFmtId="31" fontId="143" fillId="6" borderId="1" xfId="0" applyNumberFormat="1" applyFont="1" applyFill="1" applyBorder="1" applyAlignment="1"/>
    <xf numFmtId="184" fontId="143" fillId="6" borderId="1" xfId="0" applyNumberFormat="1" applyFont="1" applyFill="1" applyBorder="1" applyAlignment="1" applyProtection="1">
      <protection locked="0"/>
    </xf>
    <xf numFmtId="0" fontId="246" fillId="6" borderId="0" xfId="0" applyFont="1" applyFill="1" applyBorder="1" applyAlignment="1"/>
    <xf numFmtId="0" fontId="143" fillId="6" borderId="0" xfId="0" applyFont="1" applyFill="1" applyBorder="1" applyAlignment="1" applyProtection="1">
      <protection locked="0"/>
    </xf>
    <xf numFmtId="0" fontId="143" fillId="6" borderId="0" xfId="0" applyFont="1" applyFill="1" applyBorder="1" applyAlignment="1"/>
    <xf numFmtId="0" fontId="143" fillId="6" borderId="1" xfId="0" applyFont="1" applyFill="1" applyBorder="1" applyAlignment="1">
      <alignment horizontal="left"/>
    </xf>
    <xf numFmtId="0" fontId="143" fillId="6" borderId="1" xfId="0" applyFont="1" applyFill="1" applyBorder="1" applyAlignment="1" applyProtection="1">
      <alignment horizontal="left"/>
    </xf>
    <xf numFmtId="0" fontId="143" fillId="6" borderId="1" xfId="0" applyFont="1" applyFill="1" applyBorder="1" applyAlignment="1" applyProtection="1"/>
    <xf numFmtId="1" fontId="143" fillId="6" borderId="1" xfId="0" applyNumberFormat="1" applyFont="1" applyFill="1" applyBorder="1" applyAlignment="1">
      <alignment horizontal="center"/>
    </xf>
    <xf numFmtId="0" fontId="143" fillId="6" borderId="1" xfId="0" applyFont="1" applyFill="1" applyBorder="1" applyAlignment="1" applyProtection="1">
      <alignment horizontal="center"/>
    </xf>
    <xf numFmtId="31" fontId="143" fillId="6" borderId="1" xfId="0" applyNumberFormat="1" applyFont="1" applyFill="1" applyBorder="1" applyAlignment="1" applyProtection="1"/>
    <xf numFmtId="49" fontId="143" fillId="6" borderId="1" xfId="0" applyNumberFormat="1" applyFont="1" applyFill="1" applyBorder="1" applyAlignment="1" applyProtection="1">
      <protection locked="0"/>
    </xf>
    <xf numFmtId="0" fontId="143" fillId="6" borderId="1" xfId="0" applyFont="1" applyFill="1" applyBorder="1" applyAlignment="1" applyProtection="1">
      <alignment horizontal="left"/>
      <protection locked="0"/>
    </xf>
    <xf numFmtId="196" fontId="143" fillId="6" borderId="1" xfId="0" applyNumberFormat="1" applyFont="1" applyFill="1" applyBorder="1" applyAlignment="1" applyProtection="1">
      <alignment horizontal="left"/>
      <protection locked="0"/>
    </xf>
    <xf numFmtId="196" fontId="143" fillId="6" borderId="1" xfId="0" applyNumberFormat="1" applyFont="1" applyFill="1" applyBorder="1" applyAlignment="1" applyProtection="1">
      <alignment horizontal="right"/>
      <protection locked="0"/>
    </xf>
    <xf numFmtId="179" fontId="143" fillId="6" borderId="1" xfId="0" applyNumberFormat="1" applyFont="1" applyFill="1" applyBorder="1" applyAlignment="1" applyProtection="1">
      <protection locked="0"/>
    </xf>
    <xf numFmtId="31" fontId="143" fillId="6" borderId="1" xfId="0" applyNumberFormat="1" applyFont="1" applyFill="1" applyBorder="1" applyAlignment="1">
      <alignment horizontal="left"/>
    </xf>
    <xf numFmtId="49" fontId="143" fillId="6" borderId="1" xfId="0" applyNumberFormat="1" applyFont="1" applyFill="1" applyBorder="1" applyAlignment="1" applyProtection="1">
      <alignment horizontal="left"/>
    </xf>
    <xf numFmtId="196" fontId="143" fillId="6" borderId="1" xfId="0" applyNumberFormat="1" applyFont="1" applyFill="1" applyBorder="1" applyAlignment="1"/>
    <xf numFmtId="179" fontId="143" fillId="6" borderId="1" xfId="0" applyNumberFormat="1" applyFont="1" applyFill="1" applyBorder="1" applyAlignment="1"/>
    <xf numFmtId="0" fontId="166" fillId="6" borderId="0" xfId="0" applyFont="1" applyFill="1" applyAlignment="1"/>
    <xf numFmtId="44" fontId="16" fillId="6" borderId="1" xfId="14" applyFont="1" applyFill="1" applyBorder="1" applyAlignment="1">
      <alignment horizontal="left"/>
    </xf>
    <xf numFmtId="0" fontId="16" fillId="6" borderId="1" xfId="0" applyFont="1" applyFill="1" applyBorder="1" applyAlignment="1">
      <alignment horizontal="right"/>
    </xf>
    <xf numFmtId="196" fontId="16" fillId="6" borderId="1" xfId="0" applyNumberFormat="1" applyFont="1" applyFill="1" applyBorder="1" applyAlignment="1" applyProtection="1">
      <alignment horizontal="left"/>
    </xf>
    <xf numFmtId="184" fontId="16" fillId="6" borderId="1" xfId="0" applyNumberFormat="1" applyFont="1" applyFill="1" applyBorder="1" applyAlignment="1"/>
    <xf numFmtId="31" fontId="16" fillId="6" borderId="1" xfId="0" applyNumberFormat="1" applyFont="1" applyFill="1" applyBorder="1" applyAlignment="1" applyProtection="1">
      <alignment horizontal="right"/>
      <protection locked="0"/>
    </xf>
    <xf numFmtId="179" fontId="16" fillId="6" borderId="1" xfId="0" applyNumberFormat="1" applyFont="1" applyFill="1" applyBorder="1" applyAlignment="1">
      <alignment horizontal="right"/>
    </xf>
    <xf numFmtId="49" fontId="16" fillId="6" borderId="1" xfId="0" applyNumberFormat="1" applyFont="1" applyFill="1" applyBorder="1" applyAlignment="1">
      <alignment horizont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6" fillId="18" borderId="1" xfId="0" applyFont="1" applyFill="1" applyBorder="1" applyAlignment="1"/>
    <xf numFmtId="49" fontId="136" fillId="18" borderId="1" xfId="0" applyNumberFormat="1" applyFont="1" applyFill="1" applyBorder="1" applyAlignment="1">
      <alignment horizontal="center"/>
    </xf>
    <xf numFmtId="0" fontId="16" fillId="0" borderId="0" xfId="0" applyFont="1" applyBorder="1" applyAlignment="1">
      <alignment horizontal="right"/>
    </xf>
    <xf numFmtId="0" fontId="136" fillId="18" borderId="18" xfId="0" applyFont="1" applyFill="1" applyBorder="1" applyAlignment="1">
      <alignment horizontal="center"/>
    </xf>
    <xf numFmtId="49" fontId="136" fillId="18" borderId="18" xfId="0" applyNumberFormat="1" applyFont="1" applyFill="1" applyBorder="1" applyAlignment="1">
      <alignment horizontal="center"/>
    </xf>
    <xf numFmtId="0" fontId="136" fillId="18" borderId="18" xfId="0" applyFont="1" applyFill="1" applyBorder="1" applyAlignment="1"/>
    <xf numFmtId="0" fontId="16" fillId="19" borderId="1" xfId="0" applyFont="1" applyFill="1" applyBorder="1" applyAlignment="1"/>
    <xf numFmtId="49" fontId="16" fillId="19" borderId="1" xfId="0" applyNumberFormat="1" applyFont="1" applyFill="1" applyBorder="1" applyAlignment="1"/>
    <xf numFmtId="0" fontId="16" fillId="0" borderId="0" xfId="0" applyFont="1" applyFill="1" applyBorder="1" applyAlignment="1"/>
    <xf numFmtId="0" fontId="136" fillId="18" borderId="1" xfId="0" applyFont="1" applyFill="1" applyBorder="1" applyAlignment="1">
      <alignment horizontal="left"/>
    </xf>
    <xf numFmtId="9" fontId="136" fillId="18" borderId="1" xfId="0" applyNumberFormat="1" applyFont="1" applyFill="1" applyBorder="1" applyAlignment="1">
      <alignment horizontal="center"/>
    </xf>
    <xf numFmtId="0" fontId="16" fillId="0" borderId="0" xfId="0" applyFont="1" applyBorder="1" applyAlignment="1">
      <alignment horizontal="left"/>
    </xf>
    <xf numFmtId="0" fontId="136" fillId="18" borderId="18" xfId="0" applyFont="1" applyFill="1" applyBorder="1" applyAlignment="1">
      <alignment horizontal="left"/>
    </xf>
    <xf numFmtId="9" fontId="136" fillId="18" borderId="18" xfId="0" applyNumberFormat="1" applyFont="1" applyFill="1" applyBorder="1" applyAlignment="1">
      <alignment horizontal="center"/>
    </xf>
    <xf numFmtId="0" fontId="16" fillId="19" borderId="1" xfId="0" applyFont="1" applyFill="1" applyBorder="1" applyAlignment="1">
      <alignment horizontal="left"/>
    </xf>
    <xf numFmtId="49" fontId="16" fillId="19" borderId="1" xfId="0" applyNumberFormat="1" applyFont="1" applyFill="1" applyBorder="1" applyAlignment="1" applyProtection="1">
      <alignment horizontal="left"/>
    </xf>
    <xf numFmtId="0" fontId="16" fillId="19" borderId="1" xfId="0" applyFont="1" applyFill="1" applyBorder="1" applyAlignment="1" applyProtection="1">
      <alignment horizontal="left"/>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47" fillId="5" borderId="46" xfId="1" applyFont="1" applyFill="1" applyBorder="1" applyAlignment="1" applyProtection="1">
      <alignment vertical="center"/>
    </xf>
    <xf numFmtId="0" fontId="248" fillId="5" borderId="37" xfId="1" applyFont="1" applyFill="1" applyBorder="1" applyAlignment="1" applyProtection="1">
      <alignment vertical="center"/>
    </xf>
    <xf numFmtId="0" fontId="249" fillId="5" borderId="0" xfId="8" applyFont="1" applyFill="1" applyAlignment="1" applyProtection="1">
      <alignment vertical="center" wrapText="1"/>
    </xf>
    <xf numFmtId="0" fontId="248" fillId="5" borderId="1" xfId="1" applyFont="1" applyFill="1" applyBorder="1" applyAlignment="1" applyProtection="1">
      <alignment vertical="center"/>
    </xf>
    <xf numFmtId="49" fontId="49" fillId="5" borderId="1" xfId="8" applyNumberFormat="1" applyFont="1" applyFill="1" applyBorder="1" applyAlignment="1" applyProtection="1">
      <alignment horizontal="center" vertical="center" wrapText="1"/>
    </xf>
    <xf numFmtId="0" fontId="249" fillId="8" borderId="0" xfId="8" applyFont="1" applyFill="1" applyAlignment="1" applyProtection="1">
      <alignment vertical="center" wrapText="1"/>
      <protection locked="0"/>
    </xf>
    <xf numFmtId="0" fontId="249" fillId="0" borderId="0" xfId="8" applyFont="1" applyAlignment="1" applyProtection="1">
      <alignment vertical="center" wrapText="1"/>
    </xf>
    <xf numFmtId="0" fontId="249" fillId="0" borderId="0" xfId="8" applyFont="1" applyAlignment="1" applyProtection="1">
      <alignment horizontal="center" vertical="center" wrapText="1"/>
    </xf>
    <xf numFmtId="0" fontId="249" fillId="8" borderId="0" xfId="8" applyFont="1" applyFill="1" applyAlignment="1" applyProtection="1">
      <alignment horizontal="center" vertical="center" wrapText="1"/>
    </xf>
    <xf numFmtId="0" fontId="249" fillId="8" borderId="0" xfId="8" applyFont="1" applyFill="1" applyAlignment="1" applyProtection="1">
      <alignment horizontal="center" vertical="center" wrapText="1"/>
      <protection locked="0"/>
    </xf>
    <xf numFmtId="0" fontId="248" fillId="5" borderId="2" xfId="1" applyFont="1" applyFill="1" applyBorder="1" applyAlignment="1" applyProtection="1">
      <alignment vertical="center"/>
    </xf>
    <xf numFmtId="0" fontId="52" fillId="5" borderId="2" xfId="1" applyFont="1" applyFill="1" applyBorder="1" applyAlignment="1" applyProtection="1">
      <alignment horizontal="right" vertical="center"/>
    </xf>
    <xf numFmtId="0" fontId="248" fillId="5" borderId="51" xfId="1" applyFont="1" applyFill="1" applyBorder="1" applyAlignment="1" applyProtection="1">
      <alignment vertical="center"/>
    </xf>
    <xf numFmtId="0" fontId="249" fillId="5" borderId="1" xfId="8" applyNumberFormat="1" applyFont="1" applyFill="1" applyBorder="1" applyAlignment="1" applyProtection="1">
      <alignment horizontal="left" vertical="center" wrapText="1"/>
    </xf>
    <xf numFmtId="0" fontId="249" fillId="5" borderId="1" xfId="8" applyFont="1" applyFill="1" applyBorder="1" applyAlignment="1" applyProtection="1">
      <alignment vertical="center" wrapText="1"/>
    </xf>
    <xf numFmtId="0" fontId="249" fillId="5" borderId="1" xfId="8" applyNumberFormat="1" applyFont="1" applyFill="1" applyBorder="1" applyAlignment="1" applyProtection="1">
      <alignment horizontal="center" vertical="center" wrapText="1"/>
    </xf>
    <xf numFmtId="0" fontId="249" fillId="6" borderId="1" xfId="8" applyFont="1" applyFill="1" applyBorder="1" applyAlignment="1" applyProtection="1">
      <alignment horizontal="center" vertical="center" wrapText="1"/>
      <protection locked="0"/>
    </xf>
    <xf numFmtId="0" fontId="249" fillId="5" borderId="0" xfId="8" applyNumberFormat="1" applyFont="1" applyFill="1" applyAlignment="1" applyProtection="1">
      <alignment vertical="center" wrapText="1"/>
    </xf>
    <xf numFmtId="0" fontId="248" fillId="5" borderId="35" xfId="1" applyFont="1" applyFill="1" applyBorder="1" applyAlignment="1" applyProtection="1">
      <alignment vertical="center"/>
    </xf>
    <xf numFmtId="0" fontId="52" fillId="5" borderId="60" xfId="1" applyFont="1" applyFill="1" applyBorder="1" applyAlignment="1" applyProtection="1">
      <alignment horizontal="right" vertical="center"/>
    </xf>
    <xf numFmtId="0" fontId="249" fillId="6" borderId="1" xfId="8" applyNumberFormat="1" applyFont="1" applyFill="1" applyBorder="1" applyAlignment="1" applyProtection="1">
      <alignment vertical="center" wrapText="1"/>
      <protection locked="0"/>
    </xf>
    <xf numFmtId="0" fontId="249" fillId="6" borderId="1" xfId="8" applyFont="1" applyFill="1" applyBorder="1" applyAlignment="1" applyProtection="1">
      <alignment horizontal="left" vertical="center"/>
      <protection locked="0"/>
    </xf>
    <xf numFmtId="0" fontId="46" fillId="5" borderId="1" xfId="8" applyNumberFormat="1" applyFont="1" applyFill="1" applyBorder="1" applyAlignment="1" applyProtection="1">
      <alignment horizontal="center" vertical="center" wrapText="1"/>
    </xf>
    <xf numFmtId="0" fontId="249" fillId="5" borderId="1" xfId="8" applyFont="1" applyFill="1" applyBorder="1" applyAlignment="1" applyProtection="1">
      <alignment horizontal="left" vertical="center"/>
    </xf>
    <xf numFmtId="0" fontId="48" fillId="5" borderId="1" xfId="8" applyFont="1" applyFill="1" applyBorder="1" applyAlignment="1" applyProtection="1">
      <alignment horizontal="center" vertical="center" wrapText="1"/>
    </xf>
    <xf numFmtId="0" fontId="248" fillId="5" borderId="3" xfId="1" applyFont="1" applyFill="1" applyBorder="1" applyAlignment="1" applyProtection="1">
      <alignment vertical="center"/>
    </xf>
    <xf numFmtId="0" fontId="249" fillId="5" borderId="0" xfId="8" applyNumberFormat="1" applyFont="1" applyFill="1" applyBorder="1" applyAlignment="1" applyProtection="1">
      <alignment horizontal="left" vertical="center" wrapText="1"/>
    </xf>
    <xf numFmtId="0" fontId="249" fillId="5" borderId="0" xfId="8" applyFont="1" applyFill="1" applyBorder="1" applyAlignment="1" applyProtection="1">
      <alignment horizontal="left" vertical="center"/>
      <protection locked="0"/>
    </xf>
    <xf numFmtId="0" fontId="46" fillId="5" borderId="0" xfId="8" applyNumberFormat="1" applyFont="1" applyFill="1" applyBorder="1" applyAlignment="1" applyProtection="1">
      <alignment horizontal="center" vertical="center" wrapText="1"/>
    </xf>
    <xf numFmtId="0" fontId="249" fillId="5" borderId="0" xfId="8" applyFont="1" applyFill="1" applyBorder="1" applyAlignment="1" applyProtection="1">
      <alignment horizontal="left" vertical="center"/>
    </xf>
    <xf numFmtId="0" fontId="48" fillId="5" borderId="0" xfId="8" applyFont="1" applyFill="1" applyBorder="1" applyAlignment="1" applyProtection="1">
      <alignment horizontal="center" vertical="center" wrapText="1"/>
    </xf>
    <xf numFmtId="0" fontId="52" fillId="5" borderId="40" xfId="8" applyFont="1" applyFill="1" applyBorder="1" applyAlignment="1" applyProtection="1">
      <alignment vertical="center" wrapText="1"/>
    </xf>
    <xf numFmtId="0" fontId="248" fillId="5" borderId="56" xfId="8" applyFont="1" applyFill="1" applyBorder="1" applyAlignment="1" applyProtection="1">
      <alignment vertical="center" wrapText="1"/>
    </xf>
    <xf numFmtId="0" fontId="248" fillId="5" borderId="40" xfId="8" applyFont="1" applyFill="1" applyBorder="1" applyAlignment="1" applyProtection="1">
      <alignment vertical="center" wrapText="1"/>
    </xf>
    <xf numFmtId="0" fontId="248" fillId="5" borderId="70" xfId="8" applyFont="1" applyFill="1" applyBorder="1" applyAlignment="1" applyProtection="1">
      <alignment vertical="center" wrapText="1"/>
    </xf>
    <xf numFmtId="0" fontId="248" fillId="5" borderId="22" xfId="8" applyFont="1" applyFill="1" applyBorder="1" applyAlignment="1" applyProtection="1">
      <alignment horizontal="center" vertical="center" wrapText="1"/>
    </xf>
    <xf numFmtId="0" fontId="248" fillId="5" borderId="57" xfId="8" applyFont="1" applyFill="1" applyBorder="1" applyAlignment="1" applyProtection="1">
      <alignment horizontal="left" vertical="center" wrapText="1"/>
    </xf>
    <xf numFmtId="0" fontId="121" fillId="5" borderId="11" xfId="8" applyFont="1" applyFill="1" applyBorder="1" applyAlignment="1" applyProtection="1">
      <alignment horizontal="center" vertical="center"/>
    </xf>
    <xf numFmtId="0" fontId="248" fillId="5" borderId="37" xfId="8" applyFont="1" applyFill="1" applyBorder="1" applyAlignment="1" applyProtection="1">
      <alignment vertical="center" wrapText="1"/>
    </xf>
    <xf numFmtId="0" fontId="250" fillId="5" borderId="37" xfId="8" applyFont="1" applyFill="1" applyBorder="1" applyAlignment="1" applyProtection="1">
      <alignment vertical="center" wrapText="1"/>
    </xf>
    <xf numFmtId="0" fontId="250" fillId="5" borderId="79" xfId="8" applyFont="1" applyFill="1" applyBorder="1" applyAlignment="1" applyProtection="1">
      <alignment vertical="center" wrapText="1"/>
    </xf>
    <xf numFmtId="0" fontId="251" fillId="8" borderId="0" xfId="8" applyFont="1" applyFill="1" applyAlignment="1" applyProtection="1">
      <alignment vertical="center"/>
      <protection locked="0"/>
    </xf>
    <xf numFmtId="0" fontId="251" fillId="0" borderId="0" xfId="8" applyFont="1" applyAlignment="1" applyProtection="1">
      <alignment vertical="center" wrapText="1"/>
    </xf>
    <xf numFmtId="0" fontId="251" fillId="8" borderId="0" xfId="8" applyFont="1" applyFill="1" applyAlignment="1" applyProtection="1">
      <alignment horizontal="center" vertical="center" wrapText="1"/>
      <protection locked="0"/>
    </xf>
    <xf numFmtId="0" fontId="251" fillId="0" borderId="0" xfId="8" applyFont="1" applyAlignment="1" applyProtection="1">
      <alignment horizontal="center" vertical="center" wrapText="1"/>
    </xf>
    <xf numFmtId="0" fontId="248" fillId="5" borderId="7" xfId="8" applyFont="1" applyFill="1" applyBorder="1" applyAlignment="1" applyProtection="1">
      <alignment horizontal="center" vertical="center" wrapText="1"/>
    </xf>
    <xf numFmtId="0" fontId="248" fillId="5" borderId="1" xfId="8" applyFont="1" applyFill="1" applyBorder="1" applyAlignment="1" applyProtection="1">
      <alignment horizontal="left" vertical="center" wrapText="1"/>
    </xf>
    <xf numFmtId="0" fontId="132" fillId="5" borderId="1" xfId="8" applyFont="1" applyFill="1" applyBorder="1" applyAlignment="1" applyProtection="1">
      <alignment horizontal="center" vertical="center"/>
    </xf>
    <xf numFmtId="0" fontId="248" fillId="5" borderId="2" xfId="8" applyFont="1" applyFill="1" applyBorder="1" applyAlignment="1" applyProtection="1">
      <alignment vertical="center"/>
    </xf>
    <xf numFmtId="0" fontId="248" fillId="5" borderId="51" xfId="8" applyFont="1" applyFill="1" applyBorder="1" applyAlignment="1" applyProtection="1">
      <alignment vertical="center" wrapText="1"/>
    </xf>
    <xf numFmtId="0" fontId="250" fillId="5" borderId="51" xfId="8" applyFont="1" applyFill="1" applyBorder="1" applyAlignment="1" applyProtection="1">
      <alignment vertical="center" wrapText="1"/>
    </xf>
    <xf numFmtId="0" fontId="250" fillId="5" borderId="41" xfId="8" applyFont="1" applyFill="1" applyBorder="1" applyAlignment="1" applyProtection="1">
      <alignment vertical="center" wrapText="1"/>
    </xf>
    <xf numFmtId="0" fontId="249" fillId="8" borderId="0" xfId="8" applyFont="1" applyFill="1" applyAlignment="1" applyProtection="1">
      <alignment vertical="center"/>
      <protection locked="0"/>
    </xf>
    <xf numFmtId="0" fontId="248" fillId="5" borderId="8" xfId="8" applyFont="1" applyFill="1" applyBorder="1" applyAlignment="1" applyProtection="1">
      <alignment horizontal="center" vertical="center" wrapText="1"/>
    </xf>
    <xf numFmtId="0" fontId="248" fillId="5" borderId="61" xfId="8" applyFont="1" applyFill="1" applyBorder="1" applyAlignment="1" applyProtection="1">
      <alignment horizontal="left" vertical="center" wrapText="1"/>
    </xf>
    <xf numFmtId="0" fontId="52" fillId="0" borderId="61" xfId="8" applyFont="1" applyBorder="1" applyAlignment="1" applyProtection="1">
      <alignment horizontal="center" vertical="center" wrapText="1"/>
      <protection locked="0"/>
    </xf>
    <xf numFmtId="0" fontId="252" fillId="5" borderId="61" xfId="8" applyFont="1" applyFill="1" applyBorder="1" applyAlignment="1" applyProtection="1">
      <alignment horizontal="left" vertical="center"/>
    </xf>
    <xf numFmtId="0" fontId="252" fillId="5" borderId="61" xfId="8" applyFont="1" applyFill="1" applyBorder="1" applyAlignment="1" applyProtection="1">
      <alignment vertical="center" wrapText="1"/>
    </xf>
    <xf numFmtId="0" fontId="248" fillId="5" borderId="40" xfId="8" applyFont="1" applyFill="1" applyBorder="1" applyAlignment="1" applyProtection="1">
      <alignment vertical="center"/>
    </xf>
    <xf numFmtId="0" fontId="250" fillId="5" borderId="40" xfId="8" applyFont="1" applyFill="1" applyBorder="1" applyAlignment="1" applyProtection="1">
      <alignment vertical="center" wrapText="1"/>
    </xf>
    <xf numFmtId="0" fontId="250" fillId="5" borderId="30" xfId="8" applyFont="1" applyFill="1" applyBorder="1" applyAlignment="1" applyProtection="1">
      <alignment vertical="center" wrapText="1"/>
    </xf>
    <xf numFmtId="0" fontId="248" fillId="5" borderId="26" xfId="8" applyFont="1" applyFill="1" applyBorder="1" applyAlignment="1" applyProtection="1">
      <alignment horizontal="center" vertical="center" wrapText="1"/>
    </xf>
    <xf numFmtId="0" fontId="248" fillId="5" borderId="49" xfId="8" applyFont="1" applyFill="1" applyBorder="1" applyAlignment="1" applyProtection="1">
      <alignment horizontal="left" vertical="center" wrapText="1"/>
    </xf>
    <xf numFmtId="187" fontId="52" fillId="5" borderId="60" xfId="8" applyNumberFormat="1" applyFont="1" applyFill="1" applyBorder="1" applyAlignment="1" applyProtection="1">
      <alignment horizontal="center" vertical="center" wrapText="1"/>
    </xf>
    <xf numFmtId="0" fontId="250" fillId="5" borderId="168" xfId="8" applyFont="1" applyFill="1" applyBorder="1" applyAlignment="1" applyProtection="1">
      <alignment horizontal="center" vertical="center" wrapText="1"/>
    </xf>
    <xf numFmtId="14" fontId="53" fillId="5" borderId="12" xfId="8" applyNumberFormat="1" applyFont="1" applyFill="1" applyBorder="1" applyAlignment="1" applyProtection="1">
      <alignment horizontal="center" vertical="center" wrapText="1"/>
    </xf>
    <xf numFmtId="0" fontId="53" fillId="5" borderId="169" xfId="8" applyFont="1" applyFill="1" applyBorder="1" applyAlignment="1" applyProtection="1">
      <alignment horizontal="center" vertical="center" wrapText="1"/>
    </xf>
    <xf numFmtId="0" fontId="250" fillId="5" borderId="25" xfId="8" applyFont="1" applyFill="1" applyBorder="1" applyAlignment="1" applyProtection="1">
      <alignment horizontal="center" vertical="center" wrapText="1"/>
    </xf>
    <xf numFmtId="14" fontId="53" fillId="5" borderId="0" xfId="8" applyNumberFormat="1" applyFont="1" applyFill="1" applyBorder="1" applyAlignment="1" applyProtection="1">
      <alignment horizontal="center" vertical="center" wrapText="1"/>
    </xf>
    <xf numFmtId="0" fontId="53" fillId="5" borderId="49" xfId="8" applyNumberFormat="1" applyFont="1" applyFill="1" applyBorder="1" applyAlignment="1" applyProtection="1">
      <alignment horizontal="center" vertical="center" wrapText="1"/>
    </xf>
    <xf numFmtId="0" fontId="250" fillId="5" borderId="53" xfId="8" applyFont="1" applyFill="1" applyBorder="1" applyAlignment="1" applyProtection="1">
      <alignment vertical="center" wrapText="1"/>
    </xf>
    <xf numFmtId="0" fontId="248" fillId="5" borderId="9" xfId="8" applyFont="1" applyFill="1" applyBorder="1" applyAlignment="1" applyProtection="1">
      <alignment horizontal="center" vertical="center" wrapText="1"/>
    </xf>
    <xf numFmtId="0" fontId="248" fillId="5" borderId="84" xfId="8" applyFont="1" applyFill="1" applyBorder="1" applyAlignment="1" applyProtection="1">
      <alignment horizontal="left" vertical="center" wrapText="1"/>
    </xf>
    <xf numFmtId="187" fontId="52" fillId="5" borderId="14" xfId="8" applyNumberFormat="1" applyFont="1" applyFill="1" applyBorder="1" applyAlignment="1" applyProtection="1">
      <alignment horizontal="center" vertical="center" wrapText="1"/>
    </xf>
    <xf numFmtId="0" fontId="250" fillId="5" borderId="170" xfId="8" applyFont="1" applyFill="1" applyBorder="1" applyAlignment="1" applyProtection="1">
      <alignment horizontal="center" vertical="center" wrapText="1"/>
    </xf>
    <xf numFmtId="181" fontId="129" fillId="0" borderId="171" xfId="8" applyNumberFormat="1" applyFont="1" applyFill="1" applyBorder="1" applyAlignment="1" applyProtection="1">
      <alignment horizontal="center" vertical="center" wrapText="1"/>
      <protection locked="0"/>
    </xf>
    <xf numFmtId="0" fontId="249" fillId="6" borderId="67" xfId="8" applyFont="1" applyFill="1" applyBorder="1" applyAlignment="1" applyProtection="1">
      <alignment horizontal="center" vertical="center" wrapText="1"/>
      <protection locked="0"/>
    </xf>
    <xf numFmtId="0" fontId="53" fillId="5" borderId="14" xfId="8" applyFont="1" applyFill="1" applyBorder="1" applyAlignment="1" applyProtection="1">
      <alignment horizontal="center" vertical="center" wrapText="1"/>
    </xf>
    <xf numFmtId="0" fontId="250" fillId="5" borderId="14" xfId="8" applyFont="1" applyFill="1" applyBorder="1" applyAlignment="1" applyProtection="1">
      <alignment vertical="center" wrapText="1"/>
    </xf>
    <xf numFmtId="0" fontId="250" fillId="5" borderId="81" xfId="8" applyFont="1" applyFill="1" applyBorder="1" applyAlignment="1" applyProtection="1">
      <alignment vertical="center" wrapText="1"/>
    </xf>
    <xf numFmtId="0" fontId="248" fillId="5" borderId="4" xfId="8" applyFont="1" applyFill="1" applyBorder="1" applyAlignment="1" applyProtection="1">
      <alignment horizontal="center" vertical="center" wrapText="1"/>
    </xf>
    <xf numFmtId="0" fontId="248" fillId="5" borderId="37" xfId="8" applyFont="1" applyFill="1" applyBorder="1" applyAlignment="1" applyProtection="1">
      <alignment vertical="center" wrapText="1"/>
      <protection locked="0"/>
    </xf>
    <xf numFmtId="0" fontId="53" fillId="5" borderId="11" xfId="8" applyFont="1" applyFill="1" applyBorder="1" applyAlignment="1" applyProtection="1">
      <alignment horizontal="center" vertical="center" wrapText="1"/>
    </xf>
    <xf numFmtId="0" fontId="250" fillId="6" borderId="11" xfId="8" applyFont="1" applyFill="1" applyBorder="1" applyAlignment="1" applyProtection="1">
      <alignment horizontal="center" vertical="center" wrapText="1"/>
      <protection locked="0"/>
    </xf>
    <xf numFmtId="0" fontId="250" fillId="5" borderId="59" xfId="8" applyFont="1" applyFill="1" applyBorder="1" applyAlignment="1" applyProtection="1">
      <alignment vertical="center" wrapText="1"/>
    </xf>
    <xf numFmtId="0" fontId="250" fillId="5" borderId="7" xfId="8" applyFont="1" applyFill="1" applyBorder="1" applyAlignment="1" applyProtection="1">
      <alignment horizontal="center" vertical="center" wrapText="1"/>
    </xf>
    <xf numFmtId="0" fontId="250" fillId="5" borderId="1" xfId="8" applyFont="1" applyFill="1" applyBorder="1" applyAlignment="1" applyProtection="1">
      <alignment horizontal="left" vertical="center" wrapText="1"/>
    </xf>
    <xf numFmtId="0" fontId="53" fillId="5" borderId="1" xfId="8" applyFont="1" applyFill="1" applyBorder="1" applyAlignment="1" applyProtection="1">
      <alignment horizontal="center" vertical="center" wrapText="1"/>
    </xf>
    <xf numFmtId="0" fontId="53" fillId="5" borderId="2" xfId="8" applyFont="1" applyFill="1" applyBorder="1" applyAlignment="1" applyProtection="1">
      <alignment horizontal="center" vertical="center" wrapText="1"/>
    </xf>
    <xf numFmtId="179" fontId="53" fillId="5" borderId="172" xfId="8" applyNumberFormat="1" applyFont="1" applyFill="1" applyBorder="1" applyAlignment="1" applyProtection="1">
      <alignment horizontal="center" vertical="center" wrapText="1"/>
    </xf>
    <xf numFmtId="0" fontId="53" fillId="5" borderId="173" xfId="8" applyFont="1" applyFill="1" applyBorder="1" applyAlignment="1" applyProtection="1">
      <alignment horizontal="center" vertical="center" wrapText="1"/>
    </xf>
    <xf numFmtId="179" fontId="53" fillId="5" borderId="3" xfId="8" applyNumberFormat="1" applyFont="1" applyFill="1" applyBorder="1" applyAlignment="1" applyProtection="1">
      <alignment horizontal="center" vertical="center" wrapText="1"/>
    </xf>
    <xf numFmtId="0" fontId="250" fillId="5" borderId="1" xfId="8" applyFont="1" applyFill="1" applyBorder="1" applyAlignment="1" applyProtection="1">
      <alignment vertical="center" wrapText="1"/>
    </xf>
    <xf numFmtId="0" fontId="250" fillId="5" borderId="6" xfId="8" applyFont="1" applyFill="1" applyBorder="1" applyAlignment="1" applyProtection="1">
      <alignment vertical="center" wrapText="1"/>
    </xf>
    <xf numFmtId="0" fontId="250" fillId="5" borderId="1" xfId="8" applyFont="1" applyFill="1" applyBorder="1" applyAlignment="1" applyProtection="1">
      <alignment horizontal="center" vertical="center" wrapText="1"/>
    </xf>
    <xf numFmtId="0" fontId="250" fillId="5" borderId="6" xfId="8" applyFont="1" applyFill="1" applyBorder="1" applyAlignment="1" applyProtection="1">
      <alignment horizontal="center" vertical="center" wrapText="1"/>
    </xf>
    <xf numFmtId="0" fontId="250" fillId="5" borderId="42" xfId="8" applyFont="1" applyFill="1" applyBorder="1" applyAlignment="1" applyProtection="1">
      <alignment horizontal="center" vertical="center" wrapText="1"/>
    </xf>
    <xf numFmtId="0" fontId="250" fillId="5" borderId="71" xfId="8" applyFont="1" applyFill="1" applyBorder="1" applyAlignment="1" applyProtection="1">
      <alignment horizontal="left" vertical="center" wrapText="1"/>
    </xf>
    <xf numFmtId="0" fontId="53" fillId="5" borderId="71" xfId="8" applyFont="1" applyFill="1" applyBorder="1" applyAlignment="1" applyProtection="1">
      <alignment horizontal="center" vertical="center" wrapText="1"/>
    </xf>
    <xf numFmtId="0" fontId="53" fillId="5" borderId="61" xfId="8" applyFont="1" applyFill="1" applyBorder="1" applyAlignment="1" applyProtection="1">
      <alignment horizontal="center" vertical="center" wrapText="1"/>
    </xf>
    <xf numFmtId="179" fontId="53" fillId="5" borderId="70" xfId="8" applyNumberFormat="1" applyFont="1" applyFill="1" applyBorder="1" applyAlignment="1" applyProtection="1">
      <alignment horizontal="center" vertical="center" wrapText="1"/>
    </xf>
    <xf numFmtId="179" fontId="53" fillId="5" borderId="71" xfId="8" applyNumberFormat="1" applyFont="1" applyFill="1" applyBorder="1" applyAlignment="1" applyProtection="1">
      <alignment horizontal="center" vertical="center" wrapText="1"/>
    </xf>
    <xf numFmtId="0" fontId="250" fillId="5" borderId="71" xfId="8" applyFont="1" applyFill="1" applyBorder="1" applyAlignment="1" applyProtection="1">
      <alignment horizontal="center" vertical="center" wrapText="1"/>
    </xf>
    <xf numFmtId="0" fontId="250" fillId="5" borderId="73" xfId="8" applyFont="1" applyFill="1" applyBorder="1" applyAlignment="1" applyProtection="1">
      <alignment horizontal="center" vertical="center" wrapText="1"/>
    </xf>
    <xf numFmtId="0" fontId="248" fillId="5" borderId="42" xfId="8" applyFont="1" applyFill="1" applyBorder="1" applyAlignment="1" applyProtection="1">
      <alignment horizontal="center" vertical="center" wrapText="1"/>
    </xf>
    <xf numFmtId="0" fontId="248" fillId="5" borderId="71" xfId="8" applyFont="1" applyFill="1" applyBorder="1" applyAlignment="1" applyProtection="1">
      <alignment horizontal="left" vertical="center" wrapText="1"/>
    </xf>
    <xf numFmtId="187" fontId="52" fillId="5" borderId="71" xfId="8" applyNumberFormat="1" applyFont="1" applyFill="1" applyBorder="1" applyAlignment="1" applyProtection="1">
      <alignment horizontal="center" vertical="center" wrapText="1"/>
    </xf>
    <xf numFmtId="0" fontId="250" fillId="5" borderId="40" xfId="8" applyFont="1" applyFill="1" applyBorder="1" applyAlignment="1" applyProtection="1">
      <alignment vertical="center"/>
    </xf>
    <xf numFmtId="0" fontId="250" fillId="5" borderId="71" xfId="8" applyFont="1" applyFill="1" applyBorder="1" applyAlignment="1" applyProtection="1">
      <alignment vertical="center" wrapText="1"/>
    </xf>
    <xf numFmtId="0" fontId="250" fillId="5" borderId="73" xfId="8" applyFont="1" applyFill="1" applyBorder="1" applyAlignment="1" applyProtection="1">
      <alignment vertical="center" wrapText="1"/>
    </xf>
    <xf numFmtId="0" fontId="52" fillId="0" borderId="84" xfId="8" applyFont="1" applyFill="1" applyBorder="1" applyAlignment="1" applyProtection="1">
      <alignment horizontal="center" vertical="center" wrapText="1"/>
      <protection locked="0"/>
    </xf>
    <xf numFmtId="0" fontId="253" fillId="5" borderId="66" xfId="8" applyFont="1" applyFill="1" applyBorder="1" applyAlignment="1" applyProtection="1">
      <alignment vertical="center" wrapText="1"/>
    </xf>
    <xf numFmtId="0" fontId="250" fillId="5" borderId="170" xfId="8" applyFont="1" applyFill="1" applyBorder="1" applyAlignment="1" applyProtection="1">
      <alignment horizontal="left" vertical="center" wrapText="1"/>
    </xf>
    <xf numFmtId="0" fontId="250" fillId="6" borderId="171" xfId="8" applyFont="1" applyFill="1" applyBorder="1" applyAlignment="1" applyProtection="1">
      <alignment horizontal="center" vertical="center" wrapText="1"/>
      <protection locked="0"/>
    </xf>
    <xf numFmtId="0" fontId="250" fillId="5" borderId="67" xfId="8" applyFont="1" applyFill="1" applyBorder="1" applyAlignment="1" applyProtection="1">
      <alignment vertical="center" wrapText="1"/>
    </xf>
    <xf numFmtId="0" fontId="250" fillId="5" borderId="84" xfId="8" applyFont="1" applyFill="1" applyBorder="1" applyAlignment="1" applyProtection="1">
      <alignment horizontal="center" vertical="center" wrapText="1"/>
    </xf>
    <xf numFmtId="0" fontId="248" fillId="5" borderId="84" xfId="8" applyFont="1" applyFill="1" applyBorder="1" applyAlignment="1" applyProtection="1">
      <alignment vertical="center" wrapText="1"/>
    </xf>
    <xf numFmtId="0" fontId="248" fillId="5" borderId="81" xfId="8" applyFont="1" applyFill="1" applyBorder="1" applyAlignment="1" applyProtection="1">
      <alignment vertical="center" wrapText="1"/>
    </xf>
    <xf numFmtId="0" fontId="248" fillId="5" borderId="13" xfId="8" applyFont="1" applyFill="1" applyBorder="1" applyAlignment="1" applyProtection="1">
      <alignment horizontal="left" vertical="center" wrapText="1"/>
    </xf>
    <xf numFmtId="0" fontId="52" fillId="5" borderId="11" xfId="8" applyFont="1" applyFill="1" applyBorder="1" applyAlignment="1" applyProtection="1">
      <alignment horizontal="center" vertical="center" wrapText="1"/>
    </xf>
    <xf numFmtId="0" fontId="248" fillId="5" borderId="11" xfId="8" applyFont="1" applyFill="1" applyBorder="1" applyAlignment="1" applyProtection="1">
      <alignment horizontal="center" vertical="center" wrapText="1"/>
    </xf>
    <xf numFmtId="0" fontId="248" fillId="5" borderId="13" xfId="8" applyFont="1" applyFill="1" applyBorder="1" applyAlignment="1" applyProtection="1">
      <alignment horizontal="center" vertical="center" wrapText="1"/>
    </xf>
    <xf numFmtId="0" fontId="248" fillId="5" borderId="16" xfId="8" applyFont="1" applyFill="1" applyBorder="1" applyAlignment="1" applyProtection="1">
      <alignment horizontal="center" vertical="center" wrapText="1"/>
    </xf>
    <xf numFmtId="0" fontId="250" fillId="5" borderId="3" xfId="8" applyFont="1" applyFill="1" applyBorder="1" applyAlignment="1" applyProtection="1">
      <alignment horizontal="left" vertical="center" wrapText="1"/>
    </xf>
    <xf numFmtId="0" fontId="52" fillId="5" borderId="1" xfId="8" applyFont="1" applyFill="1" applyBorder="1" applyAlignment="1" applyProtection="1">
      <alignment horizontal="center" vertical="center" wrapText="1"/>
    </xf>
    <xf numFmtId="49" fontId="53" fillId="5" borderId="1" xfId="8" applyNumberFormat="1" applyFont="1" applyFill="1" applyBorder="1" applyAlignment="1" applyProtection="1">
      <alignment horizontal="center" vertical="center" wrapText="1"/>
    </xf>
    <xf numFmtId="0" fontId="129" fillId="5" borderId="1" xfId="8" applyFont="1" applyFill="1" applyBorder="1" applyAlignment="1" applyProtection="1">
      <alignment horizontal="center" vertical="center"/>
    </xf>
    <xf numFmtId="0" fontId="199" fillId="5" borderId="2" xfId="8" applyFont="1" applyFill="1" applyBorder="1" applyAlignment="1" applyProtection="1">
      <alignment vertical="center"/>
    </xf>
    <xf numFmtId="0" fontId="155" fillId="5" borderId="51" xfId="8" applyFont="1" applyFill="1" applyBorder="1" applyAlignment="1" applyProtection="1">
      <alignment vertical="center"/>
    </xf>
    <xf numFmtId="0" fontId="155" fillId="5" borderId="41" xfId="8" applyFont="1" applyFill="1" applyBorder="1" applyAlignment="1" applyProtection="1">
      <alignment vertical="center"/>
    </xf>
    <xf numFmtId="0" fontId="251" fillId="8" borderId="0" xfId="8" applyFont="1" applyFill="1" applyAlignment="1" applyProtection="1">
      <alignment vertical="center" wrapText="1"/>
      <protection locked="0"/>
    </xf>
    <xf numFmtId="0" fontId="248" fillId="5" borderId="23" xfId="8" applyFont="1" applyFill="1" applyBorder="1" applyAlignment="1" applyProtection="1">
      <alignment horizontal="center" vertical="center" wrapText="1"/>
    </xf>
    <xf numFmtId="0" fontId="254" fillId="5" borderId="3" xfId="8" applyFont="1" applyFill="1" applyBorder="1" applyAlignment="1" applyProtection="1">
      <alignment horizontal="left" vertical="center" wrapText="1"/>
    </xf>
    <xf numFmtId="0" fontId="250" fillId="5" borderId="1" xfId="8" applyFont="1" applyFill="1" applyBorder="1" applyAlignment="1" applyProtection="1">
      <alignment vertical="center"/>
    </xf>
    <xf numFmtId="0" fontId="248" fillId="5" borderId="26" xfId="8" applyFont="1" applyFill="1" applyBorder="1" applyAlignment="1" applyProtection="1">
      <alignment horizontal="center" vertical="center" wrapText="1"/>
    </xf>
    <xf numFmtId="0" fontId="53" fillId="5" borderId="17" xfId="8" applyFont="1" applyFill="1" applyBorder="1" applyAlignment="1" applyProtection="1">
      <alignment horizontal="center" vertical="center" wrapText="1"/>
    </xf>
    <xf numFmtId="49" fontId="53" fillId="5" borderId="17" xfId="8" applyNumberFormat="1" applyFont="1" applyFill="1" applyBorder="1" applyAlignment="1" applyProtection="1">
      <alignment horizontal="center" vertical="center" wrapText="1"/>
    </xf>
    <xf numFmtId="0" fontId="129" fillId="5" borderId="17" xfId="8" applyFont="1" applyFill="1" applyBorder="1" applyAlignment="1" applyProtection="1">
      <alignment horizontal="center" vertical="center"/>
    </xf>
    <xf numFmtId="0" fontId="199" fillId="5" borderId="64" xfId="8" applyFont="1" applyFill="1" applyBorder="1" applyAlignment="1" applyProtection="1">
      <alignment vertical="center"/>
    </xf>
    <xf numFmtId="0" fontId="250" fillId="5" borderId="0" xfId="8" applyFont="1" applyFill="1" applyBorder="1" applyAlignment="1" applyProtection="1">
      <alignment vertical="center" wrapText="1"/>
    </xf>
    <xf numFmtId="0" fontId="254" fillId="5" borderId="25" xfId="8" applyFont="1" applyFill="1" applyBorder="1" applyAlignment="1" applyProtection="1">
      <alignment horizontal="left" vertical="center" wrapText="1"/>
    </xf>
    <xf numFmtId="0" fontId="53" fillId="5" borderId="18" xfId="8" applyFont="1" applyFill="1" applyBorder="1" applyAlignment="1" applyProtection="1">
      <alignment horizontal="center" vertical="center" wrapText="1"/>
    </xf>
    <xf numFmtId="49" fontId="53" fillId="5" borderId="18" xfId="8" applyNumberFormat="1" applyFont="1" applyFill="1" applyBorder="1" applyAlignment="1" applyProtection="1">
      <alignment horizontal="center" vertical="center" wrapText="1"/>
    </xf>
    <xf numFmtId="0" fontId="129" fillId="5" borderId="18" xfId="8" applyFont="1" applyFill="1" applyBorder="1" applyAlignment="1" applyProtection="1">
      <alignment horizontal="center" vertical="center"/>
    </xf>
    <xf numFmtId="0" fontId="250" fillId="5" borderId="18" xfId="8" applyFont="1" applyFill="1" applyBorder="1" applyAlignment="1" applyProtection="1">
      <alignment vertical="center"/>
    </xf>
    <xf numFmtId="10" fontId="249" fillId="8" borderId="0" xfId="8" applyNumberFormat="1" applyFont="1" applyFill="1" applyAlignment="1" applyProtection="1">
      <alignment horizontal="center" vertical="center" wrapText="1"/>
      <protection locked="0"/>
    </xf>
    <xf numFmtId="10" fontId="249" fillId="0" borderId="0" xfId="8" applyNumberFormat="1" applyFont="1" applyAlignment="1" applyProtection="1">
      <alignment horizontal="center" vertical="center" wrapText="1"/>
    </xf>
    <xf numFmtId="0" fontId="248" fillId="5" borderId="20" xfId="8" applyFont="1" applyFill="1" applyBorder="1" applyAlignment="1" applyProtection="1">
      <alignment horizontal="center" vertical="center" wrapText="1"/>
      <protection locked="0"/>
    </xf>
    <xf numFmtId="0" fontId="250" fillId="5" borderId="56" xfId="8" applyFont="1" applyFill="1" applyBorder="1" applyAlignment="1" applyProtection="1">
      <alignment vertical="center" wrapText="1"/>
      <protection locked="0"/>
    </xf>
    <xf numFmtId="0" fontId="250" fillId="6" borderId="61" xfId="8" applyFont="1" applyFill="1" applyBorder="1" applyAlignment="1" applyProtection="1">
      <alignment horizontal="center" vertical="center" wrapText="1"/>
      <protection locked="0"/>
    </xf>
    <xf numFmtId="0" fontId="249" fillId="5" borderId="48" xfId="8" applyFont="1" applyFill="1" applyBorder="1" applyAlignment="1" applyProtection="1">
      <alignment vertical="center" wrapText="1"/>
      <protection locked="0"/>
    </xf>
    <xf numFmtId="0" fontId="249" fillId="5" borderId="62" xfId="8" applyFont="1" applyFill="1" applyBorder="1" applyAlignment="1" applyProtection="1">
      <alignment vertical="center" wrapText="1"/>
      <protection locked="0"/>
    </xf>
    <xf numFmtId="0" fontId="249" fillId="0" borderId="0" xfId="8" applyFont="1" applyAlignment="1" applyProtection="1">
      <alignment horizontal="left" vertical="center" wrapText="1"/>
    </xf>
    <xf numFmtId="0" fontId="48" fillId="0" borderId="0" xfId="8" applyFont="1" applyAlignment="1" applyProtection="1">
      <alignment vertical="center" wrapText="1"/>
    </xf>
    <xf numFmtId="0" fontId="249" fillId="5" borderId="55" xfId="8" applyFont="1" applyFill="1" applyBorder="1" applyAlignment="1" applyProtection="1">
      <alignment horizontal="center" vertical="center" wrapText="1"/>
    </xf>
    <xf numFmtId="0" fontId="101" fillId="5" borderId="15" xfId="8" applyFont="1" applyFill="1" applyBorder="1" applyAlignment="1" applyProtection="1">
      <alignment horizontal="center" vertical="center" wrapText="1"/>
    </xf>
    <xf numFmtId="0" fontId="251" fillId="5" borderId="4" xfId="8" applyFont="1" applyFill="1" applyBorder="1" applyAlignment="1" applyProtection="1">
      <alignment horizontal="center" vertical="center" wrapText="1"/>
    </xf>
    <xf numFmtId="0" fontId="46" fillId="5" borderId="28" xfId="8" applyFont="1" applyFill="1" applyBorder="1" applyAlignment="1" applyProtection="1">
      <alignment horizontal="center" vertical="center" wrapText="1"/>
    </xf>
    <xf numFmtId="0" fontId="48" fillId="6" borderId="31" xfId="8" applyFont="1" applyFill="1" applyBorder="1" applyAlignment="1" applyProtection="1">
      <alignment horizontal="center" vertical="center" wrapText="1"/>
      <protection locked="0"/>
    </xf>
    <xf numFmtId="0" fontId="251" fillId="5" borderId="7" xfId="8" applyFont="1" applyFill="1" applyBorder="1" applyAlignment="1" applyProtection="1">
      <alignment horizontal="center" vertical="center" wrapText="1"/>
    </xf>
    <xf numFmtId="0" fontId="46" fillId="5" borderId="3" xfId="8" applyFont="1" applyFill="1" applyBorder="1" applyAlignment="1" applyProtection="1">
      <alignment horizontal="center" vertical="center" wrapText="1"/>
    </xf>
    <xf numFmtId="10" fontId="48" fillId="5" borderId="6" xfId="8" applyNumberFormat="1" applyFont="1" applyFill="1" applyBorder="1" applyAlignment="1" applyProtection="1">
      <alignment horizontal="center" vertical="center" wrapText="1"/>
    </xf>
    <xf numFmtId="10" fontId="46" fillId="0" borderId="3" xfId="8" applyNumberFormat="1" applyFont="1" applyFill="1" applyBorder="1" applyAlignment="1" applyProtection="1">
      <alignment horizontal="center" vertical="center" wrapText="1"/>
      <protection locked="0"/>
    </xf>
    <xf numFmtId="0" fontId="251" fillId="5" borderId="8" xfId="8" applyFont="1" applyFill="1" applyBorder="1" applyAlignment="1" applyProtection="1">
      <alignment horizontal="center" vertical="center" wrapText="1"/>
    </xf>
    <xf numFmtId="10" fontId="46" fillId="0" borderId="56" xfId="8" applyNumberFormat="1" applyFont="1" applyFill="1" applyBorder="1" applyAlignment="1" applyProtection="1">
      <alignment horizontal="center" vertical="center" wrapText="1"/>
      <protection locked="0"/>
    </xf>
    <xf numFmtId="10" fontId="48" fillId="5" borderId="43" xfId="8" applyNumberFormat="1" applyFont="1" applyFill="1" applyBorder="1" applyAlignment="1" applyProtection="1">
      <alignment horizontal="center" vertical="center" wrapText="1"/>
    </xf>
    <xf numFmtId="0" fontId="249" fillId="8" borderId="0" xfId="8" applyFont="1" applyFill="1" applyAlignment="1" applyProtection="1">
      <alignment horizontal="left" vertical="center" wrapText="1"/>
      <protection locked="0"/>
    </xf>
    <xf numFmtId="0" fontId="109" fillId="5" borderId="0" xfId="8" applyFont="1" applyFill="1" applyProtection="1">
      <alignment vertical="center"/>
    </xf>
    <xf numFmtId="187" fontId="93" fillId="5" borderId="0" xfId="8" applyNumberFormat="1" applyFont="1" applyFill="1" applyAlignment="1" applyProtection="1">
      <alignment horizontal="center" vertical="center" wrapText="1"/>
    </xf>
    <xf numFmtId="0" fontId="93" fillId="5" borderId="0" xfId="8" applyFont="1" applyFill="1" applyProtection="1">
      <alignment vertical="center"/>
    </xf>
    <xf numFmtId="0" fontId="93" fillId="5" borderId="0" xfId="8" applyFont="1" applyFill="1" applyAlignment="1" applyProtection="1">
      <alignment horizontal="center" vertical="center"/>
    </xf>
    <xf numFmtId="0" fontId="109" fillId="5" borderId="46" xfId="8" applyFont="1" applyFill="1" applyBorder="1" applyAlignment="1" applyProtection="1">
      <alignment vertical="center"/>
    </xf>
    <xf numFmtId="187" fontId="94" fillId="5" borderId="37" xfId="8" applyNumberFormat="1" applyFont="1" applyFill="1" applyBorder="1" applyAlignment="1" applyProtection="1">
      <alignment horizontal="center" vertical="center" wrapText="1"/>
    </xf>
    <xf numFmtId="0" fontId="93" fillId="5" borderId="37" xfId="8" applyFont="1" applyFill="1" applyBorder="1" applyProtection="1">
      <alignment vertical="center"/>
    </xf>
    <xf numFmtId="0" fontId="109" fillId="5" borderId="47" xfId="8" applyFont="1" applyFill="1" applyBorder="1" applyAlignment="1" applyProtection="1">
      <alignment vertical="center"/>
    </xf>
    <xf numFmtId="0" fontId="109" fillId="5" borderId="38" xfId="8" applyFont="1" applyFill="1" applyBorder="1" applyAlignment="1" applyProtection="1">
      <alignment horizontal="center" vertical="center"/>
    </xf>
    <xf numFmtId="0" fontId="109" fillId="5" borderId="0" xfId="8" applyFont="1" applyFill="1" applyBorder="1" applyAlignment="1" applyProtection="1">
      <alignment vertical="center"/>
    </xf>
    <xf numFmtId="0" fontId="108" fillId="5" borderId="7" xfId="8" applyFont="1" applyFill="1" applyBorder="1" applyAlignment="1" applyProtection="1">
      <alignment horizontal="center" vertical="center" wrapText="1"/>
    </xf>
    <xf numFmtId="0" fontId="108" fillId="5" borderId="1" xfId="8" applyFont="1" applyFill="1" applyBorder="1" applyAlignment="1" applyProtection="1">
      <alignment horizontal="center" vertical="center" wrapText="1"/>
    </xf>
    <xf numFmtId="0" fontId="249" fillId="5" borderId="6" xfId="8" applyFont="1" applyFill="1" applyBorder="1" applyAlignment="1" applyProtection="1">
      <alignment horizontal="center" vertical="center" wrapText="1"/>
    </xf>
    <xf numFmtId="0" fontId="255" fillId="5" borderId="1" xfId="8" applyNumberFormat="1" applyFont="1" applyFill="1" applyBorder="1" applyAlignment="1" applyProtection="1">
      <alignment horizontal="center" vertical="center" wrapText="1"/>
    </xf>
    <xf numFmtId="49" fontId="108" fillId="5" borderId="1" xfId="8" applyNumberFormat="1" applyFont="1" applyFill="1" applyBorder="1" applyAlignment="1" applyProtection="1">
      <alignment horizontal="center" vertical="center" wrapText="1"/>
    </xf>
    <xf numFmtId="0" fontId="108" fillId="6" borderId="1" xfId="8" applyFont="1" applyFill="1" applyBorder="1" applyAlignment="1" applyProtection="1">
      <alignment horizontal="center" vertical="center" wrapText="1"/>
      <protection locked="0"/>
    </xf>
    <xf numFmtId="10" fontId="101" fillId="5" borderId="1" xfId="8" applyNumberFormat="1" applyFont="1" applyFill="1" applyBorder="1" applyAlignment="1" applyProtection="1">
      <alignment horizontal="center" vertical="center" wrapText="1"/>
    </xf>
    <xf numFmtId="10" fontId="48" fillId="5" borderId="58" xfId="8" applyNumberFormat="1" applyFont="1" applyFill="1" applyBorder="1" applyAlignment="1" applyProtection="1">
      <alignment horizontal="center" vertical="center" wrapText="1"/>
    </xf>
    <xf numFmtId="183" fontId="46" fillId="5" borderId="1" xfId="8" applyNumberFormat="1" applyFont="1" applyFill="1" applyBorder="1" applyAlignment="1" applyProtection="1">
      <alignment horizontal="center" vertical="center" wrapText="1"/>
    </xf>
    <xf numFmtId="9" fontId="46" fillId="5" borderId="1" xfId="8" applyNumberFormat="1" applyFont="1" applyFill="1" applyBorder="1" applyAlignment="1" applyProtection="1">
      <alignment horizontal="center" vertical="center" wrapText="1"/>
    </xf>
    <xf numFmtId="0" fontId="249" fillId="8" borderId="0" xfId="8" applyFont="1" applyFill="1" applyAlignment="1" applyProtection="1">
      <alignment vertical="center" wrapText="1"/>
    </xf>
    <xf numFmtId="0" fontId="108" fillId="5" borderId="1" xfId="8" applyNumberFormat="1" applyFont="1" applyFill="1" applyBorder="1" applyAlignment="1" applyProtection="1">
      <alignment horizontal="center" vertical="center" wrapText="1"/>
    </xf>
    <xf numFmtId="10" fontId="48" fillId="5" borderId="50" xfId="8" applyNumberFormat="1" applyFont="1" applyFill="1" applyBorder="1" applyAlignment="1" applyProtection="1">
      <alignment vertical="center" wrapText="1"/>
    </xf>
    <xf numFmtId="0" fontId="256" fillId="0" borderId="1" xfId="8" applyNumberFormat="1" applyFont="1" applyFill="1" applyBorder="1" applyAlignment="1" applyProtection="1">
      <alignment horizontal="center" vertical="center" wrapText="1"/>
      <protection locked="0"/>
    </xf>
    <xf numFmtId="0" fontId="256" fillId="0" borderId="18" xfId="8" applyNumberFormat="1" applyFont="1" applyFill="1" applyBorder="1" applyAlignment="1" applyProtection="1">
      <alignment horizontal="center" vertical="center" wrapText="1"/>
      <protection locked="0"/>
    </xf>
    <xf numFmtId="0" fontId="108" fillId="5" borderId="19" xfId="8" applyFont="1" applyFill="1" applyBorder="1" applyAlignment="1" applyProtection="1">
      <alignment horizontal="center" vertical="center" wrapText="1"/>
    </xf>
    <xf numFmtId="0" fontId="94" fillId="5" borderId="37" xfId="8" applyNumberFormat="1" applyFont="1" applyFill="1" applyBorder="1" applyAlignment="1" applyProtection="1">
      <alignment horizontal="center" vertical="center" wrapText="1"/>
    </xf>
    <xf numFmtId="0" fontId="110" fillId="5" borderId="47" xfId="8" applyFont="1" applyFill="1" applyBorder="1" applyAlignment="1" applyProtection="1">
      <alignment vertical="center"/>
    </xf>
    <xf numFmtId="0" fontId="110" fillId="5" borderId="38" xfId="8" applyFont="1" applyFill="1" applyBorder="1" applyAlignment="1" applyProtection="1">
      <alignment horizontal="center" vertical="center"/>
    </xf>
    <xf numFmtId="0" fontId="98" fillId="5" borderId="0" xfId="8" applyFont="1" applyFill="1" applyProtection="1">
      <alignment vertical="center"/>
    </xf>
    <xf numFmtId="0" fontId="101" fillId="5" borderId="1" xfId="8" applyFont="1" applyFill="1" applyBorder="1" applyAlignment="1" applyProtection="1">
      <alignment horizontal="center" vertical="center" wrapText="1"/>
    </xf>
    <xf numFmtId="0" fontId="48" fillId="5" borderId="6" xfId="8" applyFont="1" applyFill="1" applyBorder="1" applyAlignment="1" applyProtection="1">
      <alignment horizontal="center" vertical="center" wrapText="1"/>
    </xf>
    <xf numFmtId="0" fontId="39" fillId="5" borderId="1" xfId="8" applyNumberFormat="1" applyFont="1" applyFill="1" applyBorder="1" applyAlignment="1" applyProtection="1">
      <alignment horizontal="center" vertical="center" wrapText="1"/>
    </xf>
    <xf numFmtId="0" fontId="108" fillId="5" borderId="18" xfId="8" applyNumberFormat="1" applyFont="1" applyFill="1" applyBorder="1" applyAlignment="1" applyProtection="1">
      <alignment horizontal="center" vertical="center" wrapText="1"/>
    </xf>
    <xf numFmtId="10" fontId="48" fillId="5" borderId="50" xfId="8" applyNumberFormat="1" applyFont="1" applyFill="1" applyBorder="1" applyAlignment="1" applyProtection="1">
      <alignment horizontal="center" vertical="center" wrapText="1"/>
    </xf>
    <xf numFmtId="0" fontId="108" fillId="5" borderId="8" xfId="8" applyFont="1" applyFill="1" applyBorder="1" applyAlignment="1" applyProtection="1">
      <alignment horizontal="center" vertical="center" wrapText="1"/>
    </xf>
    <xf numFmtId="0" fontId="108" fillId="0" borderId="61" xfId="8" applyNumberFormat="1" applyFont="1" applyFill="1" applyBorder="1" applyAlignment="1" applyProtection="1">
      <alignment horizontal="center" vertical="center" wrapText="1"/>
      <protection locked="0"/>
    </xf>
    <xf numFmtId="10" fontId="48" fillId="5" borderId="73" xfId="8" applyNumberFormat="1" applyFont="1" applyFill="1" applyBorder="1" applyAlignment="1" applyProtection="1">
      <alignment horizontal="center" vertical="center" wrapText="1"/>
    </xf>
    <xf numFmtId="0" fontId="108" fillId="5" borderId="61" xfId="8" applyNumberFormat="1" applyFont="1" applyFill="1" applyBorder="1" applyAlignment="1" applyProtection="1">
      <alignment horizontal="center" vertical="center" wrapText="1"/>
    </xf>
    <xf numFmtId="179" fontId="101" fillId="5" borderId="1" xfId="8" applyNumberFormat="1" applyFont="1" applyFill="1" applyBorder="1" applyAlignment="1" applyProtection="1">
      <alignment horizontal="center" vertical="center" wrapText="1"/>
    </xf>
    <xf numFmtId="0" fontId="93" fillId="0" borderId="0" xfId="8" applyNumberFormat="1" applyFont="1" applyProtection="1">
      <alignment vertical="center"/>
    </xf>
    <xf numFmtId="0" fontId="101" fillId="5" borderId="1" xfId="8" applyNumberFormat="1" applyFont="1" applyFill="1" applyBorder="1" applyAlignment="1" applyProtection="1">
      <alignment horizontal="center" vertical="center" wrapText="1"/>
    </xf>
    <xf numFmtId="0" fontId="249" fillId="5" borderId="7" xfId="8" applyNumberFormat="1" applyFont="1" applyFill="1" applyBorder="1" applyAlignment="1" applyProtection="1">
      <alignment horizontal="center" vertical="center" wrapText="1"/>
    </xf>
    <xf numFmtId="0" fontId="249" fillId="5" borderId="8" xfId="8" applyNumberFormat="1" applyFont="1" applyFill="1" applyBorder="1" applyAlignment="1" applyProtection="1">
      <alignment horizontal="center" vertical="center" wrapText="1"/>
    </xf>
    <xf numFmtId="0" fontId="101" fillId="5" borderId="61" xfId="8" applyNumberFormat="1" applyFont="1" applyFill="1" applyBorder="1" applyAlignment="1" applyProtection="1">
      <alignment horizontal="center" vertical="center" wrapText="1"/>
    </xf>
    <xf numFmtId="0" fontId="93" fillId="5" borderId="22" xfId="8" applyFont="1" applyFill="1" applyBorder="1" applyAlignment="1" applyProtection="1">
      <alignment horizontal="right" vertical="center"/>
    </xf>
    <xf numFmtId="0" fontId="93" fillId="5" borderId="57" xfId="8" applyFont="1" applyFill="1" applyBorder="1" applyAlignment="1" applyProtection="1">
      <alignment horizontal="center" vertical="center"/>
    </xf>
    <xf numFmtId="0" fontId="93" fillId="5" borderId="4" xfId="8" applyFont="1" applyFill="1" applyBorder="1" applyAlignment="1" applyProtection="1">
      <alignment horizontal="center" vertical="center"/>
    </xf>
    <xf numFmtId="178" fontId="93" fillId="5" borderId="11" xfId="8" applyNumberFormat="1" applyFont="1" applyFill="1" applyBorder="1" applyAlignment="1" applyProtection="1">
      <alignment horizontal="center" vertical="center"/>
    </xf>
    <xf numFmtId="178" fontId="93" fillId="5" borderId="13" xfId="8" applyNumberFormat="1" applyFont="1" applyFill="1" applyBorder="1" applyAlignment="1" applyProtection="1">
      <alignment horizontal="center" vertical="center"/>
    </xf>
    <xf numFmtId="0" fontId="93" fillId="5" borderId="7" xfId="8" applyFont="1" applyFill="1" applyBorder="1" applyAlignment="1" applyProtection="1">
      <alignment horizontal="center" vertical="center"/>
    </xf>
    <xf numFmtId="178" fontId="93" fillId="5" borderId="1" xfId="8" applyNumberFormat="1" applyFont="1" applyFill="1" applyBorder="1" applyAlignment="1" applyProtection="1">
      <alignment horizontal="center" vertical="center"/>
    </xf>
    <xf numFmtId="178" fontId="93" fillId="5" borderId="2" xfId="8" applyNumberFormat="1" applyFont="1" applyFill="1" applyBorder="1" applyAlignment="1" applyProtection="1">
      <alignment horizontal="center" vertical="center"/>
    </xf>
    <xf numFmtId="0" fontId="93" fillId="5" borderId="8" xfId="8" applyFont="1" applyFill="1" applyBorder="1" applyAlignment="1" applyProtection="1">
      <alignment horizontal="center" vertical="center"/>
    </xf>
    <xf numFmtId="178" fontId="93" fillId="5" borderId="44" xfId="8" applyNumberFormat="1" applyFont="1" applyFill="1" applyBorder="1" applyAlignment="1" applyProtection="1">
      <alignment horizontal="center" vertical="center"/>
    </xf>
    <xf numFmtId="0" fontId="93" fillId="5" borderId="0" xfId="8" applyFill="1" applyAlignment="1">
      <alignment horizontal="center" vertical="center"/>
    </xf>
    <xf numFmtId="0" fontId="93" fillId="5" borderId="0" xfId="8" applyFont="1" applyFill="1" applyAlignment="1">
      <alignment horizontal="center" vertical="center"/>
    </xf>
    <xf numFmtId="0" fontId="93" fillId="5" borderId="13" xfId="8" applyFont="1" applyFill="1" applyBorder="1" applyAlignment="1" applyProtection="1">
      <alignment horizontal="center" vertical="center"/>
    </xf>
    <xf numFmtId="0" fontId="257" fillId="5" borderId="2" xfId="8" applyFont="1" applyFill="1" applyBorder="1" applyAlignment="1">
      <alignment vertical="center"/>
    </xf>
    <xf numFmtId="0" fontId="257" fillId="5" borderId="2" xfId="8" applyFont="1" applyFill="1" applyBorder="1" applyAlignment="1">
      <alignment vertical="center" wrapText="1"/>
    </xf>
    <xf numFmtId="0" fontId="257" fillId="5" borderId="51" xfId="8" applyFont="1" applyFill="1" applyBorder="1" applyAlignment="1">
      <alignment vertical="center" wrapText="1"/>
    </xf>
    <xf numFmtId="0" fontId="257" fillId="5" borderId="174" xfId="8" applyFont="1" applyFill="1" applyBorder="1" applyAlignment="1">
      <alignment vertical="center" wrapText="1"/>
    </xf>
    <xf numFmtId="0" fontId="257" fillId="5" borderId="175" xfId="8" applyFont="1" applyFill="1" applyBorder="1" applyAlignment="1">
      <alignment vertical="center" wrapText="1"/>
    </xf>
    <xf numFmtId="0" fontId="94" fillId="5" borderId="37" xfId="8" applyFont="1" applyFill="1" applyBorder="1" applyProtection="1">
      <alignment vertical="center"/>
    </xf>
    <xf numFmtId="0" fontId="112" fillId="5" borderId="13" xfId="8" applyFont="1" applyFill="1" applyBorder="1" applyAlignment="1" applyProtection="1">
      <alignment horizontal="center" vertical="center"/>
    </xf>
    <xf numFmtId="0" fontId="93" fillId="5" borderId="176" xfId="8" applyFill="1" applyBorder="1" applyAlignment="1">
      <alignment horizontal="center" vertical="center" wrapText="1"/>
    </xf>
    <xf numFmtId="0" fontId="257" fillId="5" borderId="176" xfId="8" applyFont="1" applyFill="1" applyBorder="1" applyAlignment="1">
      <alignment horizontal="center" vertical="center" wrapText="1"/>
    </xf>
    <xf numFmtId="0" fontId="257" fillId="5" borderId="177" xfId="8" applyFont="1" applyFill="1" applyBorder="1" applyAlignment="1">
      <alignment horizontal="center" vertical="center" wrapText="1"/>
    </xf>
    <xf numFmtId="0" fontId="93" fillId="5" borderId="1" xfId="8" applyFill="1" applyBorder="1" applyAlignment="1">
      <alignment horizontal="center" vertical="center"/>
    </xf>
    <xf numFmtId="0" fontId="258" fillId="5" borderId="177" xfId="8" applyFont="1" applyFill="1" applyBorder="1" applyAlignment="1">
      <alignment horizontal="center" vertical="center" wrapText="1"/>
    </xf>
    <xf numFmtId="0" fontId="257" fillId="5" borderId="178" xfId="8" applyFont="1" applyFill="1" applyBorder="1" applyAlignment="1">
      <alignment vertical="center"/>
    </xf>
    <xf numFmtId="0" fontId="257" fillId="5" borderId="179" xfId="8" applyFont="1" applyFill="1" applyBorder="1" applyAlignment="1">
      <alignment horizontal="center" vertical="center" wrapText="1"/>
    </xf>
    <xf numFmtId="0" fontId="112" fillId="5" borderId="46" xfId="8" applyFont="1" applyFill="1" applyBorder="1" applyAlignment="1" applyProtection="1">
      <alignment horizontal="center" vertical="center"/>
    </xf>
    <xf numFmtId="0" fontId="112" fillId="5" borderId="31" xfId="8" applyFont="1" applyFill="1" applyBorder="1" applyAlignment="1" applyProtection="1">
      <alignment horizontal="center" vertical="center"/>
    </xf>
    <xf numFmtId="0" fontId="258" fillId="5" borderId="180" xfId="8" applyFont="1" applyFill="1" applyBorder="1" applyAlignment="1">
      <alignment horizontal="center" vertical="center" wrapText="1"/>
    </xf>
    <xf numFmtId="0" fontId="98" fillId="5" borderId="1" xfId="8" applyFont="1" applyFill="1" applyBorder="1" applyAlignment="1">
      <alignment horizontal="center" vertical="center"/>
    </xf>
    <xf numFmtId="0" fontId="257" fillId="5" borderId="180" xfId="8" applyFont="1" applyFill="1" applyBorder="1" applyAlignment="1">
      <alignment horizontal="center" vertical="center" wrapText="1"/>
    </xf>
    <xf numFmtId="0" fontId="258" fillId="5" borderId="181" xfId="8" applyFont="1" applyFill="1" applyBorder="1" applyAlignment="1">
      <alignment horizontal="center" vertical="center" wrapText="1"/>
    </xf>
    <xf numFmtId="0" fontId="258" fillId="5" borderId="182" xfId="8" applyFont="1" applyFill="1" applyBorder="1" applyAlignment="1">
      <alignment horizontal="center" vertical="center" wrapText="1"/>
    </xf>
    <xf numFmtId="0" fontId="98" fillId="5" borderId="6" xfId="8" applyFont="1" applyFill="1" applyBorder="1" applyAlignment="1">
      <alignment horizontal="center" vertical="center"/>
    </xf>
    <xf numFmtId="0" fontId="258" fillId="5" borderId="183" xfId="8" applyFont="1" applyFill="1" applyBorder="1" applyAlignment="1">
      <alignment horizontal="center" vertical="center" wrapText="1"/>
    </xf>
    <xf numFmtId="0" fontId="258" fillId="5" borderId="184" xfId="8" applyFont="1" applyFill="1" applyBorder="1" applyAlignment="1">
      <alignment horizontal="center" vertical="center" wrapText="1"/>
    </xf>
    <xf numFmtId="0" fontId="258" fillId="5" borderId="185" xfId="8" applyFont="1" applyFill="1" applyBorder="1" applyAlignment="1">
      <alignment horizontal="center" vertical="center" wrapText="1"/>
    </xf>
    <xf numFmtId="0" fontId="98" fillId="5" borderId="43" xfId="8" applyFont="1" applyFill="1" applyBorder="1" applyAlignment="1">
      <alignment horizontal="center" vertical="center"/>
    </xf>
    <xf numFmtId="0" fontId="259" fillId="5" borderId="122" xfId="8" applyFont="1" applyFill="1" applyBorder="1" applyAlignment="1">
      <alignment horizontal="center" vertical="center"/>
    </xf>
    <xf numFmtId="0" fontId="259" fillId="5" borderId="4" xfId="8" applyFont="1" applyFill="1" applyBorder="1" applyAlignment="1">
      <alignment horizontal="center" vertical="center"/>
    </xf>
    <xf numFmtId="0" fontId="259" fillId="5" borderId="11" xfId="8" applyFont="1" applyFill="1" applyBorder="1" applyAlignment="1">
      <alignment horizontal="center" vertical="center"/>
    </xf>
    <xf numFmtId="0" fontId="259" fillId="5" borderId="31" xfId="8" applyFont="1" applyFill="1" applyBorder="1" applyAlignment="1">
      <alignment horizontal="center" vertical="center"/>
    </xf>
    <xf numFmtId="0" fontId="93" fillId="5" borderId="0" xfId="8" applyFill="1">
      <alignment vertical="center"/>
    </xf>
    <xf numFmtId="0" fontId="259" fillId="5" borderId="86" xfId="8" applyFont="1" applyFill="1" applyBorder="1" applyAlignment="1">
      <alignment horizontal="center" vertical="center"/>
    </xf>
    <xf numFmtId="0" fontId="259" fillId="5" borderId="7" xfId="8" applyFont="1" applyFill="1" applyBorder="1" applyAlignment="1">
      <alignment horizontal="center" vertical="center"/>
    </xf>
    <xf numFmtId="0" fontId="259" fillId="5" borderId="1" xfId="8" applyFont="1" applyFill="1" applyBorder="1" applyAlignment="1">
      <alignment horizontal="center" vertical="center" wrapText="1"/>
    </xf>
    <xf numFmtId="0" fontId="258" fillId="5" borderId="86" xfId="8" applyFont="1" applyFill="1" applyBorder="1" applyAlignment="1">
      <alignment horizontal="center" vertical="center"/>
    </xf>
    <xf numFmtId="0" fontId="258" fillId="5" borderId="7" xfId="8" applyFont="1" applyFill="1" applyBorder="1" applyAlignment="1">
      <alignment horizontal="center" vertical="center"/>
    </xf>
    <xf numFmtId="0" fontId="258" fillId="5" borderId="1" xfId="8" applyFont="1" applyFill="1" applyBorder="1" applyAlignment="1">
      <alignment horizontal="center" vertical="center" wrapText="1"/>
    </xf>
    <xf numFmtId="0" fontId="258" fillId="5" borderId="6" xfId="8" applyFont="1" applyFill="1" applyBorder="1" applyAlignment="1">
      <alignment horizontal="center" vertical="center" wrapText="1"/>
    </xf>
    <xf numFmtId="0" fontId="98" fillId="5" borderId="7" xfId="8" applyFont="1" applyFill="1" applyBorder="1" applyAlignment="1">
      <alignment horizontal="center" vertical="center"/>
    </xf>
    <xf numFmtId="0" fontId="258" fillId="5" borderId="86" xfId="8" applyFont="1" applyFill="1" applyBorder="1" applyAlignment="1">
      <alignment horizontal="center" vertical="center" wrapText="1"/>
    </xf>
    <xf numFmtId="0" fontId="258" fillId="5" borderId="7" xfId="8" applyFont="1" applyFill="1" applyBorder="1" applyAlignment="1">
      <alignment horizontal="center" vertical="center" wrapText="1"/>
    </xf>
    <xf numFmtId="0" fontId="261" fillId="5" borderId="0" xfId="8" applyFont="1" applyFill="1" applyBorder="1" applyAlignment="1">
      <alignment horizontal="center" vertical="center" wrapText="1"/>
    </xf>
    <xf numFmtId="0" fontId="261" fillId="5" borderId="0" xfId="8" applyFont="1" applyFill="1" applyBorder="1" applyAlignment="1">
      <alignment horizontal="center" vertical="center"/>
    </xf>
    <xf numFmtId="0" fontId="258" fillId="5" borderId="123" xfId="8" applyFont="1" applyFill="1" applyBorder="1" applyAlignment="1">
      <alignment horizontal="center" vertical="center"/>
    </xf>
    <xf numFmtId="0" fontId="258" fillId="5" borderId="8" xfId="8" applyFont="1" applyFill="1" applyBorder="1" applyAlignment="1">
      <alignment horizontal="center" vertical="center"/>
    </xf>
    <xf numFmtId="0" fontId="258" fillId="5" borderId="61" xfId="8" applyFont="1" applyFill="1" applyBorder="1" applyAlignment="1">
      <alignment horizontal="center" vertical="center" wrapText="1"/>
    </xf>
    <xf numFmtId="0" fontId="258" fillId="5" borderId="43" xfId="8" applyFont="1" applyFill="1" applyBorder="1" applyAlignment="1">
      <alignment horizontal="center" vertical="center" wrapText="1"/>
    </xf>
    <xf numFmtId="0" fontId="98" fillId="5" borderId="8" xfId="8" applyFont="1" applyFill="1" applyBorder="1" applyAlignment="1">
      <alignment horizontal="center" vertical="center"/>
    </xf>
    <xf numFmtId="0" fontId="98" fillId="5" borderId="61" xfId="8" applyFont="1" applyFill="1" applyBorder="1" applyAlignment="1">
      <alignment horizontal="center" vertical="center"/>
    </xf>
    <xf numFmtId="0" fontId="173" fillId="5" borderId="10" xfId="8" applyFont="1" applyFill="1" applyBorder="1" applyAlignment="1">
      <alignment horizontal="center" vertical="center" wrapText="1"/>
    </xf>
    <xf numFmtId="0" fontId="173" fillId="5" borderId="4" xfId="8" applyFont="1" applyFill="1" applyBorder="1" applyAlignment="1">
      <alignment horizontal="center" vertical="center" wrapText="1"/>
    </xf>
    <xf numFmtId="0" fontId="173" fillId="5" borderId="13" xfId="8" applyFont="1" applyFill="1" applyBorder="1" applyAlignment="1">
      <alignment horizontal="center" vertical="center" wrapText="1"/>
    </xf>
    <xf numFmtId="0" fontId="173" fillId="5" borderId="31" xfId="8" applyFont="1" applyFill="1" applyBorder="1" applyAlignment="1">
      <alignment horizontal="center" vertical="center" wrapText="1"/>
    </xf>
    <xf numFmtId="0" fontId="173" fillId="5" borderId="28" xfId="8" applyFont="1" applyFill="1" applyBorder="1" applyAlignment="1">
      <alignment horizontal="center" vertical="center" wrapText="1"/>
    </xf>
    <xf numFmtId="0" fontId="108" fillId="0" borderId="0" xfId="8" applyFont="1" applyAlignment="1">
      <alignment horizontal="center" vertical="center"/>
    </xf>
    <xf numFmtId="0" fontId="173" fillId="5" borderId="69" xfId="8" applyFont="1" applyFill="1" applyBorder="1" applyAlignment="1">
      <alignment horizontal="center" vertical="center" wrapText="1"/>
    </xf>
    <xf numFmtId="0" fontId="173" fillId="5" borderId="8" xfId="8" applyFont="1" applyFill="1" applyBorder="1" applyAlignment="1">
      <alignment horizontal="center" vertical="center" wrapText="1"/>
    </xf>
    <xf numFmtId="0" fontId="173" fillId="5" borderId="44" xfId="8" applyFont="1" applyFill="1" applyBorder="1" applyAlignment="1">
      <alignment horizontal="center" vertical="center" wrapText="1"/>
    </xf>
    <xf numFmtId="0" fontId="173" fillId="5" borderId="43" xfId="8" applyFont="1" applyFill="1" applyBorder="1" applyAlignment="1">
      <alignment horizontal="center" vertical="center" wrapText="1"/>
    </xf>
    <xf numFmtId="0" fontId="173" fillId="5" borderId="56" xfId="8" applyFont="1" applyFill="1" applyBorder="1" applyAlignment="1">
      <alignment horizontal="center" vertical="center" wrapText="1"/>
    </xf>
    <xf numFmtId="0" fontId="108" fillId="5" borderId="122" xfId="8" applyFont="1" applyFill="1" applyBorder="1" applyAlignment="1" applyProtection="1">
      <alignment horizontal="center" vertical="center" wrapText="1"/>
    </xf>
    <xf numFmtId="10" fontId="173" fillId="5" borderId="28" xfId="8" applyNumberFormat="1" applyFont="1" applyFill="1" applyBorder="1" applyAlignment="1">
      <alignment horizontal="center" vertical="center" wrapText="1"/>
    </xf>
    <xf numFmtId="10" fontId="173" fillId="5" borderId="13" xfId="8" applyNumberFormat="1" applyFont="1" applyFill="1" applyBorder="1" applyAlignment="1">
      <alignment horizontal="center" vertical="center" wrapText="1"/>
    </xf>
    <xf numFmtId="10" fontId="173" fillId="5" borderId="4" xfId="8" applyNumberFormat="1" applyFont="1" applyFill="1" applyBorder="1" applyAlignment="1">
      <alignment horizontal="center" vertical="center" wrapText="1"/>
    </xf>
    <xf numFmtId="10" fontId="173" fillId="5" borderId="31" xfId="8" applyNumberFormat="1" applyFont="1" applyFill="1" applyBorder="1" applyAlignment="1">
      <alignment horizontal="center" vertical="center" wrapText="1"/>
    </xf>
    <xf numFmtId="10" fontId="173" fillId="21" borderId="4" xfId="8" applyNumberFormat="1" applyFont="1" applyFill="1" applyBorder="1" applyAlignment="1">
      <alignment horizontal="center" vertical="center" wrapText="1"/>
    </xf>
    <xf numFmtId="10" fontId="173" fillId="21" borderId="28" xfId="8" applyNumberFormat="1" applyFont="1" applyFill="1" applyBorder="1" applyAlignment="1">
      <alignment horizontal="center" vertical="center" wrapText="1"/>
    </xf>
    <xf numFmtId="10" fontId="108" fillId="5" borderId="31" xfId="8" applyNumberFormat="1" applyFont="1" applyFill="1" applyBorder="1" applyAlignment="1">
      <alignment horizontal="center" vertical="center"/>
    </xf>
    <xf numFmtId="0" fontId="108" fillId="5" borderId="86" xfId="8" applyFont="1" applyFill="1" applyBorder="1" applyAlignment="1" applyProtection="1">
      <alignment horizontal="center" vertical="center" wrapText="1"/>
    </xf>
    <xf numFmtId="10" fontId="173" fillId="5" borderId="3" xfId="8" applyNumberFormat="1" applyFont="1" applyFill="1" applyBorder="1" applyAlignment="1">
      <alignment horizontal="center" vertical="center" wrapText="1"/>
    </xf>
    <xf numFmtId="10" fontId="173" fillId="5" borderId="2" xfId="8" applyNumberFormat="1" applyFont="1" applyFill="1" applyBorder="1" applyAlignment="1">
      <alignment horizontal="center" vertical="center" wrapText="1"/>
    </xf>
    <xf numFmtId="10" fontId="173" fillId="5" borderId="7" xfId="8" applyNumberFormat="1" applyFont="1" applyFill="1" applyBorder="1" applyAlignment="1">
      <alignment horizontal="center" vertical="center" wrapText="1"/>
    </xf>
    <xf numFmtId="10" fontId="173" fillId="5" borderId="6" xfId="8" applyNumberFormat="1" applyFont="1" applyFill="1" applyBorder="1" applyAlignment="1">
      <alignment horizontal="center" vertical="center" wrapText="1"/>
    </xf>
    <xf numFmtId="10" fontId="173" fillId="21" borderId="7" xfId="8" applyNumberFormat="1" applyFont="1" applyFill="1" applyBorder="1" applyAlignment="1">
      <alignment horizontal="center" vertical="center" wrapText="1"/>
    </xf>
    <xf numFmtId="10" fontId="173" fillId="21" borderId="3" xfId="8" applyNumberFormat="1" applyFont="1" applyFill="1" applyBorder="1" applyAlignment="1">
      <alignment horizontal="center" vertical="center" wrapText="1"/>
    </xf>
    <xf numFmtId="10" fontId="108" fillId="5" borderId="6" xfId="8" applyNumberFormat="1" applyFont="1" applyFill="1" applyBorder="1" applyAlignment="1">
      <alignment horizontal="center" vertical="center"/>
    </xf>
    <xf numFmtId="0" fontId="108" fillId="5" borderId="123" xfId="8" applyFont="1" applyFill="1" applyBorder="1" applyAlignment="1" applyProtection="1">
      <alignment horizontal="center" vertical="center" wrapText="1"/>
    </xf>
    <xf numFmtId="10" fontId="173" fillId="5" borderId="56" xfId="8" applyNumberFormat="1" applyFont="1" applyFill="1" applyBorder="1" applyAlignment="1">
      <alignment horizontal="center" vertical="center" wrapText="1"/>
    </xf>
    <xf numFmtId="10" fontId="173" fillId="5" borderId="44" xfId="8" applyNumberFormat="1" applyFont="1" applyFill="1" applyBorder="1" applyAlignment="1">
      <alignment horizontal="center" vertical="center" wrapText="1"/>
    </xf>
    <xf numFmtId="10" fontId="173" fillId="5" borderId="8" xfId="8" applyNumberFormat="1" applyFont="1" applyFill="1" applyBorder="1" applyAlignment="1">
      <alignment horizontal="center" vertical="center" wrapText="1"/>
    </xf>
    <xf numFmtId="10" fontId="173" fillId="5" borderId="43" xfId="8" applyNumberFormat="1" applyFont="1" applyFill="1" applyBorder="1" applyAlignment="1">
      <alignment horizontal="center" vertical="center" wrapText="1"/>
    </xf>
    <xf numFmtId="10" fontId="173" fillId="21" borderId="8" xfId="8" applyNumberFormat="1" applyFont="1" applyFill="1" applyBorder="1" applyAlignment="1">
      <alignment horizontal="center" vertical="center" wrapText="1"/>
    </xf>
    <xf numFmtId="10" fontId="173" fillId="21" borderId="56" xfId="8" applyNumberFormat="1" applyFont="1" applyFill="1" applyBorder="1" applyAlignment="1">
      <alignment horizontal="center" vertical="center" wrapText="1"/>
    </xf>
    <xf numFmtId="10" fontId="108" fillId="5" borderId="43" xfId="8" applyNumberFormat="1" applyFont="1" applyFill="1" applyBorder="1" applyAlignment="1">
      <alignment horizontal="center" vertical="center"/>
    </xf>
    <xf numFmtId="0" fontId="143" fillId="5" borderId="5" xfId="8" applyFont="1" applyFill="1" applyBorder="1" applyAlignment="1">
      <alignment horizontal="center" vertical="center" wrapText="1"/>
    </xf>
    <xf numFmtId="0" fontId="77" fillId="5" borderId="9" xfId="3" applyNumberFormat="1" applyFont="1" applyFill="1" applyBorder="1" applyAlignment="1" applyProtection="1">
      <alignment horizontal="center" vertical="center"/>
    </xf>
    <xf numFmtId="0" fontId="77" fillId="5" borderId="84" xfId="3" applyNumberFormat="1" applyFont="1" applyFill="1" applyBorder="1" applyAlignment="1" applyProtection="1">
      <alignment horizontal="center" vertical="center"/>
    </xf>
    <xf numFmtId="0" fontId="77" fillId="5" borderId="84" xfId="3" applyNumberFormat="1" applyFont="1" applyFill="1" applyBorder="1" applyAlignment="1" applyProtection="1">
      <alignment horizontal="center" vertical="center" wrapText="1"/>
    </xf>
    <xf numFmtId="0" fontId="77" fillId="5" borderId="15" xfId="3" applyNumberFormat="1" applyFont="1" applyFill="1" applyBorder="1" applyAlignment="1" applyProtection="1">
      <alignment horizontal="center" vertical="center"/>
    </xf>
    <xf numFmtId="0" fontId="108" fillId="5" borderId="46" xfId="8" applyFont="1" applyFill="1" applyBorder="1" applyAlignment="1" applyProtection="1">
      <alignment horizontal="center" vertical="center" wrapText="1"/>
    </xf>
    <xf numFmtId="10" fontId="108" fillId="5" borderId="4" xfId="8" applyNumberFormat="1" applyFont="1" applyFill="1" applyBorder="1" applyAlignment="1">
      <alignment horizontal="center" vertical="center"/>
    </xf>
    <xf numFmtId="10" fontId="108" fillId="5" borderId="11" xfId="8" applyNumberFormat="1" applyFont="1" applyFill="1" applyBorder="1" applyAlignment="1">
      <alignment horizontal="center" vertical="center"/>
    </xf>
    <xf numFmtId="10" fontId="108" fillId="5" borderId="7" xfId="8" applyNumberFormat="1" applyFont="1" applyFill="1" applyBorder="1" applyAlignment="1">
      <alignment horizontal="center" vertical="center"/>
    </xf>
    <xf numFmtId="10" fontId="108" fillId="5" borderId="1" xfId="8" applyNumberFormat="1" applyFont="1" applyFill="1" applyBorder="1" applyAlignment="1">
      <alignment horizontal="center" vertical="center"/>
    </xf>
    <xf numFmtId="0" fontId="108" fillId="5" borderId="20" xfId="8" applyFont="1" applyFill="1" applyBorder="1" applyAlignment="1" applyProtection="1">
      <alignment horizontal="center" vertical="center" wrapText="1"/>
    </xf>
    <xf numFmtId="10" fontId="108" fillId="5" borderId="8" xfId="8" applyNumberFormat="1" applyFont="1" applyFill="1" applyBorder="1" applyAlignment="1">
      <alignment horizontal="center" vertical="center"/>
    </xf>
    <xf numFmtId="10" fontId="108" fillId="5" borderId="61" xfId="8" applyNumberFormat="1" applyFont="1" applyFill="1" applyBorder="1" applyAlignment="1">
      <alignment horizontal="center" vertical="center"/>
    </xf>
    <xf numFmtId="0" fontId="143" fillId="5" borderId="55" xfId="8" applyFont="1" applyFill="1" applyBorder="1" applyAlignment="1">
      <alignment horizontal="center" vertical="center" wrapText="1"/>
    </xf>
    <xf numFmtId="10" fontId="108" fillId="5" borderId="17" xfId="8" applyNumberFormat="1" applyFont="1" applyFill="1" applyBorder="1" applyAlignment="1">
      <alignment horizontal="center" vertical="center"/>
    </xf>
    <xf numFmtId="49" fontId="249" fillId="5" borderId="1" xfId="8" applyNumberFormat="1" applyFont="1" applyFill="1" applyBorder="1" applyAlignment="1" applyProtection="1">
      <alignment horizontal="center" vertical="center" wrapText="1"/>
    </xf>
    <xf numFmtId="0" fontId="49" fillId="5" borderId="1" xfId="8" applyNumberFormat="1" applyFont="1" applyFill="1" applyBorder="1" applyAlignment="1" applyProtection="1">
      <alignment horizontal="center" vertical="center" wrapText="1"/>
    </xf>
    <xf numFmtId="0" fontId="239" fillId="0" borderId="0" xfId="17" applyFont="1">
      <alignment vertical="center"/>
    </xf>
    <xf numFmtId="0" fontId="102" fillId="0" borderId="0" xfId="17" applyFont="1">
      <alignment vertical="center"/>
    </xf>
    <xf numFmtId="0" fontId="148" fillId="0" borderId="0" xfId="17" applyFont="1" applyAlignment="1">
      <alignment vertical="center"/>
    </xf>
    <xf numFmtId="0" fontId="102" fillId="0" borderId="0" xfId="17" applyFont="1" applyAlignment="1">
      <alignment vertical="center"/>
    </xf>
    <xf numFmtId="0" fontId="102" fillId="0" borderId="0" xfId="17" applyFont="1" applyAlignment="1">
      <alignment horizontal="center" vertical="center"/>
    </xf>
    <xf numFmtId="0" fontId="102" fillId="0" borderId="186" xfId="17" applyFont="1" applyBorder="1" applyAlignment="1">
      <alignment horizontal="center" vertical="center"/>
    </xf>
    <xf numFmtId="0" fontId="102" fillId="0" borderId="0" xfId="17" applyFont="1" applyAlignment="1">
      <alignment horizontal="center" vertical="center"/>
    </xf>
    <xf numFmtId="0" fontId="98" fillId="5" borderId="0" xfId="8" applyFont="1" applyFill="1" applyAlignment="1" applyProtection="1">
      <alignment horizontal="center" vertical="center"/>
    </xf>
    <xf numFmtId="0" fontId="18" fillId="5" borderId="0" xfId="8" applyFont="1" applyFill="1" applyAlignment="1" applyProtection="1">
      <alignment horizontal="center" vertical="center"/>
    </xf>
    <xf numFmtId="0" fontId="147" fillId="0" borderId="0" xfId="17" applyFont="1" applyAlignment="1">
      <alignment horizontal="center" vertical="center"/>
    </xf>
    <xf numFmtId="0" fontId="97" fillId="5" borderId="0" xfId="8" applyFont="1" applyFill="1" applyAlignment="1" applyProtection="1">
      <alignment horizontal="center" vertical="center"/>
    </xf>
    <xf numFmtId="0" fontId="168" fillId="17" borderId="0" xfId="18" applyFont="1" applyFill="1">
      <alignment vertical="center"/>
    </xf>
    <xf numFmtId="0" fontId="147" fillId="17" borderId="0" xfId="17" applyFont="1" applyFill="1" applyAlignment="1">
      <alignment horizontal="center" vertical="center"/>
    </xf>
    <xf numFmtId="0" fontId="151" fillId="17" borderId="0" xfId="18" applyFont="1" applyFill="1" applyBorder="1" applyAlignment="1" applyProtection="1">
      <alignment horizontal="center" vertical="center"/>
      <protection locked="0"/>
    </xf>
    <xf numFmtId="0" fontId="102" fillId="17" borderId="0" xfId="17" applyFont="1" applyFill="1">
      <alignment vertical="center"/>
    </xf>
    <xf numFmtId="0" fontId="97" fillId="17" borderId="0" xfId="8" applyFont="1" applyFill="1" applyAlignment="1" applyProtection="1">
      <alignment horizontal="center" vertical="center"/>
    </xf>
    <xf numFmtId="0" fontId="102" fillId="17" borderId="0" xfId="17" applyFont="1" applyFill="1" applyAlignment="1">
      <alignment horizontal="center" vertical="center"/>
    </xf>
    <xf numFmtId="0" fontId="147" fillId="17" borderId="0" xfId="18" applyFont="1" applyFill="1">
      <alignment vertical="center"/>
    </xf>
    <xf numFmtId="0" fontId="102" fillId="0" borderId="0" xfId="17" applyFont="1" applyFill="1">
      <alignment vertical="center"/>
    </xf>
    <xf numFmtId="0" fontId="147" fillId="0" borderId="0" xfId="17" applyFont="1" applyFill="1" applyAlignment="1">
      <alignment horizontal="center" vertical="center"/>
    </xf>
    <xf numFmtId="0" fontId="97" fillId="0" borderId="0" xfId="8" applyFont="1" applyFill="1" applyAlignment="1" applyProtection="1">
      <alignment horizontal="center" vertical="center"/>
      <protection locked="0"/>
    </xf>
    <xf numFmtId="0" fontId="18" fillId="0" borderId="0" xfId="8" applyFont="1" applyFill="1" applyAlignment="1" applyProtection="1">
      <alignment horizontal="center" vertical="center"/>
      <protection locked="0"/>
    </xf>
    <xf numFmtId="0" fontId="97" fillId="0" borderId="0" xfId="8" applyFont="1" applyFill="1" applyAlignment="1" applyProtection="1">
      <alignment horizontal="center" vertical="center"/>
    </xf>
    <xf numFmtId="0" fontId="102" fillId="0" borderId="0" xfId="17" applyFont="1" applyFill="1" applyAlignment="1">
      <alignment horizontal="center" vertical="center"/>
    </xf>
    <xf numFmtId="0" fontId="102" fillId="0" borderId="0" xfId="18" applyFont="1" applyFill="1">
      <alignment vertical="center"/>
    </xf>
    <xf numFmtId="49" fontId="242" fillId="16" borderId="1" xfId="17" applyNumberFormat="1" applyFont="1" applyFill="1" applyBorder="1" applyAlignment="1" applyProtection="1">
      <alignment horizontal="center" vertical="center" wrapText="1"/>
    </xf>
    <xf numFmtId="186" fontId="242" fillId="16" borderId="0" xfId="17" applyNumberFormat="1" applyFont="1" applyFill="1" applyAlignment="1">
      <alignment horizontal="center" vertical="center"/>
    </xf>
    <xf numFmtId="0" fontId="242" fillId="16" borderId="133" xfId="17" applyFont="1" applyFill="1" applyBorder="1" applyAlignment="1" applyProtection="1">
      <alignment horizontal="center" vertical="center" wrapText="1"/>
    </xf>
    <xf numFmtId="0" fontId="242" fillId="16" borderId="134" xfId="17" applyFont="1" applyFill="1" applyBorder="1" applyAlignment="1" applyProtection="1">
      <alignment horizontal="center" vertical="center" wrapText="1"/>
    </xf>
    <xf numFmtId="0" fontId="242" fillId="16" borderId="134" xfId="18" applyFont="1" applyFill="1" applyBorder="1" applyAlignment="1" applyProtection="1">
      <alignment horizontal="center" vertical="center" wrapText="1"/>
      <protection locked="0"/>
    </xf>
    <xf numFmtId="0" fontId="242" fillId="16" borderId="138" xfId="18" applyFont="1" applyFill="1" applyBorder="1" applyAlignment="1" applyProtection="1">
      <alignment horizontal="center" vertical="center" wrapText="1"/>
      <protection locked="0"/>
    </xf>
    <xf numFmtId="0" fontId="151" fillId="16" borderId="0" xfId="17" applyFont="1" applyFill="1">
      <alignment vertical="center"/>
    </xf>
    <xf numFmtId="10" fontId="242" fillId="16" borderId="129" xfId="17" applyNumberFormat="1" applyFont="1" applyFill="1" applyBorder="1">
      <alignment vertical="center"/>
    </xf>
    <xf numFmtId="10" fontId="242" fillId="16" borderId="0" xfId="17" applyNumberFormat="1" applyFont="1" applyFill="1">
      <alignment vertical="center"/>
    </xf>
    <xf numFmtId="0" fontId="151" fillId="16" borderId="0" xfId="17" applyFont="1" applyFill="1" applyAlignment="1">
      <alignment horizontal="center" vertical="center"/>
    </xf>
    <xf numFmtId="0" fontId="151" fillId="16" borderId="129" xfId="17" applyFont="1" applyFill="1" applyBorder="1" applyAlignment="1">
      <alignment horizontal="center" vertical="center"/>
    </xf>
    <xf numFmtId="0" fontId="117" fillId="6" borderId="0" xfId="18" applyFont="1" applyFill="1">
      <alignment vertical="center"/>
    </xf>
    <xf numFmtId="0" fontId="151" fillId="6" borderId="0" xfId="17" applyFont="1" applyFill="1">
      <alignment vertical="center"/>
    </xf>
    <xf numFmtId="49" fontId="48" fillId="5" borderId="1" xfId="17" applyNumberFormat="1" applyFont="1" applyFill="1" applyBorder="1" applyAlignment="1" applyProtection="1">
      <alignment horizontal="center" vertical="center" wrapText="1"/>
    </xf>
    <xf numFmtId="186" fontId="101" fillId="0" borderId="0" xfId="17" applyNumberFormat="1" applyFont="1" applyAlignment="1">
      <alignment horizontal="center" vertical="center"/>
    </xf>
    <xf numFmtId="0" fontId="150" fillId="12" borderId="167" xfId="17" applyFont="1" applyFill="1" applyBorder="1" applyAlignment="1" applyProtection="1">
      <alignment vertical="center" wrapText="1"/>
    </xf>
    <xf numFmtId="0" fontId="150" fillId="13" borderId="134" xfId="17" applyFont="1" applyFill="1" applyBorder="1" applyAlignment="1" applyProtection="1">
      <alignment horizontal="center" vertical="center" wrapText="1"/>
    </xf>
    <xf numFmtId="0" fontId="150" fillId="13" borderId="134" xfId="18" applyFont="1" applyFill="1" applyBorder="1" applyAlignment="1" applyProtection="1">
      <alignment horizontal="center" vertical="center" wrapText="1"/>
    </xf>
    <xf numFmtId="0" fontId="150" fillId="13" borderId="138" xfId="18" applyFont="1" applyFill="1" applyBorder="1" applyAlignment="1" applyProtection="1">
      <alignment horizontal="center" vertical="center" wrapText="1"/>
    </xf>
    <xf numFmtId="10" fontId="101" fillId="0" borderId="129" xfId="17" applyNumberFormat="1" applyFont="1" applyBorder="1">
      <alignment vertical="center"/>
    </xf>
    <xf numFmtId="10" fontId="101" fillId="0" borderId="0" xfId="17" applyNumberFormat="1" applyFont="1">
      <alignment vertical="center"/>
    </xf>
    <xf numFmtId="10" fontId="101" fillId="0" borderId="136" xfId="17" applyNumberFormat="1" applyFont="1" applyBorder="1">
      <alignment vertical="center"/>
    </xf>
    <xf numFmtId="10" fontId="101" fillId="0" borderId="65" xfId="17" applyNumberFormat="1" applyFont="1" applyBorder="1">
      <alignment vertical="center"/>
    </xf>
    <xf numFmtId="186" fontId="102" fillId="12" borderId="131" xfId="18" applyNumberFormat="1" applyFont="1" applyFill="1" applyBorder="1" applyAlignment="1">
      <alignment horizontal="center" vertical="center" wrapText="1"/>
    </xf>
    <xf numFmtId="186" fontId="102" fillId="12" borderId="137" xfId="18" applyNumberFormat="1" applyFont="1" applyFill="1" applyBorder="1" applyAlignment="1">
      <alignment horizontal="center" vertical="center" wrapText="1"/>
    </xf>
    <xf numFmtId="0" fontId="150" fillId="12" borderId="133" xfId="17" applyFont="1" applyFill="1" applyBorder="1" applyAlignment="1" applyProtection="1">
      <alignment vertical="center" wrapText="1"/>
    </xf>
    <xf numFmtId="0" fontId="150" fillId="12" borderId="131" xfId="17" applyFont="1" applyFill="1" applyBorder="1" applyAlignment="1" applyProtection="1">
      <alignment horizontal="center" vertical="center" wrapText="1"/>
    </xf>
    <xf numFmtId="0" fontId="150" fillId="12" borderId="132" xfId="17" applyFont="1" applyFill="1" applyBorder="1" applyAlignment="1" applyProtection="1">
      <alignment horizontal="center" vertical="center" wrapText="1"/>
    </xf>
    <xf numFmtId="0" fontId="101" fillId="0" borderId="0" xfId="17" applyFont="1">
      <alignment vertical="center"/>
    </xf>
    <xf numFmtId="177" fontId="101" fillId="0" borderId="0" xfId="17" applyNumberFormat="1" applyFont="1">
      <alignment vertical="center"/>
    </xf>
    <xf numFmtId="181" fontId="101" fillId="0" borderId="129" xfId="17" applyNumberFormat="1" applyFont="1" applyBorder="1">
      <alignment vertical="center"/>
    </xf>
    <xf numFmtId="181" fontId="101" fillId="0" borderId="0" xfId="17" applyNumberFormat="1" applyFont="1">
      <alignment vertical="center"/>
    </xf>
    <xf numFmtId="0" fontId="102" fillId="0" borderId="129" xfId="17" applyFont="1" applyBorder="1" applyAlignment="1">
      <alignment horizontal="center" vertical="center"/>
    </xf>
    <xf numFmtId="0" fontId="150" fillId="12" borderId="134" xfId="17" applyFont="1" applyFill="1" applyBorder="1" applyAlignment="1" applyProtection="1">
      <alignment horizontal="center" vertical="center" wrapText="1"/>
    </xf>
    <xf numFmtId="0" fontId="150" fillId="12" borderId="134" xfId="18" applyFont="1" applyFill="1" applyBorder="1" applyAlignment="1" applyProtection="1">
      <alignment horizontal="center" vertical="center" wrapText="1"/>
    </xf>
    <xf numFmtId="0" fontId="150" fillId="12" borderId="138" xfId="18" applyFont="1" applyFill="1" applyBorder="1" applyAlignment="1" applyProtection="1">
      <alignment horizontal="center" vertical="center" wrapText="1"/>
    </xf>
    <xf numFmtId="186" fontId="102" fillId="12" borderId="131" xfId="17" applyNumberFormat="1" applyFont="1" applyFill="1" applyBorder="1" applyAlignment="1">
      <alignment horizontal="center" vertical="center" wrapText="1"/>
    </xf>
    <xf numFmtId="186" fontId="102" fillId="12" borderId="137" xfId="17" applyNumberFormat="1" applyFont="1" applyFill="1" applyBorder="1" applyAlignment="1">
      <alignment horizontal="center" vertical="center" wrapText="1"/>
    </xf>
    <xf numFmtId="0" fontId="150" fillId="12" borderId="130" xfId="17" applyFont="1" applyFill="1" applyBorder="1" applyAlignment="1" applyProtection="1">
      <alignment horizontal="center" vertical="center" wrapText="1"/>
    </xf>
    <xf numFmtId="0" fontId="150" fillId="12" borderId="133" xfId="17" applyFont="1" applyFill="1" applyBorder="1" applyAlignment="1" applyProtection="1">
      <alignment horizontal="center" vertical="center" wrapText="1"/>
    </xf>
    <xf numFmtId="0" fontId="150" fillId="13" borderId="138" xfId="17" applyFont="1" applyFill="1" applyBorder="1" applyAlignment="1" applyProtection="1">
      <alignment horizontal="center" vertical="center" wrapText="1"/>
    </xf>
    <xf numFmtId="0" fontId="150" fillId="12" borderId="138" xfId="17" applyFont="1" applyFill="1" applyBorder="1" applyAlignment="1" applyProtection="1">
      <alignment horizontal="center" vertical="center" wrapText="1"/>
    </xf>
    <xf numFmtId="0" fontId="150" fillId="12" borderId="135" xfId="17" applyFont="1" applyFill="1" applyBorder="1" applyAlignment="1" applyProtection="1">
      <alignment horizontal="center" vertical="center" wrapText="1"/>
    </xf>
    <xf numFmtId="10" fontId="101" fillId="0" borderId="0" xfId="17" applyNumberFormat="1" applyFont="1" applyAlignment="1">
      <alignment horizontal="center" vertical="center"/>
    </xf>
    <xf numFmtId="0" fontId="150" fillId="12" borderId="139" xfId="17" applyFont="1" applyFill="1" applyBorder="1" applyAlignment="1" applyProtection="1">
      <alignment horizontal="center" vertical="center" wrapText="1"/>
    </xf>
    <xf numFmtId="0" fontId="150" fillId="12" borderId="140" xfId="17" applyFont="1" applyFill="1" applyBorder="1" applyAlignment="1" applyProtection="1">
      <alignment horizontal="center" vertical="center" wrapText="1"/>
    </xf>
    <xf numFmtId="0" fontId="150" fillId="12" borderId="141" xfId="17" applyFont="1" applyFill="1" applyBorder="1" applyAlignment="1" applyProtection="1">
      <alignment horizontal="center" vertical="center" wrapText="1"/>
    </xf>
    <xf numFmtId="10" fontId="101" fillId="0" borderId="142" xfId="17" applyNumberFormat="1" applyFont="1" applyBorder="1">
      <alignment vertical="center"/>
    </xf>
    <xf numFmtId="10" fontId="101" fillId="0" borderId="36" xfId="17" applyNumberFormat="1" applyFont="1" applyBorder="1">
      <alignment vertical="center"/>
    </xf>
    <xf numFmtId="0" fontId="101" fillId="0" borderId="129" xfId="17" applyFont="1" applyBorder="1">
      <alignment vertical="center"/>
    </xf>
    <xf numFmtId="0" fontId="150" fillId="13" borderId="131" xfId="17" applyFont="1" applyFill="1" applyBorder="1" applyAlignment="1" applyProtection="1">
      <alignment horizontal="center" vertical="center" wrapText="1"/>
    </xf>
    <xf numFmtId="0" fontId="150" fillId="13" borderId="132" xfId="17" applyFont="1" applyFill="1" applyBorder="1" applyAlignment="1" applyProtection="1">
      <alignment horizontal="center" vertical="center" wrapText="1"/>
    </xf>
    <xf numFmtId="10" fontId="101" fillId="0" borderId="0" xfId="17" applyNumberFormat="1" applyFont="1" applyBorder="1">
      <alignment vertical="center"/>
    </xf>
    <xf numFmtId="186" fontId="102" fillId="12" borderId="134" xfId="17" applyNumberFormat="1" applyFont="1" applyFill="1" applyBorder="1" applyAlignment="1">
      <alignment horizontal="center" vertical="center" wrapText="1"/>
    </xf>
    <xf numFmtId="186" fontId="102" fillId="12" borderId="143" xfId="17" applyNumberFormat="1" applyFont="1" applyFill="1" applyBorder="1" applyAlignment="1">
      <alignment horizontal="center" vertical="center" wrapText="1"/>
    </xf>
    <xf numFmtId="0" fontId="101" fillId="13" borderId="131" xfId="17" applyFont="1" applyFill="1" applyBorder="1" applyAlignment="1" applyProtection="1">
      <alignment horizontal="center" vertical="center" wrapText="1"/>
    </xf>
    <xf numFmtId="0" fontId="101" fillId="13" borderId="132" xfId="17" applyFont="1" applyFill="1" applyBorder="1" applyAlignment="1" applyProtection="1">
      <alignment horizontal="center" vertical="center" wrapText="1"/>
    </xf>
    <xf numFmtId="49" fontId="48" fillId="6" borderId="1" xfId="17" applyNumberFormat="1" applyFont="1" applyFill="1" applyBorder="1" applyAlignment="1" applyProtection="1">
      <alignment horizontal="center" vertical="center" wrapText="1"/>
    </xf>
    <xf numFmtId="186" fontId="101" fillId="6" borderId="0" xfId="17" applyNumberFormat="1" applyFont="1" applyFill="1" applyAlignment="1">
      <alignment horizontal="center" vertical="center"/>
    </xf>
    <xf numFmtId="0" fontId="101" fillId="6" borderId="134" xfId="17" applyFont="1" applyFill="1" applyBorder="1" applyAlignment="1" applyProtection="1">
      <alignment horizontal="center" vertical="center" wrapText="1"/>
    </xf>
    <xf numFmtId="0" fontId="101" fillId="6" borderId="138" xfId="17" applyFont="1" applyFill="1" applyBorder="1" applyAlignment="1" applyProtection="1">
      <alignment horizontal="center" vertical="center" wrapText="1"/>
    </xf>
    <xf numFmtId="0" fontId="101" fillId="6" borderId="0" xfId="17" applyFont="1" applyFill="1">
      <alignment vertical="center"/>
    </xf>
    <xf numFmtId="10" fontId="101" fillId="6" borderId="129" xfId="17" applyNumberFormat="1" applyFont="1" applyFill="1" applyBorder="1">
      <alignment vertical="center"/>
    </xf>
    <xf numFmtId="10" fontId="101" fillId="6" borderId="0" xfId="17" applyNumberFormat="1" applyFont="1" applyFill="1">
      <alignment vertical="center"/>
    </xf>
    <xf numFmtId="177" fontId="101" fillId="6" borderId="0" xfId="17" applyNumberFormat="1" applyFont="1" applyFill="1">
      <alignment vertical="center"/>
    </xf>
    <xf numFmtId="10" fontId="101" fillId="6" borderId="136" xfId="17" applyNumberFormat="1" applyFont="1" applyFill="1" applyBorder="1">
      <alignment vertical="center"/>
    </xf>
    <xf numFmtId="10" fontId="101" fillId="6" borderId="65" xfId="17" applyNumberFormat="1" applyFont="1" applyFill="1" applyBorder="1">
      <alignment vertical="center"/>
    </xf>
    <xf numFmtId="10" fontId="101" fillId="6" borderId="0" xfId="17" applyNumberFormat="1" applyFont="1" applyFill="1" applyAlignment="1">
      <alignment horizontal="center" vertical="center"/>
    </xf>
    <xf numFmtId="0" fontId="101" fillId="12" borderId="139" xfId="17" applyFont="1" applyFill="1" applyBorder="1" applyAlignment="1" applyProtection="1">
      <alignment horizontal="center" vertical="center" wrapText="1"/>
    </xf>
    <xf numFmtId="0" fontId="101" fillId="12" borderId="140" xfId="17" applyFont="1" applyFill="1" applyBorder="1" applyAlignment="1" applyProtection="1">
      <alignment horizontal="center" vertical="center" wrapText="1"/>
    </xf>
    <xf numFmtId="0" fontId="101" fillId="12" borderId="141" xfId="17" applyFont="1" applyFill="1" applyBorder="1" applyAlignment="1" applyProtection="1">
      <alignment horizontal="center" vertical="center" wrapText="1"/>
    </xf>
    <xf numFmtId="0" fontId="101" fillId="12" borderId="133" xfId="17" applyFont="1" applyFill="1" applyBorder="1" applyAlignment="1" applyProtection="1">
      <alignment horizontal="center" vertical="center" wrapText="1"/>
    </xf>
    <xf numFmtId="0" fontId="101" fillId="12" borderId="135" xfId="17" applyFont="1" applyFill="1" applyBorder="1" applyAlignment="1" applyProtection="1">
      <alignment horizontal="center" vertical="center" wrapText="1"/>
    </xf>
    <xf numFmtId="186" fontId="102" fillId="12" borderId="140" xfId="17" applyNumberFormat="1" applyFont="1" applyFill="1" applyBorder="1" applyAlignment="1">
      <alignment horizontal="center" vertical="center" wrapText="1"/>
    </xf>
    <xf numFmtId="186" fontId="102" fillId="12" borderId="144" xfId="17" applyNumberFormat="1" applyFont="1" applyFill="1" applyBorder="1" applyAlignment="1">
      <alignment horizontal="center" vertical="center" wrapText="1"/>
    </xf>
    <xf numFmtId="186" fontId="101" fillId="14" borderId="0" xfId="17" applyNumberFormat="1" applyFont="1" applyFill="1" applyAlignment="1">
      <alignment horizontal="center" vertical="center"/>
    </xf>
    <xf numFmtId="186" fontId="101" fillId="0" borderId="40" xfId="17" applyNumberFormat="1" applyFont="1" applyBorder="1" applyAlignment="1">
      <alignment horizontal="center" vertical="center"/>
    </xf>
    <xf numFmtId="0" fontId="150" fillId="13" borderId="145" xfId="17" applyFont="1" applyFill="1" applyBorder="1" applyAlignment="1" applyProtection="1">
      <alignment horizontal="center" vertical="center" wrapText="1"/>
    </xf>
    <xf numFmtId="0" fontId="150" fillId="13" borderId="146" xfId="17" applyFont="1" applyFill="1" applyBorder="1" applyAlignment="1" applyProtection="1">
      <alignment horizontal="center" vertical="center" wrapText="1"/>
    </xf>
    <xf numFmtId="0" fontId="101" fillId="0" borderId="40" xfId="17" applyFont="1" applyBorder="1">
      <alignment vertical="center"/>
    </xf>
    <xf numFmtId="10" fontId="101" fillId="0" borderId="147" xfId="17" applyNumberFormat="1" applyFont="1" applyBorder="1">
      <alignment vertical="center"/>
    </xf>
    <xf numFmtId="10" fontId="101" fillId="0" borderId="40" xfId="17" applyNumberFormat="1" applyFont="1" applyBorder="1">
      <alignment vertical="center"/>
    </xf>
    <xf numFmtId="177" fontId="101" fillId="0" borderId="40" xfId="17" applyNumberFormat="1" applyFont="1" applyBorder="1">
      <alignment vertical="center"/>
    </xf>
    <xf numFmtId="10" fontId="101" fillId="0" borderId="40" xfId="17" applyNumberFormat="1" applyFont="1" applyBorder="1" applyAlignment="1">
      <alignment horizontal="center" vertical="center"/>
    </xf>
    <xf numFmtId="0" fontId="150" fillId="12" borderId="148" xfId="17" applyFont="1" applyFill="1" applyBorder="1" applyAlignment="1" applyProtection="1">
      <alignment horizontal="center" vertical="center" wrapText="1"/>
    </xf>
    <xf numFmtId="0" fontId="150" fillId="12" borderId="149" xfId="17" applyFont="1" applyFill="1" applyBorder="1" applyAlignment="1" applyProtection="1">
      <alignment horizontal="center" vertical="center" wrapText="1"/>
    </xf>
    <xf numFmtId="10" fontId="101" fillId="15" borderId="129" xfId="17" applyNumberFormat="1" applyFont="1" applyFill="1" applyBorder="1">
      <alignment vertical="center"/>
    </xf>
    <xf numFmtId="10" fontId="101" fillId="15" borderId="0" xfId="17" applyNumberFormat="1" applyFont="1" applyFill="1">
      <alignment vertical="center"/>
    </xf>
    <xf numFmtId="178" fontId="101" fillId="0" borderId="0" xfId="17" applyNumberFormat="1" applyFont="1" applyAlignment="1">
      <alignment horizontal="center" vertical="center"/>
    </xf>
    <xf numFmtId="10" fontId="101" fillId="15" borderId="136" xfId="17" applyNumberFormat="1" applyFont="1" applyFill="1" applyBorder="1">
      <alignment vertical="center"/>
    </xf>
    <xf numFmtId="10" fontId="101" fillId="15" borderId="65" xfId="17" applyNumberFormat="1" applyFont="1" applyFill="1" applyBorder="1">
      <alignment vertical="center"/>
    </xf>
    <xf numFmtId="10" fontId="101" fillId="15" borderId="147" xfId="17" applyNumberFormat="1" applyFont="1" applyFill="1" applyBorder="1">
      <alignment vertical="center"/>
    </xf>
    <xf numFmtId="10" fontId="101" fillId="15" borderId="40" xfId="17" applyNumberFormat="1" applyFont="1" applyFill="1" applyBorder="1">
      <alignment vertical="center"/>
    </xf>
    <xf numFmtId="178" fontId="101" fillId="0" borderId="40" xfId="17" applyNumberFormat="1" applyFont="1" applyBorder="1" applyAlignment="1">
      <alignment horizontal="center" vertical="center"/>
    </xf>
    <xf numFmtId="0" fontId="102" fillId="13" borderId="150" xfId="17" applyFont="1" applyFill="1" applyBorder="1" applyAlignment="1">
      <alignment horizontal="center" vertical="center" wrapText="1"/>
    </xf>
    <xf numFmtId="0" fontId="102" fillId="13" borderId="151" xfId="17" applyFont="1" applyFill="1" applyBorder="1" applyAlignment="1">
      <alignment horizontal="center" vertical="center" wrapText="1"/>
    </xf>
    <xf numFmtId="180" fontId="101" fillId="0" borderId="0" xfId="17" applyNumberFormat="1" applyFont="1" applyAlignment="1">
      <alignment horizontal="center" vertical="center"/>
    </xf>
    <xf numFmtId="180" fontId="101" fillId="0" borderId="129" xfId="17" applyNumberFormat="1" applyFont="1" applyBorder="1" applyAlignment="1">
      <alignment horizontal="center" vertical="center"/>
    </xf>
    <xf numFmtId="177" fontId="101" fillId="15" borderId="0" xfId="17" applyNumberFormat="1" applyFont="1" applyFill="1" applyAlignment="1">
      <alignment horizontal="center" vertical="center"/>
    </xf>
    <xf numFmtId="0" fontId="150" fillId="13" borderId="140" xfId="17" applyFont="1" applyFill="1" applyBorder="1" applyAlignment="1" applyProtection="1">
      <alignment horizontal="center" vertical="center" wrapText="1"/>
    </xf>
    <xf numFmtId="0" fontId="102" fillId="12" borderId="140" xfId="17" applyFont="1" applyFill="1" applyBorder="1" applyAlignment="1">
      <alignment horizontal="center" vertical="center" wrapText="1"/>
    </xf>
    <xf numFmtId="0" fontId="102" fillId="12" borderId="144" xfId="17" applyFont="1" applyFill="1" applyBorder="1" applyAlignment="1">
      <alignment horizontal="center" vertical="center" wrapText="1"/>
    </xf>
    <xf numFmtId="177" fontId="101" fillId="6" borderId="0" xfId="17" applyNumberFormat="1" applyFont="1" applyFill="1" applyAlignment="1">
      <alignment horizontal="center" vertical="center"/>
    </xf>
    <xf numFmtId="0" fontId="150" fillId="6" borderId="134" xfId="17" applyFont="1" applyFill="1" applyBorder="1" applyAlignment="1" applyProtection="1">
      <alignment horizontal="center" vertical="center" wrapText="1"/>
    </xf>
    <xf numFmtId="180" fontId="101" fillId="6" borderId="0" xfId="17" applyNumberFormat="1" applyFont="1" applyFill="1" applyAlignment="1">
      <alignment horizontal="center" vertical="center"/>
    </xf>
    <xf numFmtId="0" fontId="101" fillId="6" borderId="129" xfId="17" applyFont="1" applyFill="1" applyBorder="1">
      <alignment vertical="center"/>
    </xf>
    <xf numFmtId="178" fontId="101" fillId="6" borderId="0" xfId="17" applyNumberFormat="1" applyFont="1" applyFill="1" applyAlignment="1">
      <alignment horizontal="center" vertical="center"/>
    </xf>
    <xf numFmtId="0" fontId="102" fillId="12" borderId="152" xfId="17" applyFont="1" applyFill="1" applyBorder="1" applyAlignment="1">
      <alignment horizontal="center" vertical="center" wrapText="1"/>
    </xf>
    <xf numFmtId="0" fontId="102" fillId="12" borderId="153" xfId="17" applyFont="1" applyFill="1" applyBorder="1" applyAlignment="1">
      <alignment horizontal="center" vertical="center" wrapText="1"/>
    </xf>
    <xf numFmtId="0" fontId="102" fillId="12" borderId="154" xfId="17" applyFont="1" applyFill="1" applyBorder="1" applyAlignment="1">
      <alignment horizontal="center" vertical="center" wrapText="1"/>
    </xf>
    <xf numFmtId="0" fontId="143" fillId="0" borderId="0" xfId="17" applyFont="1">
      <alignment vertical="center"/>
    </xf>
    <xf numFmtId="0" fontId="117" fillId="0" borderId="0" xfId="17" applyFont="1">
      <alignment vertical="center"/>
    </xf>
    <xf numFmtId="0" fontId="117" fillId="0" borderId="129" xfId="17" applyFont="1" applyBorder="1">
      <alignment vertical="center"/>
    </xf>
    <xf numFmtId="180" fontId="117" fillId="0" borderId="0" xfId="17" applyNumberFormat="1" applyFont="1" applyAlignment="1">
      <alignment horizontal="center" vertical="center"/>
    </xf>
    <xf numFmtId="180" fontId="117" fillId="0" borderId="129" xfId="17" applyNumberFormat="1" applyFont="1" applyBorder="1" applyAlignment="1">
      <alignment horizontal="center" vertical="center"/>
    </xf>
    <xf numFmtId="0" fontId="150" fillId="13" borderId="155" xfId="17" applyFont="1" applyFill="1" applyBorder="1" applyAlignment="1">
      <alignment horizontal="center" vertical="center" wrapText="1"/>
    </xf>
    <xf numFmtId="0" fontId="150" fillId="13" borderId="131" xfId="17" applyFont="1" applyFill="1" applyBorder="1" applyAlignment="1">
      <alignment horizontal="center" vertical="center" wrapText="1"/>
    </xf>
    <xf numFmtId="0" fontId="150" fillId="13" borderId="132" xfId="17" applyFont="1" applyFill="1" applyBorder="1" applyAlignment="1">
      <alignment horizontal="center" vertical="center" wrapText="1"/>
    </xf>
    <xf numFmtId="0" fontId="150" fillId="12" borderId="187" xfId="17" applyFont="1" applyFill="1" applyBorder="1" applyAlignment="1">
      <alignment horizontal="center" vertical="center" wrapText="1"/>
    </xf>
    <xf numFmtId="0" fontId="150" fillId="12" borderId="131" xfId="17" applyFont="1" applyFill="1" applyBorder="1" applyAlignment="1">
      <alignment horizontal="center" vertical="center" wrapText="1"/>
    </xf>
    <xf numFmtId="0" fontId="150" fillId="12" borderId="132" xfId="17" applyFont="1" applyFill="1" applyBorder="1" applyAlignment="1">
      <alignment horizontal="center" vertical="center" wrapText="1"/>
    </xf>
    <xf numFmtId="0" fontId="150" fillId="12" borderId="156" xfId="17" applyFont="1" applyFill="1" applyBorder="1" applyAlignment="1">
      <alignment horizontal="center" vertical="center" wrapText="1"/>
    </xf>
    <xf numFmtId="0" fontId="150" fillId="12" borderId="134" xfId="17" applyFont="1" applyFill="1" applyBorder="1" applyAlignment="1">
      <alignment horizontal="center" vertical="center" wrapText="1"/>
    </xf>
    <xf numFmtId="0" fontId="150" fillId="12" borderId="138" xfId="17" applyFont="1" applyFill="1" applyBorder="1" applyAlignment="1">
      <alignment horizontal="center" vertical="center" wrapText="1"/>
    </xf>
    <xf numFmtId="0" fontId="150" fillId="13" borderId="188" xfId="17" applyFont="1" applyFill="1" applyBorder="1" applyAlignment="1">
      <alignment horizontal="center" vertical="center" wrapText="1"/>
    </xf>
    <xf numFmtId="0" fontId="150" fillId="13" borderId="134" xfId="17" applyFont="1" applyFill="1" applyBorder="1" applyAlignment="1">
      <alignment horizontal="center" vertical="center" wrapText="1"/>
    </xf>
    <xf numFmtId="0" fontId="150" fillId="13" borderId="138" xfId="17" applyFont="1" applyFill="1" applyBorder="1" applyAlignment="1">
      <alignment horizontal="center" vertical="center" wrapText="1"/>
    </xf>
    <xf numFmtId="0" fontId="150" fillId="13" borderId="156" xfId="17" applyFont="1" applyFill="1" applyBorder="1" applyAlignment="1">
      <alignment horizontal="center" vertical="center" wrapText="1"/>
    </xf>
    <xf numFmtId="0" fontId="150" fillId="12" borderId="188" xfId="17" applyFont="1" applyFill="1" applyBorder="1" applyAlignment="1">
      <alignment horizontal="center" vertical="center" wrapText="1"/>
    </xf>
    <xf numFmtId="0" fontId="150" fillId="13" borderId="189" xfId="17" applyFont="1" applyFill="1" applyBorder="1" applyAlignment="1">
      <alignment horizontal="center" vertical="center" wrapText="1"/>
    </xf>
    <xf numFmtId="0" fontId="150" fillId="13" borderId="140" xfId="17" applyFont="1" applyFill="1" applyBorder="1" applyAlignment="1">
      <alignment horizontal="center" vertical="center" wrapText="1"/>
    </xf>
    <xf numFmtId="0" fontId="150" fillId="13" borderId="141" xfId="17" applyFont="1" applyFill="1" applyBorder="1" applyAlignment="1">
      <alignment horizontal="center" vertical="center" wrapText="1"/>
    </xf>
    <xf numFmtId="0" fontId="150" fillId="12" borderId="157" xfId="17" applyFont="1" applyFill="1" applyBorder="1" applyAlignment="1">
      <alignment horizontal="center" vertical="center" wrapText="1"/>
    </xf>
    <xf numFmtId="0" fontId="150" fillId="12" borderId="140" xfId="17" applyFont="1" applyFill="1" applyBorder="1" applyAlignment="1">
      <alignment horizontal="center" vertical="center" wrapText="1"/>
    </xf>
    <xf numFmtId="0" fontId="150" fillId="12" borderId="141" xfId="17" applyFont="1" applyFill="1" applyBorder="1" applyAlignment="1">
      <alignment horizontal="center" vertical="center" wrapText="1"/>
    </xf>
    <xf numFmtId="0" fontId="53" fillId="16" borderId="14" xfId="8" applyFont="1" applyFill="1" applyBorder="1" applyAlignment="1" applyProtection="1">
      <alignment horizontal="center" vertical="center" wrapText="1"/>
    </xf>
    <xf numFmtId="0" fontId="260" fillId="5" borderId="6" xfId="8" applyFont="1" applyFill="1" applyBorder="1" applyAlignment="1">
      <alignment horizontal="center" vertical="center" wrapText="1"/>
    </xf>
    <xf numFmtId="0" fontId="52" fillId="0" borderId="2" xfId="1" applyFont="1" applyFill="1" applyBorder="1" applyAlignment="1" applyProtection="1">
      <alignment horizontal="right" vertical="center"/>
      <protection locked="0"/>
    </xf>
    <xf numFmtId="0" fontId="75" fillId="0" borderId="107" xfId="0" applyNumberFormat="1" applyFont="1" applyFill="1" applyBorder="1" applyAlignment="1" applyProtection="1">
      <alignment horizontal="center" vertical="center" wrapText="1"/>
      <protection locked="0"/>
    </xf>
    <xf numFmtId="1" fontId="42" fillId="5" borderId="1" xfId="0" applyNumberFormat="1" applyFont="1" applyFill="1" applyBorder="1" applyAlignment="1" applyProtection="1">
      <alignment horizontal="center" vertical="center"/>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180" fontId="42" fillId="5" borderId="1" xfId="0" applyNumberFormat="1" applyFont="1" applyFill="1" applyBorder="1" applyAlignment="1" applyProtection="1">
      <alignment horizontal="center" vertical="center"/>
    </xf>
  </cellXfs>
  <cellStyles count="19">
    <cellStyle name="百分比 2" xfId="15"/>
    <cellStyle name="常规" xfId="0" builtinId="0"/>
    <cellStyle name="常规 16" xfId="8"/>
    <cellStyle name="常规 2" xfId="1"/>
    <cellStyle name="常规 2 2" xfId="6"/>
    <cellStyle name="常规 2 2 2 2 3" xfId="16"/>
    <cellStyle name="常规 3" xfId="2"/>
    <cellStyle name="常规 3 2" xfId="3"/>
    <cellStyle name="常规 4" xfId="4"/>
    <cellStyle name="常规 5" xfId="5"/>
    <cellStyle name="常规 6" xfId="9"/>
    <cellStyle name="常规 6 2" xfId="7"/>
    <cellStyle name="常规 6 2 2" xfId="11"/>
    <cellStyle name="常规 6 2 2 2" xfId="18"/>
    <cellStyle name="常规 6 3" xfId="17"/>
    <cellStyle name="常规 7" xfId="10"/>
    <cellStyle name="常规 8" xfId="12"/>
    <cellStyle name="常规 9" xfId="13"/>
    <cellStyle name="货币" xfId="14" builtinId="4"/>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552045</xdr:colOff>
      <xdr:row>47</xdr:row>
      <xdr:rowOff>85350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819650"/>
          <a:ext cx="3238095" cy="30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bu\&#20849;&#20139;&#25991;&#26723;\&#32508;&#21512;&#32452;&#8212;&#8212;2.&#27979;&#31639;+&#25253;&#21578;+&#38468;&#20214;\1.&#27979;&#31639;&#34920;\&#32508;&#21512;&#32452;&#30005;&#31639;&#34920;20180627&#21551;&#29992;\&#23545;&#20844;&#20107;&#19994;&#37096;&#8212;&#30005;&#31639;&#34920;-&#22303;&#22686;&#312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s>
    <sheetDataSet>
      <sheetData sheetId="0" refreshError="1"/>
      <sheetData sheetId="1">
        <row r="1">
          <cell r="B1" t="str">
            <v>估价方法</v>
          </cell>
          <cell r="C1" t="str">
            <v>土地级别</v>
          </cell>
          <cell r="G1" t="str">
            <v>法定最高年限</v>
          </cell>
          <cell r="H1" t="str">
            <v>地类判定</v>
          </cell>
          <cell r="K1" t="str">
            <v>居住社区成熟度</v>
          </cell>
          <cell r="L1" t="str">
            <v>商业繁华度</v>
          </cell>
          <cell r="M1" t="str">
            <v>办公集聚程度</v>
          </cell>
          <cell r="O1" t="str">
            <v>交通便捷度</v>
          </cell>
          <cell r="P1" t="str">
            <v>区域土地利用方向</v>
          </cell>
          <cell r="Q1" t="str">
            <v>公共配套设施</v>
          </cell>
          <cell r="R1" t="str">
            <v>基础设施水平</v>
          </cell>
          <cell r="S1" t="str">
            <v>环境质量</v>
          </cell>
          <cell r="T1" t="str">
            <v>临街状况</v>
          </cell>
          <cell r="V1" t="str">
            <v>单价内涵</v>
          </cell>
          <cell r="W1" t="str">
            <v>五等判定</v>
          </cell>
          <cell r="X1" t="str">
            <v>结构</v>
          </cell>
        </row>
        <row r="2">
          <cell r="B2" t="str">
            <v>2014基准地价</v>
          </cell>
          <cell r="C2" t="str">
            <v>一级</v>
          </cell>
          <cell r="G2">
            <v>40</v>
          </cell>
          <cell r="H2" t="str">
            <v>住宅/居住</v>
          </cell>
          <cell r="K2" t="str">
            <v>好</v>
          </cell>
          <cell r="L2" t="str">
            <v>好</v>
          </cell>
          <cell r="M2" t="str">
            <v>好</v>
          </cell>
          <cell r="O2" t="str">
            <v>好</v>
          </cell>
          <cell r="P2" t="str">
            <v>好</v>
          </cell>
          <cell r="Q2" t="str">
            <v>好</v>
          </cell>
          <cell r="R2" t="str">
            <v>七通</v>
          </cell>
          <cell r="S2" t="str">
            <v>好</v>
          </cell>
          <cell r="T2" t="str">
            <v>多面临街</v>
          </cell>
          <cell r="V2" t="str">
            <v>单位面积地价</v>
          </cell>
          <cell r="W2" t="str">
            <v>好</v>
          </cell>
          <cell r="X2" t="str">
            <v>钢</v>
          </cell>
        </row>
        <row r="3">
          <cell r="B3" t="str">
            <v>2002基准地价</v>
          </cell>
          <cell r="C3" t="str">
            <v>二级</v>
          </cell>
          <cell r="G3">
            <v>50</v>
          </cell>
          <cell r="H3" t="str">
            <v>商业</v>
          </cell>
          <cell r="K3" t="str">
            <v>较好</v>
          </cell>
          <cell r="L3" t="str">
            <v>较好</v>
          </cell>
          <cell r="M3" t="str">
            <v>较好</v>
          </cell>
          <cell r="O3" t="str">
            <v>较好</v>
          </cell>
          <cell r="P3" t="str">
            <v>较好</v>
          </cell>
          <cell r="Q3" t="str">
            <v>较好</v>
          </cell>
          <cell r="R3" t="str">
            <v>六通</v>
          </cell>
          <cell r="S3" t="str">
            <v>较好</v>
          </cell>
          <cell r="T3" t="str">
            <v>双面临街</v>
          </cell>
          <cell r="V3" t="str">
            <v>楼面地价</v>
          </cell>
          <cell r="W3" t="str">
            <v>较好</v>
          </cell>
          <cell r="X3" t="str">
            <v>钢混</v>
          </cell>
        </row>
        <row r="4">
          <cell r="B4" t="str">
            <v>1993基准地价</v>
          </cell>
          <cell r="C4" t="str">
            <v>三级</v>
          </cell>
          <cell r="G4">
            <v>70</v>
          </cell>
          <cell r="H4" t="str">
            <v>办公/综合</v>
          </cell>
          <cell r="K4" t="str">
            <v>一般</v>
          </cell>
          <cell r="L4" t="str">
            <v>一般</v>
          </cell>
          <cell r="M4" t="str">
            <v>一般</v>
          </cell>
          <cell r="O4" t="str">
            <v>一般</v>
          </cell>
          <cell r="P4" t="str">
            <v>一般</v>
          </cell>
          <cell r="Q4" t="str">
            <v>一般</v>
          </cell>
          <cell r="R4" t="str">
            <v>五通</v>
          </cell>
          <cell r="S4" t="str">
            <v>一般</v>
          </cell>
          <cell r="T4" t="str">
            <v>单面临街</v>
          </cell>
          <cell r="W4" t="str">
            <v>一般</v>
          </cell>
          <cell r="X4" t="str">
            <v>砖混</v>
          </cell>
        </row>
        <row r="5">
          <cell r="B5" t="str">
            <v>比较法</v>
          </cell>
          <cell r="C5" t="str">
            <v>四级</v>
          </cell>
          <cell r="H5" t="str">
            <v>工业</v>
          </cell>
          <cell r="K5" t="str">
            <v>较差</v>
          </cell>
          <cell r="L5" t="str">
            <v>较差</v>
          </cell>
          <cell r="M5" t="str">
            <v>较差</v>
          </cell>
          <cell r="O5" t="str">
            <v>较差</v>
          </cell>
          <cell r="P5" t="str">
            <v>较差</v>
          </cell>
          <cell r="Q5" t="str">
            <v>较差</v>
          </cell>
          <cell r="R5" t="str">
            <v>四通</v>
          </cell>
          <cell r="S5" t="str">
            <v>较差</v>
          </cell>
          <cell r="T5" t="str">
            <v>不临街</v>
          </cell>
          <cell r="W5" t="str">
            <v>较差</v>
          </cell>
          <cell r="X5" t="str">
            <v>砖木（一等）</v>
          </cell>
        </row>
        <row r="6">
          <cell r="B6" t="str">
            <v>*</v>
          </cell>
          <cell r="C6" t="str">
            <v>五级</v>
          </cell>
          <cell r="K6" t="str">
            <v>差</v>
          </cell>
          <cell r="L6" t="str">
            <v>差</v>
          </cell>
          <cell r="M6" t="str">
            <v>差</v>
          </cell>
          <cell r="O6" t="str">
            <v>差</v>
          </cell>
          <cell r="P6" t="str">
            <v>差</v>
          </cell>
          <cell r="Q6" t="str">
            <v>差</v>
          </cell>
          <cell r="R6" t="str">
            <v>三通</v>
          </cell>
          <cell r="S6" t="str">
            <v>差</v>
          </cell>
          <cell r="W6" t="str">
            <v>差</v>
          </cell>
          <cell r="X6" t="str">
            <v>砖木（二等）</v>
          </cell>
        </row>
        <row r="7">
          <cell r="B7" t="str">
            <v>*</v>
          </cell>
          <cell r="C7" t="str">
            <v>六级</v>
          </cell>
          <cell r="X7" t="str">
            <v>砖木（三等）</v>
          </cell>
        </row>
        <row r="8">
          <cell r="B8" t="str">
            <v>*</v>
          </cell>
          <cell r="C8" t="str">
            <v>七级</v>
          </cell>
          <cell r="X8" t="str">
            <v>简易</v>
          </cell>
        </row>
        <row r="9">
          <cell r="B9" t="str">
            <v>*</v>
          </cell>
          <cell r="C9" t="str">
            <v>八级</v>
          </cell>
        </row>
        <row r="10">
          <cell r="B10" t="str">
            <v>*</v>
          </cell>
          <cell r="C10" t="str">
            <v>九级</v>
          </cell>
        </row>
        <row r="11">
          <cell r="B11" t="str">
            <v>*</v>
          </cell>
          <cell r="C11" t="str">
            <v>十级</v>
          </cell>
        </row>
        <row r="12">
          <cell r="B12" t="str">
            <v>*</v>
          </cell>
          <cell r="C12" t="str">
            <v>十一级</v>
          </cell>
        </row>
        <row r="13">
          <cell r="B13" t="str">
            <v>*</v>
          </cell>
          <cell r="C13" t="str">
            <v>十二级</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sheetData>
      <sheetData sheetId="2">
        <row r="3">
          <cell r="C3" t="str">
            <v>估价对象周边居住用地比例、居住小区规模和社区发展完善程度，综合评价居住社区成熟度一般</v>
          </cell>
          <cell r="G3" t="str">
            <v>估价对象位于XX开发区，园区建设成熟度？产业集聚程度？</v>
          </cell>
        </row>
        <row r="4">
          <cell r="C4" t="str">
            <v>估价对象位于XX商圈，周边商业氛围成熟，人流量大，商业繁华度好</v>
          </cell>
          <cell r="G4" t="str">
            <v>估价对象周边道路状况、公共交通通达情况、停车便捷程度，综合评价交通便捷度较好</v>
          </cell>
        </row>
        <row r="5">
          <cell r="C5" t="str">
            <v>估价对象位于XX商圈，周边办公楼项目较多，入驻率高，办公集聚程度较好</v>
          </cell>
          <cell r="G5" t="str">
            <v>零星有其他用地，基本不影响本宗地</v>
          </cell>
        </row>
        <row r="6">
          <cell r="C6" t="str">
            <v>估价对象周边道路状况、公共交通通达情况、停车便捷程度，综合评价交通便捷度较好</v>
          </cell>
          <cell r="G6" t="str">
            <v>该园区内无污染型企业，绿化较好，卫生条件良好，整体环境状况较好</v>
          </cell>
        </row>
        <row r="7">
          <cell r="C7" t="str">
            <v>零星有其他用地，基本不影响本宗地</v>
          </cell>
        </row>
        <row r="8">
          <cell r="C8" t="str">
            <v>区域自然环境：；人文环境；综合评价环境状况一般</v>
          </cell>
          <cell r="G8" t="str">
            <v>估价对象所在区域基础设施水平</v>
          </cell>
        </row>
        <row r="9">
          <cell r="C9" t="str">
            <v>估价对象所在区域公共配套设施齐备情况</v>
          </cell>
        </row>
        <row r="10">
          <cell r="C10" t="str">
            <v>估价对象所在区域基础设施水平</v>
          </cell>
        </row>
      </sheetData>
      <sheetData sheetId="3" refreshError="1"/>
      <sheetData sheetId="4" refreshError="1"/>
      <sheetData sheetId="5">
        <row r="8">
          <cell r="B8" t="e">
            <v>#DIV/0!</v>
          </cell>
        </row>
        <row r="15">
          <cell r="B15">
            <v>-1900</v>
          </cell>
        </row>
      </sheetData>
      <sheetData sheetId="6">
        <row r="33">
          <cell r="B33" t="str">
            <v>地下第1层商业</v>
          </cell>
        </row>
        <row r="34">
          <cell r="B34" t="str">
            <v>地下第2层商业</v>
          </cell>
        </row>
        <row r="35">
          <cell r="B35" t="str">
            <v>地下第3层商业</v>
          </cell>
        </row>
        <row r="36">
          <cell r="B36" t="str">
            <v>地下第4层商业</v>
          </cell>
        </row>
        <row r="37">
          <cell r="B37" t="str">
            <v>地下办公</v>
          </cell>
        </row>
        <row r="38">
          <cell r="B38" t="str">
            <v>地下仓储</v>
          </cell>
        </row>
        <row r="39">
          <cell r="B39" t="str">
            <v>地下车库</v>
          </cell>
        </row>
      </sheetData>
      <sheetData sheetId="7" refreshError="1"/>
      <sheetData sheetId="8" refreshError="1"/>
      <sheetData sheetId="9">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10" refreshError="1"/>
      <sheetData sheetId="11" refreshError="1"/>
      <sheetData sheetId="12">
        <row r="1">
          <cell r="M1">
            <v>0</v>
          </cell>
        </row>
        <row r="14">
          <cell r="L14" t="str">
            <v>商业</v>
          </cell>
          <cell r="M14" t="str">
            <v>办公/综合</v>
          </cell>
          <cell r="N14" t="str">
            <v>住宅/居住</v>
          </cell>
          <cell r="O14" t="str">
            <v>工业</v>
          </cell>
          <cell r="P14" t="str">
            <v>商业</v>
          </cell>
          <cell r="Q14" t="str">
            <v>办公/综合</v>
          </cell>
          <cell r="R14" t="str">
            <v>住宅/居住</v>
          </cell>
          <cell r="S14" t="str">
            <v>工业</v>
          </cell>
        </row>
        <row r="15">
          <cell r="K15" t="str">
            <v>一级</v>
          </cell>
          <cell r="L15">
            <v>2660</v>
          </cell>
          <cell r="M15">
            <v>1640</v>
          </cell>
          <cell r="N15">
            <v>1710</v>
          </cell>
          <cell r="O15">
            <v>420</v>
          </cell>
          <cell r="P15">
            <v>4900</v>
          </cell>
          <cell r="Q15">
            <v>4500</v>
          </cell>
          <cell r="R15">
            <v>3000</v>
          </cell>
          <cell r="S15">
            <v>850</v>
          </cell>
        </row>
        <row r="16">
          <cell r="K16" t="str">
            <v>二级</v>
          </cell>
          <cell r="L16">
            <v>1680</v>
          </cell>
          <cell r="M16">
            <v>1460</v>
          </cell>
          <cell r="N16">
            <v>900</v>
          </cell>
          <cell r="O16">
            <v>430</v>
          </cell>
          <cell r="P16">
            <v>3120</v>
          </cell>
          <cell r="Q16">
            <v>2200</v>
          </cell>
          <cell r="R16">
            <v>2100</v>
          </cell>
          <cell r="S16">
            <v>530</v>
          </cell>
        </row>
        <row r="17">
          <cell r="K17" t="str">
            <v>三级</v>
          </cell>
          <cell r="L17">
            <v>1500</v>
          </cell>
          <cell r="M17">
            <v>1130</v>
          </cell>
          <cell r="N17">
            <v>550</v>
          </cell>
          <cell r="O17">
            <v>340</v>
          </cell>
          <cell r="P17">
            <v>2420</v>
          </cell>
          <cell r="Q17">
            <v>1690</v>
          </cell>
          <cell r="R17">
            <v>1300</v>
          </cell>
          <cell r="S17">
            <v>440</v>
          </cell>
        </row>
        <row r="18">
          <cell r="K18" t="str">
            <v>四级</v>
          </cell>
          <cell r="L18">
            <v>1240</v>
          </cell>
          <cell r="M18">
            <v>880</v>
          </cell>
          <cell r="N18">
            <v>400</v>
          </cell>
          <cell r="O18">
            <v>270</v>
          </cell>
          <cell r="P18">
            <v>1860</v>
          </cell>
          <cell r="Q18">
            <v>1320</v>
          </cell>
          <cell r="R18">
            <v>930</v>
          </cell>
          <cell r="S18">
            <v>360</v>
          </cell>
        </row>
        <row r="19">
          <cell r="K19" t="str">
            <v>五级</v>
          </cell>
          <cell r="L19">
            <v>970</v>
          </cell>
          <cell r="M19">
            <v>660</v>
          </cell>
          <cell r="N19">
            <v>300</v>
          </cell>
          <cell r="O19">
            <v>195</v>
          </cell>
          <cell r="P19">
            <v>1450</v>
          </cell>
          <cell r="Q19">
            <v>990</v>
          </cell>
          <cell r="R19">
            <v>680</v>
          </cell>
          <cell r="S19">
            <v>300</v>
          </cell>
        </row>
        <row r="20">
          <cell r="K20" t="str">
            <v>六级</v>
          </cell>
          <cell r="L20">
            <v>720</v>
          </cell>
          <cell r="M20">
            <v>500</v>
          </cell>
          <cell r="N20">
            <v>190</v>
          </cell>
          <cell r="O20">
            <v>135</v>
          </cell>
          <cell r="P20">
            <v>1090</v>
          </cell>
          <cell r="Q20">
            <v>740</v>
          </cell>
          <cell r="R20">
            <v>430</v>
          </cell>
          <cell r="S20">
            <v>225</v>
          </cell>
        </row>
        <row r="21">
          <cell r="K21" t="str">
            <v>七级</v>
          </cell>
          <cell r="L21">
            <v>500</v>
          </cell>
          <cell r="M21">
            <v>400</v>
          </cell>
          <cell r="N21">
            <v>150</v>
          </cell>
          <cell r="O21">
            <v>100</v>
          </cell>
          <cell r="P21">
            <v>740</v>
          </cell>
          <cell r="Q21">
            <v>600</v>
          </cell>
          <cell r="R21">
            <v>350</v>
          </cell>
          <cell r="S21">
            <v>160</v>
          </cell>
        </row>
        <row r="22">
          <cell r="K22" t="str">
            <v>八级</v>
          </cell>
          <cell r="L22">
            <v>360</v>
          </cell>
          <cell r="M22">
            <v>250</v>
          </cell>
          <cell r="N22">
            <v>120</v>
          </cell>
          <cell r="O22">
            <v>60</v>
          </cell>
          <cell r="P22">
            <v>540</v>
          </cell>
          <cell r="Q22">
            <v>470</v>
          </cell>
          <cell r="R22">
            <v>280</v>
          </cell>
          <cell r="S22">
            <v>100</v>
          </cell>
        </row>
        <row r="23">
          <cell r="K23" t="str">
            <v>九级</v>
          </cell>
          <cell r="L23">
            <v>180</v>
          </cell>
          <cell r="M23">
            <v>140</v>
          </cell>
          <cell r="N23">
            <v>100</v>
          </cell>
          <cell r="O23">
            <v>20</v>
          </cell>
          <cell r="P23">
            <v>380</v>
          </cell>
          <cell r="Q23">
            <v>260</v>
          </cell>
          <cell r="R23">
            <v>220</v>
          </cell>
          <cell r="S23">
            <v>60</v>
          </cell>
        </row>
        <row r="24">
          <cell r="K24" t="str">
            <v>十级</v>
          </cell>
          <cell r="L24">
            <v>90</v>
          </cell>
          <cell r="M24">
            <v>90</v>
          </cell>
          <cell r="N24">
            <v>90</v>
          </cell>
          <cell r="P24">
            <v>190</v>
          </cell>
          <cell r="Q24">
            <v>150</v>
          </cell>
          <cell r="R24">
            <v>150</v>
          </cell>
        </row>
      </sheetData>
      <sheetData sheetId="13">
        <row r="2">
          <cell r="B2" t="str">
            <v>商业</v>
          </cell>
          <cell r="C2" t="str">
            <v>办公/综合</v>
          </cell>
          <cell r="D2" t="str">
            <v>住宅/居住</v>
          </cell>
          <cell r="E2" t="str">
            <v>商业</v>
          </cell>
          <cell r="F2" t="str">
            <v>办公/综合</v>
          </cell>
          <cell r="G2" t="str">
            <v>住宅/居住</v>
          </cell>
        </row>
        <row r="3">
          <cell r="A3">
            <v>0.1</v>
          </cell>
          <cell r="B3">
            <v>1.5</v>
          </cell>
          <cell r="C3">
            <v>1.4370000000000001</v>
          </cell>
          <cell r="D3">
            <v>1.4179999999999999</v>
          </cell>
          <cell r="E3">
            <v>1.218</v>
          </cell>
          <cell r="F3">
            <v>1.2090000000000001</v>
          </cell>
          <cell r="G3">
            <v>1.2050000000000001</v>
          </cell>
        </row>
        <row r="4">
          <cell r="A4">
            <v>0.2</v>
          </cell>
          <cell r="B4">
            <v>1.4670000000000001</v>
          </cell>
          <cell r="C4">
            <v>1.4059999999999999</v>
          </cell>
          <cell r="D4">
            <v>1.387</v>
          </cell>
          <cell r="E4">
            <v>1.1910000000000001</v>
          </cell>
          <cell r="F4">
            <v>1.1830000000000001</v>
          </cell>
          <cell r="G4">
            <v>1.1779999999999999</v>
          </cell>
        </row>
        <row r="5">
          <cell r="A5">
            <v>0.3</v>
          </cell>
          <cell r="B5">
            <v>1.4350000000000001</v>
          </cell>
          <cell r="C5">
            <v>1.375</v>
          </cell>
          <cell r="D5">
            <v>1.3580000000000001</v>
          </cell>
          <cell r="E5">
            <v>1.165</v>
          </cell>
          <cell r="F5">
            <v>1.1559999999999999</v>
          </cell>
          <cell r="G5">
            <v>1.1539999999999999</v>
          </cell>
        </row>
        <row r="6">
          <cell r="A6">
            <v>0.4</v>
          </cell>
          <cell r="B6">
            <v>1.4039999999999999</v>
          </cell>
          <cell r="C6">
            <v>1.3460000000000001</v>
          </cell>
          <cell r="D6">
            <v>1.329</v>
          </cell>
          <cell r="E6">
            <v>1.1399999999999999</v>
          </cell>
          <cell r="F6">
            <v>1.1319999999999999</v>
          </cell>
          <cell r="G6">
            <v>1.129</v>
          </cell>
        </row>
        <row r="7">
          <cell r="A7">
            <v>0.5</v>
          </cell>
          <cell r="B7">
            <v>1.3740000000000001</v>
          </cell>
          <cell r="C7">
            <v>1.3180000000000001</v>
          </cell>
          <cell r="D7">
            <v>1.3009999999999999</v>
          </cell>
          <cell r="E7">
            <v>1.115</v>
          </cell>
          <cell r="F7">
            <v>1.1080000000000001</v>
          </cell>
          <cell r="G7">
            <v>1.105</v>
          </cell>
        </row>
        <row r="8">
          <cell r="A8">
            <v>0.6</v>
          </cell>
          <cell r="B8">
            <v>1.3440000000000001</v>
          </cell>
          <cell r="C8">
            <v>1.29</v>
          </cell>
          <cell r="D8">
            <v>1.2749999999999999</v>
          </cell>
          <cell r="E8">
            <v>1.091</v>
          </cell>
          <cell r="F8">
            <v>1.085</v>
          </cell>
          <cell r="G8">
            <v>1.083</v>
          </cell>
        </row>
        <row r="9">
          <cell r="A9">
            <v>0.7</v>
          </cell>
          <cell r="B9">
            <v>1.3149999999999999</v>
          </cell>
          <cell r="C9">
            <v>1.2629999999999999</v>
          </cell>
          <cell r="D9">
            <v>1.2490000000000001</v>
          </cell>
          <cell r="E9">
            <v>1.0669999999999999</v>
          </cell>
          <cell r="F9">
            <v>1.0620000000000001</v>
          </cell>
          <cell r="G9">
            <v>1.0609999999999999</v>
          </cell>
        </row>
        <row r="10">
          <cell r="A10">
            <v>0.8</v>
          </cell>
          <cell r="B10">
            <v>1.2869999999999999</v>
          </cell>
          <cell r="C10">
            <v>1.238</v>
          </cell>
          <cell r="D10">
            <v>1.224</v>
          </cell>
          <cell r="E10">
            <v>1.0449999999999999</v>
          </cell>
          <cell r="F10">
            <v>1.0409999999999999</v>
          </cell>
          <cell r="G10">
            <v>1.04</v>
          </cell>
        </row>
        <row r="11">
          <cell r="A11">
            <v>0.9</v>
          </cell>
          <cell r="B11">
            <v>1.2589999999999999</v>
          </cell>
          <cell r="C11">
            <v>1.2130000000000001</v>
          </cell>
          <cell r="D11">
            <v>1.2</v>
          </cell>
          <cell r="E11">
            <v>1.022</v>
          </cell>
          <cell r="F11">
            <v>1.02</v>
          </cell>
          <cell r="G11">
            <v>1.02</v>
          </cell>
        </row>
        <row r="12">
          <cell r="A12">
            <v>1</v>
          </cell>
          <cell r="B12">
            <v>1.232</v>
          </cell>
          <cell r="C12">
            <v>1.1890000000000001</v>
          </cell>
          <cell r="D12">
            <v>1.177</v>
          </cell>
          <cell r="E12">
            <v>1</v>
          </cell>
          <cell r="F12">
            <v>1</v>
          </cell>
          <cell r="G12">
            <v>1</v>
          </cell>
        </row>
        <row r="13">
          <cell r="A13">
            <v>1.1000000000000001</v>
          </cell>
          <cell r="B13">
            <v>1.2050000000000001</v>
          </cell>
          <cell r="C13">
            <v>1.1659999999999999</v>
          </cell>
          <cell r="D13">
            <v>1.155</v>
          </cell>
          <cell r="E13">
            <v>0.97799999999999998</v>
          </cell>
          <cell r="F13">
            <v>0.98099999999999998</v>
          </cell>
          <cell r="G13">
            <v>0.98099999999999998</v>
          </cell>
        </row>
        <row r="14">
          <cell r="A14">
            <v>1.2</v>
          </cell>
          <cell r="B14">
            <v>1.18</v>
          </cell>
          <cell r="C14">
            <v>1.1439999999999999</v>
          </cell>
          <cell r="D14">
            <v>1.1339999999999999</v>
          </cell>
          <cell r="E14">
            <v>0.95799999999999996</v>
          </cell>
          <cell r="F14">
            <v>0.96199999999999997</v>
          </cell>
          <cell r="G14">
            <v>0.96299999999999997</v>
          </cell>
        </row>
        <row r="15">
          <cell r="A15">
            <v>1.3</v>
          </cell>
          <cell r="B15">
            <v>1.155</v>
          </cell>
          <cell r="C15">
            <v>1.123</v>
          </cell>
          <cell r="D15">
            <v>1.1140000000000001</v>
          </cell>
          <cell r="E15">
            <v>0.93799999999999994</v>
          </cell>
          <cell r="F15">
            <v>0.94399999999999995</v>
          </cell>
          <cell r="G15">
            <v>0.94599999999999995</v>
          </cell>
        </row>
        <row r="16">
          <cell r="A16">
            <v>1.4</v>
          </cell>
          <cell r="B16">
            <v>1.131</v>
          </cell>
          <cell r="C16">
            <v>1.103</v>
          </cell>
          <cell r="D16">
            <v>1.095</v>
          </cell>
          <cell r="E16">
            <v>0.91800000000000004</v>
          </cell>
          <cell r="F16">
            <v>0.92800000000000005</v>
          </cell>
          <cell r="G16">
            <v>0.93</v>
          </cell>
        </row>
        <row r="17">
          <cell r="A17">
            <v>1.5</v>
          </cell>
          <cell r="B17">
            <v>1.107</v>
          </cell>
          <cell r="C17">
            <v>1.083</v>
          </cell>
          <cell r="D17">
            <v>1.077</v>
          </cell>
          <cell r="E17">
            <v>0.89900000000000002</v>
          </cell>
          <cell r="F17">
            <v>0.91100000000000003</v>
          </cell>
          <cell r="G17">
            <v>0.91500000000000004</v>
          </cell>
        </row>
        <row r="18">
          <cell r="A18">
            <v>1.6</v>
          </cell>
          <cell r="B18">
            <v>1.0840000000000001</v>
          </cell>
          <cell r="C18">
            <v>1.0649999999999999</v>
          </cell>
          <cell r="D18">
            <v>1.06</v>
          </cell>
          <cell r="E18">
            <v>0.88</v>
          </cell>
          <cell r="F18">
            <v>0.89600000000000002</v>
          </cell>
          <cell r="G18">
            <v>0.90100000000000002</v>
          </cell>
        </row>
        <row r="19">
          <cell r="A19">
            <v>1.7</v>
          </cell>
          <cell r="B19">
            <v>1.0620000000000001</v>
          </cell>
          <cell r="C19">
            <v>1.0469999999999999</v>
          </cell>
          <cell r="D19">
            <v>1.0429999999999999</v>
          </cell>
          <cell r="E19">
            <v>0.86199999999999999</v>
          </cell>
          <cell r="F19">
            <v>0.88100000000000001</v>
          </cell>
          <cell r="G19">
            <v>0.88600000000000001</v>
          </cell>
        </row>
        <row r="20">
          <cell r="A20">
            <v>1.8</v>
          </cell>
          <cell r="B20">
            <v>1.0409999999999999</v>
          </cell>
          <cell r="C20">
            <v>1.0309999999999999</v>
          </cell>
          <cell r="D20">
            <v>1.028</v>
          </cell>
          <cell r="E20">
            <v>0.84499999999999997</v>
          </cell>
          <cell r="F20">
            <v>0.86699999999999999</v>
          </cell>
          <cell r="G20">
            <v>0.873</v>
          </cell>
        </row>
        <row r="21">
          <cell r="A21">
            <v>1.9</v>
          </cell>
          <cell r="B21">
            <v>1.02</v>
          </cell>
          <cell r="C21">
            <v>1.0149999999999999</v>
          </cell>
          <cell r="D21">
            <v>1.014</v>
          </cell>
          <cell r="E21">
            <v>0.82799999999999996</v>
          </cell>
          <cell r="F21">
            <v>0.85399999999999998</v>
          </cell>
          <cell r="G21">
            <v>0.86199999999999999</v>
          </cell>
        </row>
        <row r="22">
          <cell r="A22">
            <v>2</v>
          </cell>
          <cell r="B22">
            <v>1</v>
          </cell>
          <cell r="C22">
            <v>1</v>
          </cell>
          <cell r="D22">
            <v>1</v>
          </cell>
          <cell r="E22">
            <v>0.81200000000000006</v>
          </cell>
          <cell r="F22">
            <v>0.84099999999999997</v>
          </cell>
          <cell r="G22">
            <v>0.85</v>
          </cell>
        </row>
        <row r="23">
          <cell r="A23">
            <v>2.1</v>
          </cell>
          <cell r="B23">
            <v>0.98</v>
          </cell>
          <cell r="C23">
            <v>0.98599999999999999</v>
          </cell>
          <cell r="D23">
            <v>0.98799999999999999</v>
          </cell>
          <cell r="E23">
            <v>0.79500000000000004</v>
          </cell>
          <cell r="F23">
            <v>0.82899999999999996</v>
          </cell>
          <cell r="G23">
            <v>0.83899999999999997</v>
          </cell>
        </row>
        <row r="24">
          <cell r="A24">
            <v>2.2000000000000002</v>
          </cell>
          <cell r="B24">
            <v>0.96199999999999997</v>
          </cell>
          <cell r="C24">
            <v>0.97299999999999998</v>
          </cell>
          <cell r="D24">
            <v>0.97599999999999998</v>
          </cell>
          <cell r="E24">
            <v>0.78100000000000003</v>
          </cell>
          <cell r="F24">
            <v>0.81799999999999995</v>
          </cell>
          <cell r="G24">
            <v>0.82899999999999996</v>
          </cell>
        </row>
        <row r="25">
          <cell r="A25">
            <v>2.2999999999999998</v>
          </cell>
          <cell r="B25">
            <v>0.94399999999999995</v>
          </cell>
          <cell r="C25">
            <v>0.96099999999999997</v>
          </cell>
          <cell r="D25">
            <v>0.96599999999999997</v>
          </cell>
          <cell r="E25">
            <v>0.76600000000000001</v>
          </cell>
          <cell r="F25">
            <v>0.80800000000000005</v>
          </cell>
          <cell r="G25">
            <v>0.82099999999999995</v>
          </cell>
        </row>
        <row r="26">
          <cell r="A26">
            <v>2.4</v>
          </cell>
          <cell r="B26">
            <v>0.92600000000000005</v>
          </cell>
          <cell r="C26">
            <v>0.95</v>
          </cell>
          <cell r="D26">
            <v>0.95599999999999996</v>
          </cell>
          <cell r="E26">
            <v>0.752</v>
          </cell>
          <cell r="F26">
            <v>0.79900000000000004</v>
          </cell>
          <cell r="G26">
            <v>0.81200000000000006</v>
          </cell>
        </row>
        <row r="27">
          <cell r="A27">
            <v>2.5</v>
          </cell>
          <cell r="B27">
            <v>0.91</v>
          </cell>
          <cell r="C27">
            <v>0.94</v>
          </cell>
          <cell r="D27">
            <v>0.94699999999999995</v>
          </cell>
          <cell r="E27">
            <v>0.73899999999999999</v>
          </cell>
          <cell r="F27">
            <v>0.79100000000000004</v>
          </cell>
          <cell r="G27">
            <v>0.80500000000000005</v>
          </cell>
        </row>
        <row r="28">
          <cell r="A28">
            <v>2.6</v>
          </cell>
          <cell r="B28">
            <v>0.89400000000000002</v>
          </cell>
          <cell r="C28">
            <v>0.93100000000000005</v>
          </cell>
          <cell r="D28">
            <v>0.94</v>
          </cell>
          <cell r="E28">
            <v>0.72599999999999998</v>
          </cell>
          <cell r="F28">
            <v>0.78300000000000003</v>
          </cell>
          <cell r="G28">
            <v>0.79900000000000004</v>
          </cell>
        </row>
        <row r="29">
          <cell r="A29">
            <v>2.7</v>
          </cell>
          <cell r="B29">
            <v>0.879</v>
          </cell>
          <cell r="C29">
            <v>0.92200000000000004</v>
          </cell>
          <cell r="D29">
            <v>0.93300000000000005</v>
          </cell>
          <cell r="E29">
            <v>0.71299999999999997</v>
          </cell>
          <cell r="F29">
            <v>0.77500000000000002</v>
          </cell>
          <cell r="G29">
            <v>0.79300000000000004</v>
          </cell>
        </row>
        <row r="30">
          <cell r="A30">
            <v>2.8</v>
          </cell>
          <cell r="B30">
            <v>0.86399999999999999</v>
          </cell>
          <cell r="C30">
            <v>0.91500000000000004</v>
          </cell>
          <cell r="D30">
            <v>0.92700000000000005</v>
          </cell>
          <cell r="E30">
            <v>0.70099999999999996</v>
          </cell>
          <cell r="F30">
            <v>0.77</v>
          </cell>
          <cell r="G30">
            <v>0.78800000000000003</v>
          </cell>
        </row>
        <row r="31">
          <cell r="A31">
            <v>2.9</v>
          </cell>
          <cell r="B31">
            <v>0.85</v>
          </cell>
          <cell r="C31">
            <v>0.90800000000000003</v>
          </cell>
          <cell r="D31">
            <v>0.92200000000000004</v>
          </cell>
          <cell r="E31">
            <v>0.69</v>
          </cell>
          <cell r="F31">
            <v>0.76400000000000001</v>
          </cell>
          <cell r="G31">
            <v>0.78300000000000003</v>
          </cell>
        </row>
        <row r="32">
          <cell r="A32">
            <v>3</v>
          </cell>
          <cell r="B32">
            <v>0.83699999999999997</v>
          </cell>
          <cell r="C32">
            <v>0.90300000000000002</v>
          </cell>
          <cell r="D32">
            <v>0.91800000000000004</v>
          </cell>
          <cell r="E32">
            <v>0.67900000000000005</v>
          </cell>
          <cell r="F32">
            <v>0.75900000000000001</v>
          </cell>
          <cell r="G32">
            <v>0.78</v>
          </cell>
        </row>
        <row r="33">
          <cell r="A33">
            <v>3.1</v>
          </cell>
          <cell r="B33">
            <v>0.82499999999999996</v>
          </cell>
          <cell r="C33">
            <v>0.89800000000000002</v>
          </cell>
          <cell r="D33">
            <v>0.91500000000000004</v>
          </cell>
          <cell r="E33">
            <v>0.67</v>
          </cell>
          <cell r="F33">
            <v>0.755</v>
          </cell>
          <cell r="G33">
            <v>0.77700000000000002</v>
          </cell>
        </row>
        <row r="34">
          <cell r="A34">
            <v>3.2</v>
          </cell>
          <cell r="B34">
            <v>0.81299999999999994</v>
          </cell>
          <cell r="C34">
            <v>0.89400000000000002</v>
          </cell>
          <cell r="D34">
            <v>0.91300000000000003</v>
          </cell>
          <cell r="E34">
            <v>0.66</v>
          </cell>
          <cell r="F34">
            <v>0.752</v>
          </cell>
          <cell r="G34">
            <v>0.77600000000000002</v>
          </cell>
        </row>
        <row r="35">
          <cell r="A35">
            <v>3.3</v>
          </cell>
          <cell r="B35">
            <v>0.80200000000000005</v>
          </cell>
          <cell r="C35">
            <v>0.89100000000000001</v>
          </cell>
          <cell r="D35">
            <v>0.91200000000000003</v>
          </cell>
          <cell r="E35">
            <v>0.65100000000000002</v>
          </cell>
          <cell r="F35">
            <v>0.749</v>
          </cell>
          <cell r="G35">
            <v>0.77500000000000002</v>
          </cell>
        </row>
        <row r="36">
          <cell r="A36">
            <v>3.4</v>
          </cell>
          <cell r="B36">
            <v>0.79100000000000004</v>
          </cell>
          <cell r="C36">
            <v>0.88900000000000001</v>
          </cell>
          <cell r="D36">
            <v>0.91200000000000003</v>
          </cell>
          <cell r="E36">
            <v>0.64200000000000002</v>
          </cell>
          <cell r="F36">
            <v>0.748</v>
          </cell>
          <cell r="G36">
            <v>0.77500000000000002</v>
          </cell>
        </row>
        <row r="37">
          <cell r="A37">
            <v>3.5</v>
          </cell>
          <cell r="B37">
            <v>0.78200000000000003</v>
          </cell>
          <cell r="C37">
            <v>0.88800000000000001</v>
          </cell>
          <cell r="D37">
            <v>0.91200000000000003</v>
          </cell>
          <cell r="E37">
            <v>0.63500000000000001</v>
          </cell>
          <cell r="F37">
            <v>0.747</v>
          </cell>
          <cell r="G37">
            <v>0.77500000000000002</v>
          </cell>
        </row>
        <row r="38">
          <cell r="A38">
            <v>3.6</v>
          </cell>
          <cell r="B38">
            <v>0.77300000000000002</v>
          </cell>
          <cell r="C38">
            <v>0.88800000000000001</v>
          </cell>
          <cell r="D38">
            <v>0.91400000000000003</v>
          </cell>
          <cell r="E38">
            <v>0.627</v>
          </cell>
          <cell r="F38">
            <v>0.747</v>
          </cell>
          <cell r="G38">
            <v>0.77700000000000002</v>
          </cell>
        </row>
        <row r="39">
          <cell r="A39">
            <v>3.7</v>
          </cell>
          <cell r="B39">
            <v>0.76400000000000001</v>
          </cell>
          <cell r="C39">
            <v>0.88900000000000001</v>
          </cell>
          <cell r="D39">
            <v>0.91700000000000004</v>
          </cell>
          <cell r="E39">
            <v>0.62</v>
          </cell>
          <cell r="F39">
            <v>0.748</v>
          </cell>
          <cell r="G39">
            <v>0.77900000000000003</v>
          </cell>
        </row>
        <row r="40">
          <cell r="A40">
            <v>3.8</v>
          </cell>
          <cell r="B40">
            <v>0.75700000000000001</v>
          </cell>
          <cell r="C40">
            <v>0.89</v>
          </cell>
          <cell r="D40">
            <v>0.92</v>
          </cell>
          <cell r="E40">
            <v>0.61399999999999999</v>
          </cell>
          <cell r="F40">
            <v>0.749</v>
          </cell>
          <cell r="G40">
            <v>0.78200000000000003</v>
          </cell>
        </row>
        <row r="41">
          <cell r="A41">
            <v>3.9</v>
          </cell>
          <cell r="B41">
            <v>0.75</v>
          </cell>
          <cell r="C41">
            <v>0.89300000000000002</v>
          </cell>
          <cell r="D41">
            <v>0.92500000000000004</v>
          </cell>
          <cell r="E41">
            <v>0.60899999999999999</v>
          </cell>
          <cell r="F41">
            <v>0.751</v>
          </cell>
          <cell r="G41">
            <v>0.78600000000000003</v>
          </cell>
        </row>
        <row r="42">
          <cell r="A42">
            <v>4</v>
          </cell>
          <cell r="B42">
            <v>0.74299999999999999</v>
          </cell>
          <cell r="C42">
            <v>0.89600000000000002</v>
          </cell>
          <cell r="D42">
            <v>0.93100000000000005</v>
          </cell>
          <cell r="E42">
            <v>0.60299999999999998</v>
          </cell>
          <cell r="F42">
            <v>0.754</v>
          </cell>
          <cell r="G42">
            <v>0.79100000000000004</v>
          </cell>
        </row>
        <row r="43">
          <cell r="A43">
            <v>4.0999999999999996</v>
          </cell>
          <cell r="B43">
            <v>0.73899999999999999</v>
          </cell>
          <cell r="C43">
            <v>0.89300000000000002</v>
          </cell>
          <cell r="D43">
            <v>0.92800000000000005</v>
          </cell>
          <cell r="E43">
            <v>0.6</v>
          </cell>
          <cell r="F43">
            <v>0.751</v>
          </cell>
          <cell r="G43">
            <v>0.78800000000000003</v>
          </cell>
        </row>
        <row r="44">
          <cell r="A44">
            <v>4.2</v>
          </cell>
          <cell r="B44">
            <v>0.73499999999999999</v>
          </cell>
          <cell r="C44">
            <v>0.89</v>
          </cell>
          <cell r="D44">
            <v>0.92600000000000005</v>
          </cell>
          <cell r="E44">
            <v>0.59699999999999998</v>
          </cell>
          <cell r="F44">
            <v>0.749</v>
          </cell>
          <cell r="G44">
            <v>0.78700000000000003</v>
          </cell>
        </row>
        <row r="45">
          <cell r="A45">
            <v>4.3</v>
          </cell>
          <cell r="B45">
            <v>0.73199999999999998</v>
          </cell>
          <cell r="C45">
            <v>0.88700000000000001</v>
          </cell>
          <cell r="D45">
            <v>0.92400000000000004</v>
          </cell>
          <cell r="E45">
            <v>0.59399999999999997</v>
          </cell>
          <cell r="F45">
            <v>0.746</v>
          </cell>
          <cell r="G45">
            <v>0.78500000000000003</v>
          </cell>
        </row>
        <row r="46">
          <cell r="A46">
            <v>4.4000000000000004</v>
          </cell>
          <cell r="B46">
            <v>0.72799999999999998</v>
          </cell>
          <cell r="C46">
            <v>0.88500000000000001</v>
          </cell>
          <cell r="D46">
            <v>0.92200000000000004</v>
          </cell>
          <cell r="E46">
            <v>0.59099999999999997</v>
          </cell>
          <cell r="F46">
            <v>0.74399999999999999</v>
          </cell>
          <cell r="G46">
            <v>0.78300000000000003</v>
          </cell>
        </row>
        <row r="47">
          <cell r="A47">
            <v>4.5</v>
          </cell>
          <cell r="B47">
            <v>0.72399999999999998</v>
          </cell>
          <cell r="C47">
            <v>0.88200000000000001</v>
          </cell>
          <cell r="D47">
            <v>0.91900000000000004</v>
          </cell>
          <cell r="E47">
            <v>0.58799999999999997</v>
          </cell>
          <cell r="F47">
            <v>0.74199999999999999</v>
          </cell>
          <cell r="G47">
            <v>0.78100000000000003</v>
          </cell>
        </row>
        <row r="48">
          <cell r="A48">
            <v>4.5999999999999996</v>
          </cell>
          <cell r="B48">
            <v>0.72</v>
          </cell>
          <cell r="C48">
            <v>0.879</v>
          </cell>
          <cell r="D48">
            <v>0.91700000000000004</v>
          </cell>
          <cell r="E48">
            <v>0.58399999999999996</v>
          </cell>
          <cell r="F48">
            <v>0.73899999999999999</v>
          </cell>
          <cell r="G48">
            <v>0.77900000000000003</v>
          </cell>
        </row>
        <row r="49">
          <cell r="A49">
            <v>4.7</v>
          </cell>
          <cell r="B49">
            <v>0.71699999999999997</v>
          </cell>
          <cell r="C49">
            <v>0.876</v>
          </cell>
          <cell r="D49">
            <v>0.91500000000000004</v>
          </cell>
          <cell r="E49">
            <v>0.58199999999999996</v>
          </cell>
          <cell r="F49">
            <v>0.73699999999999999</v>
          </cell>
          <cell r="G49">
            <v>0.77700000000000002</v>
          </cell>
        </row>
        <row r="50">
          <cell r="A50">
            <v>4.8</v>
          </cell>
          <cell r="B50">
            <v>0.71299999999999997</v>
          </cell>
          <cell r="C50">
            <v>0.874</v>
          </cell>
          <cell r="D50">
            <v>0.91300000000000003</v>
          </cell>
          <cell r="E50">
            <v>0.57899999999999996</v>
          </cell>
          <cell r="F50">
            <v>0.73499999999999999</v>
          </cell>
          <cell r="G50">
            <v>0.77600000000000002</v>
          </cell>
        </row>
        <row r="51">
          <cell r="A51">
            <v>4.9000000000000004</v>
          </cell>
          <cell r="B51">
            <v>0.70899999999999996</v>
          </cell>
          <cell r="C51">
            <v>0.871</v>
          </cell>
          <cell r="D51">
            <v>0.91100000000000003</v>
          </cell>
          <cell r="E51">
            <v>0.57499999999999996</v>
          </cell>
          <cell r="F51">
            <v>0.73299999999999998</v>
          </cell>
          <cell r="G51">
            <v>0.77400000000000002</v>
          </cell>
        </row>
        <row r="52">
          <cell r="A52">
            <v>5</v>
          </cell>
          <cell r="B52">
            <v>0.70599999999999996</v>
          </cell>
          <cell r="C52">
            <v>0.86799999999999999</v>
          </cell>
          <cell r="D52">
            <v>0.90900000000000003</v>
          </cell>
          <cell r="E52">
            <v>0.57299999999999995</v>
          </cell>
          <cell r="F52">
            <v>0.73</v>
          </cell>
          <cell r="G52">
            <v>0.77200000000000002</v>
          </cell>
        </row>
        <row r="53">
          <cell r="A53">
            <v>5.0999999999999996</v>
          </cell>
          <cell r="B53">
            <v>0.70199999999999996</v>
          </cell>
          <cell r="C53">
            <v>0.86499999999999999</v>
          </cell>
          <cell r="D53">
            <v>0.90600000000000003</v>
          </cell>
          <cell r="E53">
            <v>0.56999999999999995</v>
          </cell>
          <cell r="F53">
            <v>0.72799999999999998</v>
          </cell>
          <cell r="G53">
            <v>0.77</v>
          </cell>
        </row>
        <row r="54">
          <cell r="A54">
            <v>5.2</v>
          </cell>
          <cell r="B54">
            <v>0.69799999999999995</v>
          </cell>
          <cell r="C54">
            <v>0.86199999999999999</v>
          </cell>
          <cell r="D54">
            <v>0.90400000000000003</v>
          </cell>
          <cell r="E54">
            <v>0.56699999999999995</v>
          </cell>
          <cell r="F54">
            <v>0.72499999999999998</v>
          </cell>
          <cell r="G54">
            <v>0.76800000000000002</v>
          </cell>
        </row>
        <row r="55">
          <cell r="A55">
            <v>5.3</v>
          </cell>
          <cell r="B55">
            <v>0.69399999999999995</v>
          </cell>
          <cell r="C55">
            <v>0.86</v>
          </cell>
          <cell r="D55">
            <v>0.90200000000000002</v>
          </cell>
          <cell r="E55">
            <v>0.56299999999999994</v>
          </cell>
          <cell r="F55">
            <v>0.72299999999999998</v>
          </cell>
          <cell r="G55">
            <v>0.76600000000000001</v>
          </cell>
        </row>
        <row r="56">
          <cell r="A56">
            <v>5.4</v>
          </cell>
          <cell r="B56">
            <v>0.69099999999999995</v>
          </cell>
          <cell r="C56">
            <v>0.85699999999999998</v>
          </cell>
          <cell r="D56">
            <v>0.9</v>
          </cell>
          <cell r="E56">
            <v>0.56100000000000005</v>
          </cell>
          <cell r="F56">
            <v>0.72099999999999997</v>
          </cell>
          <cell r="G56">
            <v>0.76500000000000001</v>
          </cell>
        </row>
        <row r="57">
          <cell r="A57">
            <v>5.5</v>
          </cell>
          <cell r="B57">
            <v>0.68700000000000006</v>
          </cell>
          <cell r="C57">
            <v>0.85399999999999998</v>
          </cell>
          <cell r="D57">
            <v>0.89800000000000002</v>
          </cell>
          <cell r="E57">
            <v>0.55800000000000005</v>
          </cell>
          <cell r="F57">
            <v>0.71799999999999997</v>
          </cell>
          <cell r="G57">
            <v>0.76300000000000001</v>
          </cell>
        </row>
        <row r="58">
          <cell r="A58">
            <v>5.6</v>
          </cell>
          <cell r="B58">
            <v>0.68300000000000005</v>
          </cell>
          <cell r="C58">
            <v>0.85099999999999998</v>
          </cell>
          <cell r="D58">
            <v>0.89500000000000002</v>
          </cell>
          <cell r="E58">
            <v>0.55400000000000005</v>
          </cell>
          <cell r="F58">
            <v>0.71599999999999997</v>
          </cell>
          <cell r="G58">
            <v>0.76</v>
          </cell>
        </row>
        <row r="59">
          <cell r="A59">
            <v>5.7</v>
          </cell>
          <cell r="B59">
            <v>0.67900000000000005</v>
          </cell>
          <cell r="C59">
            <v>0.84899999999999998</v>
          </cell>
          <cell r="D59">
            <v>0.89300000000000002</v>
          </cell>
          <cell r="E59">
            <v>0.55100000000000005</v>
          </cell>
          <cell r="F59">
            <v>0.71399999999999997</v>
          </cell>
          <cell r="G59">
            <v>0.75900000000000001</v>
          </cell>
        </row>
        <row r="60">
          <cell r="A60">
            <v>5.8</v>
          </cell>
          <cell r="B60">
            <v>0.67600000000000005</v>
          </cell>
          <cell r="C60">
            <v>0.84599999999999997</v>
          </cell>
          <cell r="D60">
            <v>0.89100000000000001</v>
          </cell>
          <cell r="E60">
            <v>0.54900000000000004</v>
          </cell>
          <cell r="F60">
            <v>0.71199999999999997</v>
          </cell>
          <cell r="G60">
            <v>0.75700000000000001</v>
          </cell>
        </row>
        <row r="61">
          <cell r="A61">
            <v>5.9</v>
          </cell>
          <cell r="B61">
            <v>0.67200000000000004</v>
          </cell>
          <cell r="C61">
            <v>0.84299999999999997</v>
          </cell>
          <cell r="D61">
            <v>0.88900000000000001</v>
          </cell>
          <cell r="E61">
            <v>0.54500000000000004</v>
          </cell>
          <cell r="F61">
            <v>0.70899999999999996</v>
          </cell>
          <cell r="G61">
            <v>0.755</v>
          </cell>
        </row>
        <row r="62">
          <cell r="A62">
            <v>6</v>
          </cell>
          <cell r="B62">
            <v>0.66800000000000004</v>
          </cell>
          <cell r="C62">
            <v>0.84</v>
          </cell>
          <cell r="D62">
            <v>0.88700000000000001</v>
          </cell>
          <cell r="E62">
            <v>0.54200000000000004</v>
          </cell>
          <cell r="F62">
            <v>0.70599999999999996</v>
          </cell>
          <cell r="G62">
            <v>0.754</v>
          </cell>
        </row>
        <row r="63">
          <cell r="A63">
            <v>6.1</v>
          </cell>
          <cell r="B63">
            <v>0.66400000000000003</v>
          </cell>
          <cell r="C63">
            <v>0.83699999999999997</v>
          </cell>
          <cell r="D63">
            <v>0.88400000000000001</v>
          </cell>
          <cell r="E63">
            <v>0.53900000000000003</v>
          </cell>
          <cell r="F63">
            <v>0.70399999999999996</v>
          </cell>
          <cell r="G63">
            <v>0.751</v>
          </cell>
        </row>
        <row r="64">
          <cell r="A64">
            <v>6.2</v>
          </cell>
          <cell r="B64">
            <v>0.66100000000000003</v>
          </cell>
          <cell r="C64">
            <v>0.83499999999999996</v>
          </cell>
          <cell r="D64">
            <v>0.88200000000000001</v>
          </cell>
          <cell r="E64">
            <v>0.53700000000000003</v>
          </cell>
          <cell r="F64">
            <v>0.70199999999999996</v>
          </cell>
          <cell r="G64">
            <v>0.749</v>
          </cell>
        </row>
        <row r="65">
          <cell r="A65">
            <v>6.3</v>
          </cell>
          <cell r="B65">
            <v>0.65700000000000003</v>
          </cell>
          <cell r="C65">
            <v>0.83199999999999996</v>
          </cell>
          <cell r="D65">
            <v>0.88</v>
          </cell>
          <cell r="E65">
            <v>0.53300000000000003</v>
          </cell>
          <cell r="F65">
            <v>0.7</v>
          </cell>
          <cell r="G65">
            <v>0.748</v>
          </cell>
        </row>
        <row r="66">
          <cell r="A66">
            <v>6.4</v>
          </cell>
          <cell r="B66">
            <v>0.65300000000000002</v>
          </cell>
          <cell r="C66">
            <v>0.82899999999999996</v>
          </cell>
          <cell r="D66">
            <v>0.878</v>
          </cell>
          <cell r="E66">
            <v>0.53</v>
          </cell>
          <cell r="F66">
            <v>0.69699999999999995</v>
          </cell>
          <cell r="G66">
            <v>0.746</v>
          </cell>
        </row>
        <row r="67">
          <cell r="A67">
            <v>6.5</v>
          </cell>
          <cell r="B67">
            <v>0.65</v>
          </cell>
          <cell r="C67">
            <v>0.82599999999999996</v>
          </cell>
          <cell r="D67">
            <v>0.876</v>
          </cell>
          <cell r="E67">
            <v>0.52800000000000002</v>
          </cell>
          <cell r="F67">
            <v>0.69499999999999995</v>
          </cell>
          <cell r="G67">
            <v>0.74399999999999999</v>
          </cell>
        </row>
        <row r="68">
          <cell r="A68">
            <v>6.6</v>
          </cell>
          <cell r="B68">
            <v>0.64600000000000002</v>
          </cell>
          <cell r="C68">
            <v>0.82399999999999995</v>
          </cell>
          <cell r="D68">
            <v>0.873</v>
          </cell>
          <cell r="E68">
            <v>0.52400000000000002</v>
          </cell>
          <cell r="F68">
            <v>0.69299999999999995</v>
          </cell>
          <cell r="G68">
            <v>0.74199999999999999</v>
          </cell>
        </row>
        <row r="69">
          <cell r="A69">
            <v>6.7</v>
          </cell>
          <cell r="B69">
            <v>0.64200000000000002</v>
          </cell>
          <cell r="C69">
            <v>0.82099999999999995</v>
          </cell>
          <cell r="D69">
            <v>0.871</v>
          </cell>
          <cell r="E69">
            <v>0.52100000000000002</v>
          </cell>
          <cell r="F69">
            <v>0.69</v>
          </cell>
          <cell r="G69">
            <v>0.74</v>
          </cell>
        </row>
        <row r="70">
          <cell r="A70">
            <v>6.8</v>
          </cell>
          <cell r="B70">
            <v>0.63800000000000001</v>
          </cell>
          <cell r="C70">
            <v>0.81799999999999995</v>
          </cell>
          <cell r="D70">
            <v>0.86899999999999999</v>
          </cell>
          <cell r="E70">
            <v>0.51800000000000002</v>
          </cell>
          <cell r="F70">
            <v>0.68799999999999994</v>
          </cell>
          <cell r="G70">
            <v>0.73799999999999999</v>
          </cell>
        </row>
        <row r="71">
          <cell r="A71">
            <v>6.9</v>
          </cell>
          <cell r="B71">
            <v>0.63500000000000001</v>
          </cell>
          <cell r="C71">
            <v>0.81499999999999995</v>
          </cell>
          <cell r="D71">
            <v>0.86699999999999999</v>
          </cell>
          <cell r="E71">
            <v>0.51500000000000001</v>
          </cell>
          <cell r="F71">
            <v>0.68500000000000005</v>
          </cell>
          <cell r="G71">
            <v>0.73699999999999999</v>
          </cell>
        </row>
        <row r="72">
          <cell r="A72">
            <v>7</v>
          </cell>
          <cell r="B72">
            <v>0.63100000000000001</v>
          </cell>
          <cell r="C72">
            <v>0.81200000000000006</v>
          </cell>
          <cell r="D72">
            <v>0.86499999999999999</v>
          </cell>
          <cell r="E72">
            <v>0.51200000000000001</v>
          </cell>
          <cell r="F72">
            <v>0.68300000000000005</v>
          </cell>
          <cell r="G72">
            <v>0.73499999999999999</v>
          </cell>
        </row>
        <row r="73">
          <cell r="A73">
            <v>7.1</v>
          </cell>
          <cell r="B73">
            <v>0.627</v>
          </cell>
          <cell r="C73">
            <v>0.81</v>
          </cell>
          <cell r="D73">
            <v>0.86299999999999999</v>
          </cell>
          <cell r="E73">
            <v>0.50900000000000001</v>
          </cell>
          <cell r="F73">
            <v>0.68100000000000005</v>
          </cell>
          <cell r="G73">
            <v>0.73299999999999998</v>
          </cell>
        </row>
        <row r="74">
          <cell r="A74">
            <v>7.2</v>
          </cell>
          <cell r="B74">
            <v>0.623</v>
          </cell>
          <cell r="C74">
            <v>0.80700000000000005</v>
          </cell>
          <cell r="D74">
            <v>0.86</v>
          </cell>
          <cell r="E74">
            <v>0.50600000000000001</v>
          </cell>
          <cell r="F74">
            <v>0.67900000000000005</v>
          </cell>
          <cell r="G74">
            <v>0.73099999999999998</v>
          </cell>
        </row>
        <row r="75">
          <cell r="A75">
            <v>7.3</v>
          </cell>
          <cell r="B75">
            <v>0.62</v>
          </cell>
          <cell r="C75">
            <v>0.80400000000000005</v>
          </cell>
          <cell r="D75">
            <v>0.85799999999999998</v>
          </cell>
          <cell r="E75">
            <v>0.503</v>
          </cell>
          <cell r="F75">
            <v>0.67600000000000005</v>
          </cell>
          <cell r="G75">
            <v>0.72899999999999998</v>
          </cell>
        </row>
        <row r="76">
          <cell r="A76">
            <v>7.4</v>
          </cell>
          <cell r="B76">
            <v>0.61599999999999999</v>
          </cell>
          <cell r="C76">
            <v>0.80100000000000005</v>
          </cell>
          <cell r="D76">
            <v>0.85599999999999998</v>
          </cell>
          <cell r="E76">
            <v>0.5</v>
          </cell>
          <cell r="F76">
            <v>0.67400000000000004</v>
          </cell>
          <cell r="G76">
            <v>0.72699999999999998</v>
          </cell>
        </row>
        <row r="77">
          <cell r="A77">
            <v>7.5</v>
          </cell>
          <cell r="B77">
            <v>0.61199999999999999</v>
          </cell>
          <cell r="C77">
            <v>0.79900000000000004</v>
          </cell>
          <cell r="D77">
            <v>0.85399999999999998</v>
          </cell>
          <cell r="E77">
            <v>0.497</v>
          </cell>
          <cell r="F77">
            <v>0.67200000000000004</v>
          </cell>
          <cell r="G77">
            <v>0.72599999999999998</v>
          </cell>
        </row>
        <row r="78">
          <cell r="A78">
            <v>7.6</v>
          </cell>
          <cell r="B78">
            <v>0.60899999999999999</v>
          </cell>
          <cell r="C78">
            <v>0.79600000000000004</v>
          </cell>
          <cell r="D78">
            <v>0.85199999999999998</v>
          </cell>
          <cell r="E78">
            <v>0.49399999999999999</v>
          </cell>
          <cell r="F78">
            <v>0.66900000000000004</v>
          </cell>
          <cell r="G78">
            <v>0.72399999999999998</v>
          </cell>
        </row>
        <row r="79">
          <cell r="A79">
            <v>7.7</v>
          </cell>
          <cell r="B79">
            <v>0.60499999999999998</v>
          </cell>
          <cell r="C79">
            <v>0.79300000000000004</v>
          </cell>
          <cell r="D79">
            <v>0.84899999999999998</v>
          </cell>
          <cell r="E79">
            <v>0.49099999999999999</v>
          </cell>
          <cell r="F79">
            <v>0.66700000000000004</v>
          </cell>
          <cell r="G79">
            <v>0.72099999999999997</v>
          </cell>
        </row>
        <row r="80">
          <cell r="A80">
            <v>7.8</v>
          </cell>
          <cell r="B80">
            <v>0.60099999999999998</v>
          </cell>
          <cell r="C80">
            <v>0.79</v>
          </cell>
          <cell r="D80">
            <v>0.84699999999999998</v>
          </cell>
          <cell r="E80">
            <v>0.48799999999999999</v>
          </cell>
          <cell r="F80">
            <v>0.66400000000000003</v>
          </cell>
          <cell r="G80">
            <v>0.72</v>
          </cell>
        </row>
        <row r="81">
          <cell r="A81">
            <v>7.9</v>
          </cell>
          <cell r="B81">
            <v>0.59699999999999998</v>
          </cell>
          <cell r="C81">
            <v>0.78700000000000003</v>
          </cell>
          <cell r="D81">
            <v>0.84499999999999997</v>
          </cell>
          <cell r="E81">
            <v>0.48499999999999999</v>
          </cell>
          <cell r="F81">
            <v>0.66200000000000003</v>
          </cell>
          <cell r="G81">
            <v>0.71799999999999997</v>
          </cell>
        </row>
        <row r="82">
          <cell r="A82">
            <v>8</v>
          </cell>
          <cell r="B82">
            <v>0.59399999999999997</v>
          </cell>
          <cell r="C82">
            <v>0.78500000000000003</v>
          </cell>
          <cell r="D82">
            <v>0.84299999999999997</v>
          </cell>
          <cell r="E82">
            <v>0.48199999999999998</v>
          </cell>
          <cell r="F82">
            <v>0.66</v>
          </cell>
          <cell r="G82">
            <v>0.71599999999999997</v>
          </cell>
        </row>
        <row r="83">
          <cell r="A83">
            <v>8.1</v>
          </cell>
          <cell r="B83">
            <v>0.59</v>
          </cell>
          <cell r="C83">
            <v>0.78200000000000003</v>
          </cell>
          <cell r="D83">
            <v>0.84099999999999997</v>
          </cell>
          <cell r="E83">
            <v>0.47899999999999998</v>
          </cell>
          <cell r="F83">
            <v>0.65800000000000003</v>
          </cell>
          <cell r="G83">
            <v>0.71499999999999997</v>
          </cell>
        </row>
        <row r="84">
          <cell r="A84">
            <v>8.1999999999999993</v>
          </cell>
          <cell r="B84">
            <v>0.58599999999999997</v>
          </cell>
          <cell r="C84">
            <v>0.77900000000000003</v>
          </cell>
          <cell r="D84">
            <v>0.83799999999999997</v>
          </cell>
          <cell r="E84">
            <v>0.47599999999999998</v>
          </cell>
          <cell r="F84">
            <v>0.65500000000000003</v>
          </cell>
          <cell r="G84">
            <v>0.71199999999999997</v>
          </cell>
        </row>
        <row r="85">
          <cell r="A85">
            <v>8.3000000000000007</v>
          </cell>
          <cell r="B85">
            <v>0.58199999999999996</v>
          </cell>
          <cell r="C85">
            <v>0.77600000000000002</v>
          </cell>
          <cell r="D85">
            <v>0.83599999999999997</v>
          </cell>
          <cell r="E85">
            <v>0.47199999999999998</v>
          </cell>
          <cell r="F85">
            <v>0.65300000000000002</v>
          </cell>
          <cell r="G85">
            <v>0.71</v>
          </cell>
        </row>
        <row r="86">
          <cell r="A86">
            <v>8.4</v>
          </cell>
          <cell r="B86">
            <v>0.57899999999999996</v>
          </cell>
          <cell r="C86">
            <v>0.77300000000000002</v>
          </cell>
          <cell r="D86">
            <v>0.83399999999999996</v>
          </cell>
          <cell r="E86">
            <v>0.47</v>
          </cell>
          <cell r="F86">
            <v>0.65</v>
          </cell>
          <cell r="G86">
            <v>0.70899999999999996</v>
          </cell>
        </row>
        <row r="87">
          <cell r="A87">
            <v>8.5</v>
          </cell>
          <cell r="B87">
            <v>0.57499999999999996</v>
          </cell>
          <cell r="C87">
            <v>0.77100000000000002</v>
          </cell>
          <cell r="D87">
            <v>0.83199999999999996</v>
          </cell>
          <cell r="E87">
            <v>0.46700000000000003</v>
          </cell>
          <cell r="F87">
            <v>0.64800000000000002</v>
          </cell>
          <cell r="G87">
            <v>0.70699999999999996</v>
          </cell>
        </row>
        <row r="88">
          <cell r="A88">
            <v>8.6</v>
          </cell>
          <cell r="B88">
            <v>0.57099999999999995</v>
          </cell>
          <cell r="C88">
            <v>0.76800000000000002</v>
          </cell>
          <cell r="D88">
            <v>0.83</v>
          </cell>
          <cell r="E88">
            <v>0.46300000000000002</v>
          </cell>
          <cell r="F88">
            <v>0.64600000000000002</v>
          </cell>
          <cell r="G88">
            <v>0.70499999999999996</v>
          </cell>
        </row>
        <row r="89">
          <cell r="A89">
            <v>8.6999999999999993</v>
          </cell>
          <cell r="B89">
            <v>0.56699999999999995</v>
          </cell>
          <cell r="C89">
            <v>0.76500000000000001</v>
          </cell>
          <cell r="D89">
            <v>0.82699999999999996</v>
          </cell>
          <cell r="E89">
            <v>0.46</v>
          </cell>
          <cell r="F89">
            <v>0.64300000000000002</v>
          </cell>
          <cell r="G89">
            <v>0.70299999999999996</v>
          </cell>
        </row>
        <row r="90">
          <cell r="A90">
            <v>8.8000000000000007</v>
          </cell>
          <cell r="B90">
            <v>0.56399999999999995</v>
          </cell>
          <cell r="C90">
            <v>0.76200000000000001</v>
          </cell>
          <cell r="D90">
            <v>0.82499999999999996</v>
          </cell>
          <cell r="E90">
            <v>0.45800000000000002</v>
          </cell>
          <cell r="F90">
            <v>0.64100000000000001</v>
          </cell>
          <cell r="G90">
            <v>0.70099999999999996</v>
          </cell>
        </row>
        <row r="91">
          <cell r="A91">
            <v>8.9</v>
          </cell>
          <cell r="B91">
            <v>0.56000000000000005</v>
          </cell>
          <cell r="C91">
            <v>0.76</v>
          </cell>
          <cell r="D91">
            <v>0.82299999999999995</v>
          </cell>
          <cell r="E91">
            <v>0.45500000000000002</v>
          </cell>
          <cell r="F91">
            <v>0.63900000000000001</v>
          </cell>
          <cell r="G91">
            <v>0.69899999999999995</v>
          </cell>
        </row>
        <row r="92">
          <cell r="A92">
            <v>9</v>
          </cell>
          <cell r="B92">
            <v>0.55600000000000005</v>
          </cell>
          <cell r="C92">
            <v>0.75700000000000001</v>
          </cell>
          <cell r="D92">
            <v>0.82099999999999995</v>
          </cell>
          <cell r="E92">
            <v>0.45100000000000001</v>
          </cell>
          <cell r="F92">
            <v>0.63700000000000001</v>
          </cell>
          <cell r="G92">
            <v>0.69799999999999995</v>
          </cell>
        </row>
        <row r="93">
          <cell r="A93">
            <v>9.1</v>
          </cell>
          <cell r="B93">
            <v>0.55300000000000005</v>
          </cell>
          <cell r="C93">
            <v>0.754</v>
          </cell>
          <cell r="D93">
            <v>0.81899999999999995</v>
          </cell>
          <cell r="E93">
            <v>0.44900000000000001</v>
          </cell>
          <cell r="F93">
            <v>0.63400000000000001</v>
          </cell>
          <cell r="G93">
            <v>0.69599999999999995</v>
          </cell>
        </row>
        <row r="94">
          <cell r="A94">
            <v>9.1999999999999993</v>
          </cell>
          <cell r="B94">
            <v>0.54900000000000004</v>
          </cell>
          <cell r="C94">
            <v>0.751</v>
          </cell>
          <cell r="D94">
            <v>0.81699999999999995</v>
          </cell>
          <cell r="E94">
            <v>0.44600000000000001</v>
          </cell>
          <cell r="F94">
            <v>0.63200000000000001</v>
          </cell>
          <cell r="G94">
            <v>0.69399999999999995</v>
          </cell>
        </row>
        <row r="95">
          <cell r="A95">
            <v>9.3000000000000007</v>
          </cell>
          <cell r="B95">
            <v>0.54500000000000004</v>
          </cell>
          <cell r="C95">
            <v>0.748</v>
          </cell>
          <cell r="D95">
            <v>0.81399999999999995</v>
          </cell>
          <cell r="E95">
            <v>0.442</v>
          </cell>
          <cell r="F95">
            <v>0.629</v>
          </cell>
          <cell r="G95">
            <v>0.69199999999999995</v>
          </cell>
        </row>
        <row r="96">
          <cell r="A96">
            <v>9.4</v>
          </cell>
          <cell r="B96">
            <v>0.54100000000000004</v>
          </cell>
          <cell r="C96">
            <v>0.746</v>
          </cell>
          <cell r="D96">
            <v>0.81200000000000006</v>
          </cell>
          <cell r="E96">
            <v>0.439</v>
          </cell>
          <cell r="F96">
            <v>0.627</v>
          </cell>
          <cell r="G96">
            <v>0.69</v>
          </cell>
        </row>
        <row r="97">
          <cell r="A97">
            <v>9.5</v>
          </cell>
          <cell r="B97">
            <v>0.53800000000000003</v>
          </cell>
          <cell r="C97">
            <v>0.74299999999999999</v>
          </cell>
          <cell r="D97">
            <v>0.81</v>
          </cell>
          <cell r="E97">
            <v>0.437</v>
          </cell>
          <cell r="F97">
            <v>0.625</v>
          </cell>
          <cell r="G97">
            <v>0.68799999999999994</v>
          </cell>
        </row>
        <row r="98">
          <cell r="A98">
            <v>9.6</v>
          </cell>
          <cell r="B98">
            <v>0.53400000000000003</v>
          </cell>
          <cell r="C98">
            <v>0.74</v>
          </cell>
          <cell r="D98">
            <v>0.80800000000000005</v>
          </cell>
          <cell r="E98">
            <v>0.433</v>
          </cell>
          <cell r="F98">
            <v>0.622</v>
          </cell>
          <cell r="G98">
            <v>0.68600000000000005</v>
          </cell>
        </row>
        <row r="99">
          <cell r="A99">
            <v>9.6999999999999993</v>
          </cell>
          <cell r="B99">
            <v>0.53</v>
          </cell>
          <cell r="C99">
            <v>0.73699999999999999</v>
          </cell>
          <cell r="D99">
            <v>0.80600000000000005</v>
          </cell>
          <cell r="E99">
            <v>0.43</v>
          </cell>
          <cell r="F99">
            <v>0.62</v>
          </cell>
          <cell r="G99">
            <v>0.68500000000000005</v>
          </cell>
        </row>
        <row r="100">
          <cell r="A100">
            <v>9.8000000000000007</v>
          </cell>
          <cell r="B100">
            <v>0.52600000000000002</v>
          </cell>
          <cell r="C100">
            <v>0.73499999999999999</v>
          </cell>
          <cell r="D100">
            <v>0.80300000000000005</v>
          </cell>
          <cell r="E100">
            <v>0.42699999999999999</v>
          </cell>
          <cell r="F100">
            <v>0.61799999999999999</v>
          </cell>
          <cell r="G100">
            <v>0.68200000000000005</v>
          </cell>
        </row>
        <row r="101">
          <cell r="A101">
            <v>9.9</v>
          </cell>
          <cell r="B101">
            <v>0.52300000000000002</v>
          </cell>
          <cell r="C101">
            <v>0.73199999999999998</v>
          </cell>
          <cell r="D101">
            <v>0.80100000000000005</v>
          </cell>
          <cell r="E101">
            <v>0.42499999999999999</v>
          </cell>
          <cell r="F101">
            <v>0.61599999999999999</v>
          </cell>
          <cell r="G101">
            <v>0.68100000000000005</v>
          </cell>
        </row>
        <row r="102">
          <cell r="A102">
            <v>10</v>
          </cell>
          <cell r="B102">
            <v>0.51900000000000002</v>
          </cell>
          <cell r="C102">
            <v>0.72899999999999998</v>
          </cell>
          <cell r="D102">
            <v>0.79900000000000004</v>
          </cell>
          <cell r="E102">
            <v>0.42099999999999999</v>
          </cell>
          <cell r="F102">
            <v>0.61299999999999999</v>
          </cell>
          <cell r="G102">
            <v>0.67900000000000005</v>
          </cell>
        </row>
      </sheetData>
      <sheetData sheetId="14">
        <row r="35">
          <cell r="B35" t="str">
            <v>一级</v>
          </cell>
          <cell r="C35" t="str">
            <v>二级</v>
          </cell>
          <cell r="D35" t="str">
            <v>三级</v>
          </cell>
          <cell r="E35" t="str">
            <v>四级</v>
          </cell>
          <cell r="F35" t="str">
            <v>五级</v>
          </cell>
          <cell r="G35" t="str">
            <v>六级</v>
          </cell>
          <cell r="H35" t="str">
            <v>七级</v>
          </cell>
          <cell r="I35" t="str">
            <v>八级</v>
          </cell>
          <cell r="J35" t="str">
            <v>九级</v>
          </cell>
          <cell r="K35" t="str">
            <v>十级</v>
          </cell>
        </row>
        <row r="36">
          <cell r="A36" t="str">
            <v xml:space="preserve"> 商业繁华程度</v>
          </cell>
          <cell r="B36">
            <v>4.4999999999999998E-2</v>
          </cell>
          <cell r="C36">
            <v>4.4999999999999998E-2</v>
          </cell>
          <cell r="D36">
            <v>4.4999999999999998E-2</v>
          </cell>
          <cell r="E36">
            <v>4.4999999999999998E-2</v>
          </cell>
          <cell r="F36">
            <v>0.06</v>
          </cell>
          <cell r="G36">
            <v>5.3999999999999999E-2</v>
          </cell>
          <cell r="H36">
            <v>7.4999999999999997E-2</v>
          </cell>
          <cell r="I36">
            <v>0.111</v>
          </cell>
          <cell r="J36">
            <v>0.105</v>
          </cell>
          <cell r="K36">
            <v>0.09</v>
          </cell>
        </row>
        <row r="37">
          <cell r="A37" t="str">
            <v>交通便捷度</v>
          </cell>
          <cell r="B37">
            <v>2.2499999999999999E-2</v>
          </cell>
          <cell r="C37">
            <v>2.2499999999999999E-2</v>
          </cell>
          <cell r="D37">
            <v>2.2499999999999999E-2</v>
          </cell>
          <cell r="E37">
            <v>2.2499999999999999E-2</v>
          </cell>
          <cell r="F37">
            <v>0.03</v>
          </cell>
          <cell r="G37">
            <v>2.7E-2</v>
          </cell>
          <cell r="H37">
            <v>3.7499999999999999E-2</v>
          </cell>
          <cell r="I37">
            <v>5.5500000000000001E-2</v>
          </cell>
          <cell r="J37">
            <v>5.2499999999999998E-2</v>
          </cell>
          <cell r="K37">
            <v>4.4999999999999998E-2</v>
          </cell>
        </row>
        <row r="38">
          <cell r="A38" t="str">
            <v>区域土地利用方向</v>
          </cell>
          <cell r="B38">
            <v>1.4999999999999999E-2</v>
          </cell>
          <cell r="C38">
            <v>1.4999999999999999E-2</v>
          </cell>
          <cell r="D38">
            <v>1.4999999999999999E-2</v>
          </cell>
          <cell r="E38">
            <v>1.4999999999999999E-2</v>
          </cell>
          <cell r="F38">
            <v>0.02</v>
          </cell>
          <cell r="G38">
            <v>1.7999999999999999E-2</v>
          </cell>
          <cell r="H38">
            <v>2.5000000000000001E-2</v>
          </cell>
          <cell r="I38">
            <v>3.6999999999999998E-2</v>
          </cell>
          <cell r="J38">
            <v>3.5000000000000003E-2</v>
          </cell>
          <cell r="K38">
            <v>0.03</v>
          </cell>
        </row>
        <row r="39">
          <cell r="A39" t="str">
            <v>临街宽度和深度</v>
          </cell>
          <cell r="B39">
            <v>0.03</v>
          </cell>
          <cell r="C39">
            <v>0.03</v>
          </cell>
          <cell r="D39">
            <v>0.03</v>
          </cell>
          <cell r="E39">
            <v>0.03</v>
          </cell>
          <cell r="F39">
            <v>0.04</v>
          </cell>
          <cell r="G39">
            <v>3.5999999999999997E-2</v>
          </cell>
          <cell r="H39">
            <v>0.05</v>
          </cell>
          <cell r="I39">
            <v>7.3999999999999996E-2</v>
          </cell>
          <cell r="J39">
            <v>7.0000000000000007E-2</v>
          </cell>
          <cell r="K39">
            <v>0.06</v>
          </cell>
        </row>
        <row r="40">
          <cell r="A40" t="str">
            <v>临街道路状况</v>
          </cell>
          <cell r="B40">
            <v>1.4999999999999999E-2</v>
          </cell>
          <cell r="C40">
            <v>1.4999999999999999E-2</v>
          </cell>
          <cell r="D40">
            <v>1.4999999999999999E-2</v>
          </cell>
          <cell r="E40">
            <v>1.4999999999999999E-2</v>
          </cell>
          <cell r="F40">
            <v>0.02</v>
          </cell>
          <cell r="G40">
            <v>1.7999999999999999E-2</v>
          </cell>
          <cell r="H40">
            <v>2.5000000000000001E-2</v>
          </cell>
          <cell r="I40">
            <v>3.6999999999999998E-2</v>
          </cell>
          <cell r="J40">
            <v>3.5000000000000003E-2</v>
          </cell>
          <cell r="K40">
            <v>0.03</v>
          </cell>
        </row>
        <row r="41">
          <cell r="A41" t="str">
            <v>宗地形状及可利用程度</v>
          </cell>
          <cell r="B41">
            <v>1.2E-2</v>
          </cell>
          <cell r="C41">
            <v>1.2E-2</v>
          </cell>
          <cell r="D41">
            <v>1.2E-2</v>
          </cell>
          <cell r="E41">
            <v>1.2E-2</v>
          </cell>
          <cell r="F41">
            <v>1.6E-2</v>
          </cell>
          <cell r="G41">
            <v>1.44E-2</v>
          </cell>
          <cell r="H41">
            <v>0.02</v>
          </cell>
          <cell r="I41">
            <v>2.9600000000000001E-2</v>
          </cell>
          <cell r="J41">
            <v>2.8000000000000001E-2</v>
          </cell>
          <cell r="K41">
            <v>2.4E-2</v>
          </cell>
        </row>
        <row r="42">
          <cell r="A42" t="str">
            <v>基础设施完备状况</v>
          </cell>
          <cell r="B42">
            <v>1.0500000000000001E-2</v>
          </cell>
          <cell r="C42">
            <v>1.0500000000000001E-2</v>
          </cell>
          <cell r="D42">
            <v>1.0500000000000001E-2</v>
          </cell>
          <cell r="E42">
            <v>1.0500000000000001E-2</v>
          </cell>
          <cell r="F42">
            <v>1.4E-2</v>
          </cell>
          <cell r="G42">
            <v>1.26E-2</v>
          </cell>
          <cell r="H42">
            <v>1.7500000000000002E-2</v>
          </cell>
          <cell r="I42">
            <v>2.5899999999999999E-2</v>
          </cell>
          <cell r="J42">
            <v>2.4500000000000001E-2</v>
          </cell>
          <cell r="K42">
            <v>2.1000000000000001E-2</v>
          </cell>
        </row>
        <row r="43">
          <cell r="A43" t="str">
            <v>办公集聚程度</v>
          </cell>
          <cell r="B43">
            <v>0.04</v>
          </cell>
          <cell r="C43">
            <v>0.03</v>
          </cell>
          <cell r="D43">
            <v>0.03</v>
          </cell>
          <cell r="E43">
            <v>0.04</v>
          </cell>
          <cell r="F43">
            <v>3.4000000000000002E-2</v>
          </cell>
          <cell r="G43">
            <v>4.5999999999999999E-2</v>
          </cell>
          <cell r="H43">
            <v>0.04</v>
          </cell>
          <cell r="I43">
            <v>6.8000000000000005E-2</v>
          </cell>
          <cell r="J43">
            <v>7.1999999999999995E-2</v>
          </cell>
          <cell r="K43">
            <v>0.06</v>
          </cell>
        </row>
        <row r="44">
          <cell r="A44" t="str">
            <v>交通便捷度</v>
          </cell>
          <cell r="B44">
            <v>0.05</v>
          </cell>
          <cell r="C44">
            <v>3.7499999999999999E-2</v>
          </cell>
          <cell r="D44">
            <v>3.7499999999999999E-2</v>
          </cell>
          <cell r="E44">
            <v>0.05</v>
          </cell>
          <cell r="F44">
            <v>4.2500000000000003E-2</v>
          </cell>
          <cell r="G44">
            <v>5.7500000000000002E-2</v>
          </cell>
          <cell r="H44">
            <v>0.05</v>
          </cell>
          <cell r="I44">
            <v>8.5000000000000006E-2</v>
          </cell>
          <cell r="J44">
            <v>0.09</v>
          </cell>
          <cell r="K44">
            <v>7.4999999999999997E-2</v>
          </cell>
        </row>
        <row r="45">
          <cell r="A45" t="str">
            <v>区域土地利用方向</v>
          </cell>
          <cell r="B45">
            <v>0.02</v>
          </cell>
          <cell r="C45">
            <v>1.4999999999999999E-2</v>
          </cell>
          <cell r="D45">
            <v>1.4999999999999999E-2</v>
          </cell>
          <cell r="E45">
            <v>0.02</v>
          </cell>
          <cell r="F45">
            <v>1.7000000000000001E-2</v>
          </cell>
          <cell r="G45">
            <v>2.3E-2</v>
          </cell>
          <cell r="H45">
            <v>0.02</v>
          </cell>
          <cell r="I45">
            <v>3.4000000000000002E-2</v>
          </cell>
          <cell r="J45">
            <v>3.5999999999999997E-2</v>
          </cell>
          <cell r="K45">
            <v>0.03</v>
          </cell>
        </row>
        <row r="46">
          <cell r="A46" t="str">
            <v>临街宽度和深度</v>
          </cell>
          <cell r="B46">
            <v>0.02</v>
          </cell>
          <cell r="C46">
            <v>1.4999999999999999E-2</v>
          </cell>
          <cell r="D46">
            <v>1.4999999999999999E-2</v>
          </cell>
          <cell r="E46">
            <v>0.02</v>
          </cell>
          <cell r="F46">
            <v>1.7000000000000001E-2</v>
          </cell>
          <cell r="G46">
            <v>2.3E-2</v>
          </cell>
          <cell r="H46">
            <v>0.02</v>
          </cell>
          <cell r="I46">
            <v>3.4000000000000002E-2</v>
          </cell>
          <cell r="J46">
            <v>3.5999999999999997E-2</v>
          </cell>
          <cell r="K46">
            <v>0.03</v>
          </cell>
        </row>
        <row r="47">
          <cell r="A47" t="str">
            <v>临街道路状况</v>
          </cell>
          <cell r="B47">
            <v>0.03</v>
          </cell>
          <cell r="C47">
            <v>2.2499999999999999E-2</v>
          </cell>
          <cell r="D47">
            <v>2.2499999999999999E-2</v>
          </cell>
          <cell r="E47">
            <v>0.03</v>
          </cell>
          <cell r="F47">
            <v>2.5499999999999998E-2</v>
          </cell>
          <cell r="G47">
            <v>3.4500000000000003E-2</v>
          </cell>
          <cell r="H47">
            <v>0.03</v>
          </cell>
          <cell r="I47">
            <v>5.0999999999999997E-2</v>
          </cell>
          <cell r="J47">
            <v>5.3999999999999999E-2</v>
          </cell>
          <cell r="K47">
            <v>4.4999999999999998E-2</v>
          </cell>
        </row>
        <row r="48">
          <cell r="A48" t="str">
            <v>宗地形状及可利用程度</v>
          </cell>
          <cell r="B48">
            <v>1.6E-2</v>
          </cell>
          <cell r="C48">
            <v>1.2E-2</v>
          </cell>
          <cell r="D48">
            <v>1.2E-2</v>
          </cell>
          <cell r="E48">
            <v>1.6E-2</v>
          </cell>
          <cell r="F48">
            <v>1.3599999999999999E-2</v>
          </cell>
          <cell r="G48">
            <v>1.84E-2</v>
          </cell>
          <cell r="H48">
            <v>1.6E-2</v>
          </cell>
          <cell r="I48">
            <v>2.7199999999999998E-2</v>
          </cell>
          <cell r="J48">
            <v>2.8799999999999999E-2</v>
          </cell>
          <cell r="K48">
            <v>2.4E-2</v>
          </cell>
        </row>
        <row r="49">
          <cell r="A49" t="str">
            <v>公共服务设施和基础设施状况</v>
          </cell>
          <cell r="B49">
            <v>2.4E-2</v>
          </cell>
          <cell r="C49">
            <v>1.7999999999999999E-2</v>
          </cell>
          <cell r="D49">
            <v>1.7999999999999999E-2</v>
          </cell>
          <cell r="E49">
            <v>2.4E-2</v>
          </cell>
          <cell r="F49">
            <v>2.0400000000000001E-2</v>
          </cell>
          <cell r="G49">
            <v>2.76E-2</v>
          </cell>
          <cell r="H49">
            <v>2.4E-2</v>
          </cell>
          <cell r="I49">
            <v>4.0800000000000003E-2</v>
          </cell>
          <cell r="J49">
            <v>4.3200000000000002E-2</v>
          </cell>
          <cell r="K49">
            <v>3.5999999999999997E-2</v>
          </cell>
        </row>
        <row r="50">
          <cell r="A50" t="str">
            <v>居住社区成熟度</v>
          </cell>
          <cell r="B50">
            <v>0.02</v>
          </cell>
          <cell r="C50">
            <v>2.1000000000000001E-2</v>
          </cell>
          <cell r="D50">
            <v>2.5000000000000001E-2</v>
          </cell>
          <cell r="E50">
            <v>2.5999999999999999E-2</v>
          </cell>
          <cell r="F50">
            <v>0.03</v>
          </cell>
          <cell r="G50">
            <v>2.5999999999999999E-2</v>
          </cell>
          <cell r="H50">
            <v>2.5999999999999999E-2</v>
          </cell>
          <cell r="I50">
            <v>3.3000000000000002E-2</v>
          </cell>
          <cell r="J50">
            <v>3.2000000000000001E-2</v>
          </cell>
          <cell r="K50">
            <v>0.03</v>
          </cell>
        </row>
        <row r="51">
          <cell r="A51" t="str">
            <v>交通便捷度</v>
          </cell>
          <cell r="B51">
            <v>0.04</v>
          </cell>
          <cell r="C51">
            <v>4.2000000000000003E-2</v>
          </cell>
          <cell r="D51">
            <v>0.05</v>
          </cell>
          <cell r="E51">
            <v>5.1999999999999998E-2</v>
          </cell>
          <cell r="F51">
            <v>0.06</v>
          </cell>
          <cell r="G51">
            <v>5.1999999999999998E-2</v>
          </cell>
          <cell r="H51">
            <v>5.1999999999999998E-2</v>
          </cell>
          <cell r="I51">
            <v>6.6000000000000003E-2</v>
          </cell>
          <cell r="J51">
            <v>6.4000000000000001E-2</v>
          </cell>
          <cell r="K51">
            <v>0.06</v>
          </cell>
        </row>
        <row r="52">
          <cell r="A52" t="str">
            <v>区域土地利用方向</v>
          </cell>
          <cell r="B52">
            <v>0.02</v>
          </cell>
          <cell r="C52">
            <v>2.1000000000000001E-2</v>
          </cell>
          <cell r="D52">
            <v>2.5000000000000001E-2</v>
          </cell>
          <cell r="E52">
            <v>2.5999999999999999E-2</v>
          </cell>
          <cell r="F52">
            <v>0.03</v>
          </cell>
          <cell r="G52">
            <v>2.5999999999999999E-2</v>
          </cell>
          <cell r="H52">
            <v>2.5999999999999999E-2</v>
          </cell>
          <cell r="I52">
            <v>3.3000000000000002E-2</v>
          </cell>
          <cell r="J52">
            <v>3.2000000000000001E-2</v>
          </cell>
          <cell r="K52">
            <v>0.03</v>
          </cell>
        </row>
        <row r="53">
          <cell r="A53" t="str">
            <v>临路状况</v>
          </cell>
          <cell r="B53">
            <v>0.02</v>
          </cell>
          <cell r="C53">
            <v>2.1000000000000001E-2</v>
          </cell>
          <cell r="D53">
            <v>2.5000000000000001E-2</v>
          </cell>
          <cell r="E53">
            <v>2.5999999999999999E-2</v>
          </cell>
          <cell r="F53">
            <v>0.03</v>
          </cell>
          <cell r="G53">
            <v>2.5999999999999999E-2</v>
          </cell>
          <cell r="H53">
            <v>2.5999999999999999E-2</v>
          </cell>
          <cell r="I53">
            <v>3.3000000000000002E-2</v>
          </cell>
          <cell r="J53">
            <v>3.2000000000000001E-2</v>
          </cell>
          <cell r="K53">
            <v>0.03</v>
          </cell>
        </row>
        <row r="54">
          <cell r="A54" t="str">
            <v>宗地形状及可利用程度</v>
          </cell>
          <cell r="B54">
            <v>1.6E-2</v>
          </cell>
          <cell r="C54">
            <v>1.6799999999999999E-2</v>
          </cell>
          <cell r="D54">
            <v>0.02</v>
          </cell>
          <cell r="E54">
            <v>2.0799999999999999E-2</v>
          </cell>
          <cell r="F54">
            <v>2.4E-2</v>
          </cell>
          <cell r="G54">
            <v>2.0799999999999999E-2</v>
          </cell>
          <cell r="H54">
            <v>2.0799999999999999E-2</v>
          </cell>
          <cell r="I54">
            <v>2.64E-2</v>
          </cell>
          <cell r="J54">
            <v>2.5600000000000001E-2</v>
          </cell>
          <cell r="K54">
            <v>2.4E-2</v>
          </cell>
        </row>
        <row r="55">
          <cell r="A55" t="str">
            <v>公共服务设施和基础设施状况</v>
          </cell>
          <cell r="B55">
            <v>2.4E-2</v>
          </cell>
          <cell r="C55">
            <v>2.52E-2</v>
          </cell>
          <cell r="D55">
            <v>0.03</v>
          </cell>
          <cell r="E55">
            <v>3.1199999999999999E-2</v>
          </cell>
          <cell r="F55">
            <v>3.5999999999999997E-2</v>
          </cell>
          <cell r="G55">
            <v>3.1199999999999999E-2</v>
          </cell>
          <cell r="H55">
            <v>3.1199999999999999E-2</v>
          </cell>
          <cell r="I55">
            <v>3.9600000000000003E-2</v>
          </cell>
          <cell r="J55">
            <v>3.8399999999999997E-2</v>
          </cell>
          <cell r="K55">
            <v>3.5999999999999997E-2</v>
          </cell>
        </row>
        <row r="56">
          <cell r="A56" t="str">
            <v>自然和人文环境状况</v>
          </cell>
          <cell r="B56">
            <v>0.04</v>
          </cell>
          <cell r="C56">
            <v>4.2000000000000003E-2</v>
          </cell>
          <cell r="D56">
            <v>0.05</v>
          </cell>
          <cell r="E56">
            <v>5.1999999999999998E-2</v>
          </cell>
          <cell r="F56">
            <v>0.06</v>
          </cell>
          <cell r="G56">
            <v>5.1999999999999998E-2</v>
          </cell>
          <cell r="H56">
            <v>5.1999999999999998E-2</v>
          </cell>
          <cell r="I56">
            <v>6.6000000000000003E-2</v>
          </cell>
          <cell r="J56">
            <v>6.4000000000000001E-2</v>
          </cell>
          <cell r="K56">
            <v>0.06</v>
          </cell>
        </row>
        <row r="57">
          <cell r="A57" t="str">
            <v>与商业中心的接近程度</v>
          </cell>
          <cell r="B57">
            <v>0.02</v>
          </cell>
          <cell r="C57">
            <v>2.1000000000000001E-2</v>
          </cell>
          <cell r="D57">
            <v>2.5000000000000001E-2</v>
          </cell>
          <cell r="E57">
            <v>2.5999999999999999E-2</v>
          </cell>
          <cell r="F57">
            <v>0.03</v>
          </cell>
          <cell r="G57">
            <v>2.5999999999999999E-2</v>
          </cell>
          <cell r="H57">
            <v>2.5999999999999999E-2</v>
          </cell>
          <cell r="I57">
            <v>3.3000000000000002E-2</v>
          </cell>
          <cell r="J57">
            <v>3.2000000000000001E-2</v>
          </cell>
          <cell r="K57">
            <v>0.03</v>
          </cell>
        </row>
        <row r="58">
          <cell r="A58" t="str">
            <v>产业集聚程度</v>
          </cell>
          <cell r="B58">
            <v>0.02</v>
          </cell>
          <cell r="C58">
            <v>0.02</v>
          </cell>
          <cell r="D58">
            <v>0.04</v>
          </cell>
          <cell r="E58">
            <v>4.8000000000000001E-2</v>
          </cell>
          <cell r="F58">
            <v>4.8000000000000001E-2</v>
          </cell>
          <cell r="G58">
            <v>0.04</v>
          </cell>
          <cell r="H58">
            <v>4.5999999999999999E-2</v>
          </cell>
          <cell r="I58">
            <v>5.1999999999999998E-2</v>
          </cell>
          <cell r="J58">
            <v>0</v>
          </cell>
          <cell r="K58">
            <v>0</v>
          </cell>
        </row>
        <row r="59">
          <cell r="A59" t="str">
            <v>交通便捷度</v>
          </cell>
          <cell r="B59">
            <v>3.2000000000000001E-2</v>
          </cell>
          <cell r="C59">
            <v>3.2000000000000001E-2</v>
          </cell>
          <cell r="D59">
            <v>6.4000000000000001E-2</v>
          </cell>
          <cell r="E59">
            <v>7.6799999999999993E-2</v>
          </cell>
          <cell r="F59">
            <v>7.6799999999999993E-2</v>
          </cell>
          <cell r="G59">
            <v>6.4000000000000001E-2</v>
          </cell>
          <cell r="H59">
            <v>7.3599999999999999E-2</v>
          </cell>
          <cell r="I59">
            <v>8.3199999999999996E-2</v>
          </cell>
          <cell r="J59">
            <v>0</v>
          </cell>
          <cell r="K59">
            <v>0</v>
          </cell>
        </row>
        <row r="60">
          <cell r="A60" t="str">
            <v>区域土地利用方向</v>
          </cell>
          <cell r="B60">
            <v>0.01</v>
          </cell>
          <cell r="C60">
            <v>0.01</v>
          </cell>
          <cell r="D60">
            <v>0.02</v>
          </cell>
          <cell r="E60">
            <v>2.4E-2</v>
          </cell>
          <cell r="F60">
            <v>2.4E-2</v>
          </cell>
          <cell r="G60">
            <v>0.02</v>
          </cell>
          <cell r="H60">
            <v>2.3E-2</v>
          </cell>
          <cell r="I60">
            <v>2.5999999999999999E-2</v>
          </cell>
          <cell r="J60">
            <v>0</v>
          </cell>
          <cell r="K60">
            <v>0</v>
          </cell>
        </row>
        <row r="61">
          <cell r="A61" t="str">
            <v>临路状况</v>
          </cell>
          <cell r="B61">
            <v>8.0000000000000002E-3</v>
          </cell>
          <cell r="C61">
            <v>8.0000000000000002E-3</v>
          </cell>
          <cell r="D61">
            <v>1.6E-2</v>
          </cell>
          <cell r="E61">
            <v>1.9199999999999998E-2</v>
          </cell>
          <cell r="F61">
            <v>1.9199999999999998E-2</v>
          </cell>
          <cell r="G61">
            <v>1.6E-2</v>
          </cell>
          <cell r="H61">
            <v>1.84E-2</v>
          </cell>
          <cell r="I61">
            <v>2.0799999999999999E-2</v>
          </cell>
          <cell r="J61">
            <v>0</v>
          </cell>
          <cell r="K61">
            <v>0</v>
          </cell>
        </row>
        <row r="62">
          <cell r="A62" t="str">
            <v>宗地形状及可利用程度</v>
          </cell>
          <cell r="B62">
            <v>1.2E-2</v>
          </cell>
          <cell r="C62">
            <v>1.2E-2</v>
          </cell>
          <cell r="D62">
            <v>2.4E-2</v>
          </cell>
          <cell r="E62">
            <v>2.8799999999999999E-2</v>
          </cell>
          <cell r="F62">
            <v>2.8799999999999999E-2</v>
          </cell>
          <cell r="G62">
            <v>2.4E-2</v>
          </cell>
          <cell r="H62">
            <v>2.76E-2</v>
          </cell>
          <cell r="I62">
            <v>3.1199999999999999E-2</v>
          </cell>
          <cell r="J62">
            <v>0</v>
          </cell>
          <cell r="K62">
            <v>0</v>
          </cell>
        </row>
        <row r="63">
          <cell r="A63" t="str">
            <v>基础设施完备状况</v>
          </cell>
          <cell r="B63">
            <v>0.01</v>
          </cell>
          <cell r="C63">
            <v>0.01</v>
          </cell>
          <cell r="D63">
            <v>0.02</v>
          </cell>
          <cell r="E63">
            <v>2.4E-2</v>
          </cell>
          <cell r="F63">
            <v>2.4E-2</v>
          </cell>
          <cell r="G63">
            <v>0.02</v>
          </cell>
          <cell r="H63">
            <v>2.3E-2</v>
          </cell>
          <cell r="I63">
            <v>2.5999999999999999E-2</v>
          </cell>
          <cell r="J63">
            <v>0</v>
          </cell>
          <cell r="K63">
            <v>0</v>
          </cell>
        </row>
        <row r="64">
          <cell r="A64" t="str">
            <v>环境状况</v>
          </cell>
          <cell r="B64">
            <v>8.0000000000000002E-3</v>
          </cell>
          <cell r="C64">
            <v>8.0000000000000002E-3</v>
          </cell>
          <cell r="D64">
            <v>1.6E-2</v>
          </cell>
          <cell r="E64">
            <v>1.9199999999999998E-2</v>
          </cell>
          <cell r="F64">
            <v>1.9199999999999998E-2</v>
          </cell>
          <cell r="G64">
            <v>1.6E-2</v>
          </cell>
          <cell r="H64">
            <v>1.84E-2</v>
          </cell>
          <cell r="I64">
            <v>2.0799999999999999E-2</v>
          </cell>
          <cell r="J64">
            <v>0</v>
          </cell>
          <cell r="K64">
            <v>0</v>
          </cell>
        </row>
        <row r="66">
          <cell r="A66" t="str">
            <v xml:space="preserve"> 商业繁华程度</v>
          </cell>
          <cell r="B66">
            <v>-4.4999999999999998E-2</v>
          </cell>
          <cell r="C66">
            <v>-4.4999999999999998E-2</v>
          </cell>
          <cell r="D66">
            <v>-4.4999999999999998E-2</v>
          </cell>
          <cell r="E66">
            <v>-4.4999999999999998E-2</v>
          </cell>
          <cell r="F66">
            <v>-0.06</v>
          </cell>
          <cell r="G66">
            <v>-0.06</v>
          </cell>
          <cell r="H66">
            <v>-7.4999999999999997E-2</v>
          </cell>
          <cell r="I66">
            <v>-0.114</v>
          </cell>
          <cell r="J66">
            <v>-0.114</v>
          </cell>
          <cell r="K66">
            <v>-0.09</v>
          </cell>
        </row>
        <row r="67">
          <cell r="A67" t="str">
            <v>交通便捷度</v>
          </cell>
          <cell r="B67">
            <v>-2.2499999999999999E-2</v>
          </cell>
          <cell r="C67">
            <v>-2.2499999999999999E-2</v>
          </cell>
          <cell r="D67">
            <v>-2.2499999999999999E-2</v>
          </cell>
          <cell r="E67">
            <v>-2.2499999999999999E-2</v>
          </cell>
          <cell r="F67">
            <v>-0.03</v>
          </cell>
          <cell r="G67">
            <v>-0.03</v>
          </cell>
          <cell r="H67">
            <v>-3.7499999999999999E-2</v>
          </cell>
          <cell r="I67">
            <v>-5.7000000000000002E-2</v>
          </cell>
          <cell r="J67">
            <v>-5.7000000000000002E-2</v>
          </cell>
          <cell r="K67">
            <v>-4.4999999999999998E-2</v>
          </cell>
        </row>
        <row r="68">
          <cell r="A68" t="str">
            <v>区域土地利用方向</v>
          </cell>
          <cell r="B68">
            <v>-1.4999999999999999E-2</v>
          </cell>
          <cell r="C68">
            <v>-1.4999999999999999E-2</v>
          </cell>
          <cell r="D68">
            <v>-1.4999999999999999E-2</v>
          </cell>
          <cell r="E68">
            <v>-1.4999999999999999E-2</v>
          </cell>
          <cell r="F68">
            <v>-0.02</v>
          </cell>
          <cell r="G68">
            <v>-0.02</v>
          </cell>
          <cell r="H68">
            <v>-2.5000000000000001E-2</v>
          </cell>
          <cell r="I68">
            <v>-3.7999999999999999E-2</v>
          </cell>
          <cell r="J68">
            <v>-3.7999999999999999E-2</v>
          </cell>
          <cell r="K68">
            <v>-0.03</v>
          </cell>
        </row>
        <row r="69">
          <cell r="A69" t="str">
            <v>临街宽度和深度</v>
          </cell>
          <cell r="B69">
            <v>-0.03</v>
          </cell>
          <cell r="C69">
            <v>-0.03</v>
          </cell>
          <cell r="D69">
            <v>-0.03</v>
          </cell>
          <cell r="E69">
            <v>-0.03</v>
          </cell>
          <cell r="F69">
            <v>-0.04</v>
          </cell>
          <cell r="G69">
            <v>-0.04</v>
          </cell>
          <cell r="H69">
            <v>-0.05</v>
          </cell>
          <cell r="I69">
            <v>-7.5999999999999998E-2</v>
          </cell>
          <cell r="J69">
            <v>-7.5999999999999998E-2</v>
          </cell>
          <cell r="K69">
            <v>-0.06</v>
          </cell>
        </row>
        <row r="70">
          <cell r="A70" t="str">
            <v>临街道路状况</v>
          </cell>
          <cell r="B70">
            <v>-1.4999999999999999E-2</v>
          </cell>
          <cell r="C70">
            <v>-1.4999999999999999E-2</v>
          </cell>
          <cell r="D70">
            <v>-1.4999999999999999E-2</v>
          </cell>
          <cell r="E70">
            <v>-1.4999999999999999E-2</v>
          </cell>
          <cell r="F70">
            <v>-0.02</v>
          </cell>
          <cell r="G70">
            <v>-0.02</v>
          </cell>
          <cell r="H70">
            <v>-2.5000000000000001E-2</v>
          </cell>
          <cell r="I70">
            <v>-3.7999999999999999E-2</v>
          </cell>
          <cell r="J70">
            <v>-3.7999999999999999E-2</v>
          </cell>
          <cell r="K70">
            <v>-0.03</v>
          </cell>
        </row>
        <row r="71">
          <cell r="A71" t="str">
            <v>宗地形状及可利用程度</v>
          </cell>
          <cell r="B71">
            <v>-1.2E-2</v>
          </cell>
          <cell r="C71">
            <v>-1.2E-2</v>
          </cell>
          <cell r="D71">
            <v>-1.2E-2</v>
          </cell>
          <cell r="E71">
            <v>-1.2E-2</v>
          </cell>
          <cell r="F71">
            <v>-1.6E-2</v>
          </cell>
          <cell r="G71">
            <v>-1.6E-2</v>
          </cell>
          <cell r="H71">
            <v>-0.02</v>
          </cell>
          <cell r="I71">
            <v>-3.04E-2</v>
          </cell>
          <cell r="J71">
            <v>-3.04E-2</v>
          </cell>
          <cell r="K71">
            <v>-2.4E-2</v>
          </cell>
        </row>
        <row r="72">
          <cell r="A72" t="str">
            <v>基础设施完备状况</v>
          </cell>
          <cell r="B72">
            <v>-1.0500000000000001E-2</v>
          </cell>
          <cell r="C72">
            <v>-1.0500000000000001E-2</v>
          </cell>
          <cell r="D72">
            <v>-1.0500000000000001E-2</v>
          </cell>
          <cell r="E72">
            <v>-1.0500000000000001E-2</v>
          </cell>
          <cell r="F72">
            <v>-1.4E-2</v>
          </cell>
          <cell r="G72">
            <v>-1.4E-2</v>
          </cell>
          <cell r="H72">
            <v>-1.7500000000000002E-2</v>
          </cell>
          <cell r="I72">
            <v>-2.6599999999999999E-2</v>
          </cell>
          <cell r="J72">
            <v>-2.6599999999999999E-2</v>
          </cell>
          <cell r="K72">
            <v>-2.1000000000000001E-2</v>
          </cell>
        </row>
        <row r="73">
          <cell r="A73" t="str">
            <v>办公集聚程度</v>
          </cell>
          <cell r="B73">
            <v>-0.04</v>
          </cell>
          <cell r="C73">
            <v>-0.03</v>
          </cell>
          <cell r="D73">
            <v>-0.03</v>
          </cell>
          <cell r="E73">
            <v>-0.04</v>
          </cell>
          <cell r="F73">
            <v>-3.5999999999999997E-2</v>
          </cell>
          <cell r="G73">
            <v>-4.8000000000000001E-2</v>
          </cell>
          <cell r="H73">
            <v>-0.04</v>
          </cell>
          <cell r="I73">
            <v>-7.1999999999999995E-2</v>
          </cell>
          <cell r="J73">
            <v>-0.08</v>
          </cell>
          <cell r="K73">
            <v>-0.06</v>
          </cell>
        </row>
        <row r="74">
          <cell r="A74" t="str">
            <v>交通便捷度</v>
          </cell>
          <cell r="B74">
            <v>-0.05</v>
          </cell>
          <cell r="C74">
            <v>-3.7499999999999999E-2</v>
          </cell>
          <cell r="D74">
            <v>-3.7499999999999999E-2</v>
          </cell>
          <cell r="E74">
            <v>-0.05</v>
          </cell>
          <cell r="F74">
            <v>-4.4999999999999998E-2</v>
          </cell>
          <cell r="G74">
            <v>-0.06</v>
          </cell>
          <cell r="H74">
            <v>-0.05</v>
          </cell>
          <cell r="I74">
            <v>-0.09</v>
          </cell>
          <cell r="J74">
            <v>-0.1</v>
          </cell>
          <cell r="K74">
            <v>-7.4999999999999997E-2</v>
          </cell>
        </row>
        <row r="75">
          <cell r="A75" t="str">
            <v>区域土地利用方向</v>
          </cell>
          <cell r="B75">
            <v>-0.02</v>
          </cell>
          <cell r="C75">
            <v>-1.4999999999999999E-2</v>
          </cell>
          <cell r="D75">
            <v>-1.4999999999999999E-2</v>
          </cell>
          <cell r="E75">
            <v>-0.02</v>
          </cell>
          <cell r="F75">
            <v>-1.7999999999999999E-2</v>
          </cell>
          <cell r="G75">
            <v>-2.4E-2</v>
          </cell>
          <cell r="H75">
            <v>-0.02</v>
          </cell>
          <cell r="I75">
            <v>-3.5999999999999997E-2</v>
          </cell>
          <cell r="J75">
            <v>-0.04</v>
          </cell>
          <cell r="K75">
            <v>-0.03</v>
          </cell>
        </row>
        <row r="76">
          <cell r="A76" t="str">
            <v>临街宽度和深度</v>
          </cell>
          <cell r="B76">
            <v>-0.02</v>
          </cell>
          <cell r="C76">
            <v>-1.4999999999999999E-2</v>
          </cell>
          <cell r="D76">
            <v>-1.4999999999999999E-2</v>
          </cell>
          <cell r="E76">
            <v>-0.02</v>
          </cell>
          <cell r="F76">
            <v>-1.7999999999999999E-2</v>
          </cell>
          <cell r="G76">
            <v>-2.4E-2</v>
          </cell>
          <cell r="H76">
            <v>-0.02</v>
          </cell>
          <cell r="I76">
            <v>-3.5999999999999997E-2</v>
          </cell>
          <cell r="J76">
            <v>-0.04</v>
          </cell>
          <cell r="K76">
            <v>-0.03</v>
          </cell>
        </row>
        <row r="77">
          <cell r="A77" t="str">
            <v>临街道路状况</v>
          </cell>
          <cell r="B77">
            <v>-0.03</v>
          </cell>
          <cell r="C77">
            <v>-2.2499999999999999E-2</v>
          </cell>
          <cell r="D77">
            <v>-2.2499999999999999E-2</v>
          </cell>
          <cell r="E77">
            <v>-0.03</v>
          </cell>
          <cell r="F77">
            <v>-2.7E-2</v>
          </cell>
          <cell r="G77">
            <v>-3.5999999999999997E-2</v>
          </cell>
          <cell r="H77">
            <v>-0.03</v>
          </cell>
          <cell r="I77">
            <v>-5.3999999999999999E-2</v>
          </cell>
          <cell r="J77">
            <v>-0.06</v>
          </cell>
          <cell r="K77">
            <v>-4.4999999999999998E-2</v>
          </cell>
        </row>
        <row r="78">
          <cell r="A78" t="str">
            <v>宗地形状及可利用程度</v>
          </cell>
          <cell r="B78">
            <v>-1.6E-2</v>
          </cell>
          <cell r="C78">
            <v>-1.2E-2</v>
          </cell>
          <cell r="D78">
            <v>-1.2E-2</v>
          </cell>
          <cell r="E78">
            <v>-1.6E-2</v>
          </cell>
          <cell r="F78">
            <v>-1.44E-2</v>
          </cell>
          <cell r="G78">
            <v>-1.9199999999999998E-2</v>
          </cell>
          <cell r="H78">
            <v>-1.6E-2</v>
          </cell>
          <cell r="I78">
            <v>-2.8799999999999999E-2</v>
          </cell>
          <cell r="J78">
            <v>-3.2000000000000001E-2</v>
          </cell>
          <cell r="K78">
            <v>-2.4E-2</v>
          </cell>
        </row>
        <row r="79">
          <cell r="A79" t="str">
            <v>公共服务设施和基础设施状况</v>
          </cell>
          <cell r="B79">
            <v>-2.4E-2</v>
          </cell>
          <cell r="C79">
            <v>-1.7999999999999999E-2</v>
          </cell>
          <cell r="D79">
            <v>-1.7999999999999999E-2</v>
          </cell>
          <cell r="E79">
            <v>-2.4E-2</v>
          </cell>
          <cell r="F79">
            <v>-2.1600000000000001E-2</v>
          </cell>
          <cell r="G79">
            <v>-2.8799999999999999E-2</v>
          </cell>
          <cell r="H79">
            <v>-2.4E-2</v>
          </cell>
          <cell r="I79">
            <v>-4.3200000000000002E-2</v>
          </cell>
          <cell r="J79">
            <v>-4.8000000000000001E-2</v>
          </cell>
          <cell r="K79">
            <v>-3.5999999999999997E-2</v>
          </cell>
        </row>
        <row r="80">
          <cell r="A80" t="str">
            <v>居住社区成熟度</v>
          </cell>
          <cell r="B80">
            <v>-0.02</v>
          </cell>
          <cell r="C80">
            <v>-2.1000000000000001E-2</v>
          </cell>
          <cell r="D80">
            <v>-1.4999999999999999E-2</v>
          </cell>
          <cell r="E80">
            <v>-1.7000000000000001E-2</v>
          </cell>
          <cell r="F80">
            <v>-0.03</v>
          </cell>
          <cell r="G80">
            <v>-2.5999999999999999E-2</v>
          </cell>
          <cell r="H80">
            <v>-2.7E-2</v>
          </cell>
          <cell r="I80">
            <v>-3.3000000000000002E-2</v>
          </cell>
          <cell r="J80">
            <v>-3.5999999999999997E-2</v>
          </cell>
          <cell r="K80">
            <v>-0.03</v>
          </cell>
        </row>
        <row r="81">
          <cell r="A81" t="str">
            <v>交通便捷度</v>
          </cell>
          <cell r="B81">
            <v>-0.04</v>
          </cell>
          <cell r="C81">
            <v>-4.2000000000000003E-2</v>
          </cell>
          <cell r="D81">
            <v>-0.03</v>
          </cell>
          <cell r="E81">
            <v>-3.4000000000000002E-2</v>
          </cell>
          <cell r="F81">
            <v>-0.06</v>
          </cell>
          <cell r="G81">
            <v>-5.1999999999999998E-2</v>
          </cell>
          <cell r="H81">
            <v>-5.3999999999999999E-2</v>
          </cell>
          <cell r="I81">
            <v>-6.6000000000000003E-2</v>
          </cell>
          <cell r="J81">
            <v>-7.1999999999999995E-2</v>
          </cell>
          <cell r="K81">
            <v>-0.06</v>
          </cell>
        </row>
        <row r="82">
          <cell r="A82" t="str">
            <v>区域土地利用方向</v>
          </cell>
          <cell r="B82">
            <v>-0.02</v>
          </cell>
          <cell r="C82">
            <v>-2.1000000000000001E-2</v>
          </cell>
          <cell r="D82">
            <v>-1.4999999999999999E-2</v>
          </cell>
          <cell r="E82">
            <v>-1.7000000000000001E-2</v>
          </cell>
          <cell r="F82">
            <v>-0.03</v>
          </cell>
          <cell r="G82">
            <v>-2.5999999999999999E-2</v>
          </cell>
          <cell r="H82">
            <v>-2.7E-2</v>
          </cell>
          <cell r="I82">
            <v>-3.3000000000000002E-2</v>
          </cell>
          <cell r="J82">
            <v>-3.5999999999999997E-2</v>
          </cell>
          <cell r="K82">
            <v>-0.03</v>
          </cell>
        </row>
        <row r="83">
          <cell r="A83" t="str">
            <v>临路状况</v>
          </cell>
          <cell r="B83">
            <v>-0.02</v>
          </cell>
          <cell r="C83">
            <v>-2.1000000000000001E-2</v>
          </cell>
          <cell r="D83">
            <v>-1.4999999999999999E-2</v>
          </cell>
          <cell r="E83">
            <v>-1.7000000000000001E-2</v>
          </cell>
          <cell r="F83">
            <v>-0.03</v>
          </cell>
          <cell r="G83">
            <v>-2.5999999999999999E-2</v>
          </cell>
          <cell r="H83">
            <v>-2.7E-2</v>
          </cell>
          <cell r="I83">
            <v>-3.3000000000000002E-2</v>
          </cell>
          <cell r="J83">
            <v>-3.5999999999999997E-2</v>
          </cell>
          <cell r="K83">
            <v>-0.03</v>
          </cell>
        </row>
        <row r="84">
          <cell r="A84" t="str">
            <v>宗地形状及可利用程度</v>
          </cell>
          <cell r="B84">
            <v>-1.6E-2</v>
          </cell>
          <cell r="C84">
            <v>-1.6799999999999999E-2</v>
          </cell>
          <cell r="D84">
            <v>-1.2E-2</v>
          </cell>
          <cell r="E84">
            <v>-1.3599999999999999E-2</v>
          </cell>
          <cell r="F84">
            <v>-2.4E-2</v>
          </cell>
          <cell r="G84">
            <v>-2.0799999999999999E-2</v>
          </cell>
          <cell r="H84">
            <v>-2.1600000000000001E-2</v>
          </cell>
          <cell r="I84">
            <v>-2.64E-2</v>
          </cell>
          <cell r="J84">
            <v>-2.8799999999999999E-2</v>
          </cell>
          <cell r="K84">
            <v>-2.4E-2</v>
          </cell>
        </row>
        <row r="85">
          <cell r="A85" t="str">
            <v>公共服务设施和基础设施状况</v>
          </cell>
          <cell r="B85">
            <v>-2.4E-2</v>
          </cell>
          <cell r="C85">
            <v>-2.52E-2</v>
          </cell>
          <cell r="D85">
            <v>-1.7999999999999999E-2</v>
          </cell>
          <cell r="E85">
            <v>-2.0400000000000001E-2</v>
          </cell>
          <cell r="F85">
            <v>-3.5999999999999997E-2</v>
          </cell>
          <cell r="G85">
            <v>-3.1199999999999999E-2</v>
          </cell>
          <cell r="H85">
            <v>-3.2399999999999998E-2</v>
          </cell>
          <cell r="I85">
            <v>-3.9600000000000003E-2</v>
          </cell>
          <cell r="J85">
            <v>-4.3200000000000002E-2</v>
          </cell>
          <cell r="K85">
            <v>-3.5999999999999997E-2</v>
          </cell>
        </row>
        <row r="86">
          <cell r="A86" t="str">
            <v>自然和人文环境状况</v>
          </cell>
          <cell r="B86">
            <v>-0.04</v>
          </cell>
          <cell r="C86">
            <v>-4.2000000000000003E-2</v>
          </cell>
          <cell r="D86">
            <v>-0.03</v>
          </cell>
          <cell r="E86">
            <v>-3.4000000000000002E-2</v>
          </cell>
          <cell r="F86">
            <v>-0.06</v>
          </cell>
          <cell r="G86">
            <v>-5.1999999999999998E-2</v>
          </cell>
          <cell r="H86">
            <v>-5.3999999999999999E-2</v>
          </cell>
          <cell r="I86">
            <v>-6.6000000000000003E-2</v>
          </cell>
          <cell r="J86">
            <v>-7.1999999999999995E-2</v>
          </cell>
          <cell r="K86">
            <v>-0.06</v>
          </cell>
        </row>
        <row r="87">
          <cell r="A87" t="str">
            <v>与商业中心的接近程度</v>
          </cell>
          <cell r="B87">
            <v>-0.02</v>
          </cell>
          <cell r="C87">
            <v>-2.1000000000000001E-2</v>
          </cell>
          <cell r="D87">
            <v>-1.4999999999999999E-2</v>
          </cell>
          <cell r="E87">
            <v>-1.7000000000000001E-2</v>
          </cell>
          <cell r="F87">
            <v>-0.03</v>
          </cell>
          <cell r="G87">
            <v>-2.5999999999999999E-2</v>
          </cell>
          <cell r="H87">
            <v>-2.7E-2</v>
          </cell>
          <cell r="I87">
            <v>-3.3000000000000002E-2</v>
          </cell>
          <cell r="J87">
            <v>-3.5999999999999997E-2</v>
          </cell>
          <cell r="K87">
            <v>-0.03</v>
          </cell>
        </row>
        <row r="88">
          <cell r="A88" t="str">
            <v>产业集聚程度</v>
          </cell>
          <cell r="B88">
            <v>-0.02</v>
          </cell>
          <cell r="C88">
            <v>-0.02</v>
          </cell>
          <cell r="D88">
            <v>-0.04</v>
          </cell>
          <cell r="E88">
            <v>-4.8000000000000001E-2</v>
          </cell>
          <cell r="F88">
            <v>-0.05</v>
          </cell>
          <cell r="G88">
            <v>-0.04</v>
          </cell>
          <cell r="H88">
            <v>-4.5999999999999999E-2</v>
          </cell>
          <cell r="I88">
            <v>-5.1999999999999998E-2</v>
          </cell>
          <cell r="J88">
            <v>0</v>
          </cell>
          <cell r="K88">
            <v>0</v>
          </cell>
        </row>
        <row r="89">
          <cell r="A89" t="str">
            <v>交通便捷度</v>
          </cell>
          <cell r="B89">
            <v>-3.2000000000000001E-2</v>
          </cell>
          <cell r="C89">
            <v>-3.2000000000000001E-2</v>
          </cell>
          <cell r="D89">
            <v>-6.4000000000000001E-2</v>
          </cell>
          <cell r="E89">
            <v>-7.6799999999999993E-2</v>
          </cell>
          <cell r="F89">
            <v>-0.08</v>
          </cell>
          <cell r="G89">
            <v>-6.4000000000000001E-2</v>
          </cell>
          <cell r="H89">
            <v>-7.3599999999999999E-2</v>
          </cell>
          <cell r="I89">
            <v>-8.3199999999999996E-2</v>
          </cell>
          <cell r="J89">
            <v>0</v>
          </cell>
          <cell r="K89">
            <v>0</v>
          </cell>
        </row>
        <row r="90">
          <cell r="A90" t="str">
            <v>区域土地利用方向</v>
          </cell>
          <cell r="B90">
            <v>-0.01</v>
          </cell>
          <cell r="C90">
            <v>-0.01</v>
          </cell>
          <cell r="D90">
            <v>-0.02</v>
          </cell>
          <cell r="E90">
            <v>-2.4E-2</v>
          </cell>
          <cell r="F90">
            <v>-2.5000000000000001E-2</v>
          </cell>
          <cell r="G90">
            <v>-0.02</v>
          </cell>
          <cell r="H90">
            <v>-2.3E-2</v>
          </cell>
          <cell r="I90">
            <v>-2.5999999999999999E-2</v>
          </cell>
          <cell r="J90">
            <v>0</v>
          </cell>
          <cell r="K90">
            <v>0</v>
          </cell>
        </row>
        <row r="91">
          <cell r="A91" t="str">
            <v>临路状况</v>
          </cell>
          <cell r="B91">
            <v>-8.0000000000000002E-3</v>
          </cell>
          <cell r="C91">
            <v>-8.0000000000000002E-3</v>
          </cell>
          <cell r="D91">
            <v>-1.6E-2</v>
          </cell>
          <cell r="E91">
            <v>-1.9199999999999998E-2</v>
          </cell>
          <cell r="F91">
            <v>-0.02</v>
          </cell>
          <cell r="G91">
            <v>-1.6E-2</v>
          </cell>
          <cell r="H91">
            <v>-1.84E-2</v>
          </cell>
          <cell r="I91">
            <v>-2.0799999999999999E-2</v>
          </cell>
          <cell r="J91">
            <v>0</v>
          </cell>
          <cell r="K91">
            <v>0</v>
          </cell>
        </row>
        <row r="92">
          <cell r="A92" t="str">
            <v>宗地形状及可利用程度</v>
          </cell>
          <cell r="B92">
            <v>-1.2E-2</v>
          </cell>
          <cell r="C92">
            <v>-1.2E-2</v>
          </cell>
          <cell r="D92">
            <v>-2.4E-2</v>
          </cell>
          <cell r="E92">
            <v>-2.8799999999999999E-2</v>
          </cell>
          <cell r="F92">
            <v>-0.03</v>
          </cell>
          <cell r="G92">
            <v>-2.4E-2</v>
          </cell>
          <cell r="H92">
            <v>-2.76E-2</v>
          </cell>
          <cell r="I92">
            <v>-3.1199999999999999E-2</v>
          </cell>
          <cell r="J92">
            <v>0</v>
          </cell>
          <cell r="K92">
            <v>0</v>
          </cell>
        </row>
        <row r="93">
          <cell r="A93" t="str">
            <v>基础设施完备状况</v>
          </cell>
          <cell r="B93">
            <v>-0.01</v>
          </cell>
          <cell r="C93">
            <v>-0.01</v>
          </cell>
          <cell r="D93">
            <v>-0.02</v>
          </cell>
          <cell r="E93">
            <v>-2.4E-2</v>
          </cell>
          <cell r="F93">
            <v>-2.5000000000000001E-2</v>
          </cell>
          <cell r="G93">
            <v>-0.02</v>
          </cell>
          <cell r="H93">
            <v>-2.3E-2</v>
          </cell>
          <cell r="I93">
            <v>-2.5999999999999999E-2</v>
          </cell>
          <cell r="J93">
            <v>0</v>
          </cell>
          <cell r="K93">
            <v>0</v>
          </cell>
        </row>
        <row r="94">
          <cell r="A94" t="str">
            <v>环境状况</v>
          </cell>
          <cell r="B94">
            <v>-8.0000000000000002E-3</v>
          </cell>
          <cell r="C94">
            <v>-8.0000000000000002E-3</v>
          </cell>
          <cell r="D94">
            <v>-1.6E-2</v>
          </cell>
          <cell r="E94">
            <v>-1.9199999999999998E-2</v>
          </cell>
          <cell r="F94">
            <v>-0.02</v>
          </cell>
          <cell r="G94">
            <v>-1.6E-2</v>
          </cell>
          <cell r="H94">
            <v>-1.84E-2</v>
          </cell>
          <cell r="I94">
            <v>-2.0799999999999999E-2</v>
          </cell>
          <cell r="J94">
            <v>0</v>
          </cell>
          <cell r="K94">
            <v>0</v>
          </cell>
        </row>
      </sheetData>
      <sheetData sheetId="15" refreshError="1"/>
      <sheetData sheetId="16">
        <row r="61">
          <cell r="A61" t="str">
            <v>交易情况</v>
          </cell>
          <cell r="C61" t="str">
            <v>正常</v>
          </cell>
        </row>
        <row r="63">
          <cell r="B63" t="str">
            <v>用途</v>
          </cell>
          <cell r="C63">
            <v>0</v>
          </cell>
        </row>
        <row r="94">
          <cell r="B94" t="str">
            <v>毗邻道路的类型与等级</v>
          </cell>
          <cell r="C94" t="str">
            <v>高速路</v>
          </cell>
          <cell r="D94" t="str">
            <v>快速路</v>
          </cell>
          <cell r="E94" t="str">
            <v>主干道</v>
          </cell>
          <cell r="F94" t="str">
            <v>次干道</v>
          </cell>
          <cell r="G94" t="str">
            <v>支路</v>
          </cell>
        </row>
        <row r="96">
          <cell r="B96">
            <v>111</v>
          </cell>
          <cell r="C96">
            <v>111</v>
          </cell>
          <cell r="D96">
            <v>222</v>
          </cell>
          <cell r="E96">
            <v>333</v>
          </cell>
        </row>
        <row r="107">
          <cell r="B107" t="str">
            <v>宗地形状</v>
          </cell>
          <cell r="C107" t="str">
            <v>规则</v>
          </cell>
          <cell r="D107" t="str">
            <v>较规则</v>
          </cell>
          <cell r="E107" t="str">
            <v>较不规则</v>
          </cell>
          <cell r="F107" t="str">
            <v>不规则</v>
          </cell>
        </row>
        <row r="109">
          <cell r="B109" t="str">
            <v>临街宽度及深度</v>
          </cell>
          <cell r="C109" t="str">
            <v>比例适宜</v>
          </cell>
          <cell r="D109" t="str">
            <v>比例较适宜</v>
          </cell>
          <cell r="E109" t="str">
            <v>比较较不适宜</v>
          </cell>
        </row>
        <row r="111">
          <cell r="B111" t="str">
            <v>宗地内开发程度</v>
          </cell>
          <cell r="C111" t="str">
            <v>七通</v>
          </cell>
          <cell r="D111" t="str">
            <v>六通</v>
          </cell>
          <cell r="E111" t="str">
            <v>五通</v>
          </cell>
          <cell r="F111" t="str">
            <v>四通</v>
          </cell>
          <cell r="G111" t="str">
            <v>三通</v>
          </cell>
        </row>
        <row r="113">
          <cell r="B113" t="str">
            <v>工程地质条件</v>
          </cell>
          <cell r="C113" t="str">
            <v>好</v>
          </cell>
          <cell r="D113" t="str">
            <v>较好</v>
          </cell>
          <cell r="E113" t="str">
            <v>一般</v>
          </cell>
          <cell r="F113" t="str">
            <v>较差</v>
          </cell>
          <cell r="G113" t="str">
            <v>差</v>
          </cell>
        </row>
      </sheetData>
      <sheetData sheetId="17" refreshError="1"/>
      <sheetData sheetId="18">
        <row r="3">
          <cell r="B3" t="str">
            <v>综合</v>
          </cell>
          <cell r="C3" t="str">
            <v>商业</v>
          </cell>
          <cell r="D3" t="str">
            <v>办公/综合</v>
          </cell>
          <cell r="E3" t="str">
            <v>住宅/居住</v>
          </cell>
          <cell r="F3" t="str">
            <v>工业</v>
          </cell>
        </row>
        <row r="21">
          <cell r="A21" t="str">
            <v>2014-3</v>
          </cell>
          <cell r="B21">
            <v>317.33359944117353</v>
          </cell>
          <cell r="C21">
            <v>266.90568668459315</v>
          </cell>
          <cell r="D21">
            <v>266.90568668459315</v>
          </cell>
          <cell r="E21">
            <v>436.47622852576905</v>
          </cell>
          <cell r="F21">
            <v>234.90930716622066</v>
          </cell>
        </row>
        <row r="22">
          <cell r="A22" t="str">
            <v>2014-2</v>
          </cell>
          <cell r="B22">
            <v>314.72141172386546</v>
          </cell>
          <cell r="C22">
            <v>263.03901319069001</v>
          </cell>
          <cell r="D22">
            <v>263.03901319069001</v>
          </cell>
          <cell r="E22">
            <v>433.65745506782821</v>
          </cell>
          <cell r="F22">
            <v>233.23005080045735</v>
          </cell>
        </row>
        <row r="23">
          <cell r="A23" t="str">
            <v>2014-1</v>
          </cell>
          <cell r="B23">
            <v>307.34512863658733</v>
          </cell>
          <cell r="C23">
            <v>257.80556031626975</v>
          </cell>
          <cell r="D23">
            <v>257.80556031626975</v>
          </cell>
          <cell r="E23">
            <v>422.70928459677179</v>
          </cell>
          <cell r="F23">
            <v>229.73803270336617</v>
          </cell>
        </row>
        <row r="24">
          <cell r="A24" t="str">
            <v>2013-4</v>
          </cell>
          <cell r="B24">
            <v>299</v>
          </cell>
          <cell r="C24">
            <v>252</v>
          </cell>
          <cell r="D24">
            <v>252</v>
          </cell>
          <cell r="E24">
            <v>409</v>
          </cell>
          <cell r="F24">
            <v>227</v>
          </cell>
        </row>
        <row r="25">
          <cell r="A25" t="str">
            <v>2013-3</v>
          </cell>
          <cell r="B25">
            <v>293.62663262299913</v>
          </cell>
          <cell r="C25">
            <v>247.83634933123525</v>
          </cell>
          <cell r="D25">
            <v>247.83634933123525</v>
          </cell>
          <cell r="E25">
            <v>401.09836226341076</v>
          </cell>
          <cell r="F25">
            <v>225.04213343908003</v>
          </cell>
        </row>
        <row r="26">
          <cell r="A26" t="str">
            <v>2013-2</v>
          </cell>
          <cell r="B26">
            <v>288.2649053828776</v>
          </cell>
          <cell r="C26">
            <v>243.64564425013293</v>
          </cell>
          <cell r="D26">
            <v>243.64564425013293</v>
          </cell>
          <cell r="E26">
            <v>393.31080825986544</v>
          </cell>
          <cell r="F26">
            <v>223.07903790551154</v>
          </cell>
        </row>
        <row r="27">
          <cell r="A27" t="str">
            <v>2013-1</v>
          </cell>
          <cell r="B27">
            <v>282.50186729015837</v>
          </cell>
          <cell r="C27">
            <v>238.09796174155468</v>
          </cell>
          <cell r="D27">
            <v>238.09796174155468</v>
          </cell>
          <cell r="E27">
            <v>385.33438646014054</v>
          </cell>
          <cell r="F27">
            <v>221.55034055567739</v>
          </cell>
        </row>
        <row r="28">
          <cell r="A28" t="str">
            <v>2012-4</v>
          </cell>
          <cell r="B28">
            <v>278</v>
          </cell>
          <cell r="C28">
            <v>234</v>
          </cell>
          <cell r="D28">
            <v>234</v>
          </cell>
          <cell r="E28">
            <v>379</v>
          </cell>
          <cell r="F28">
            <v>220</v>
          </cell>
        </row>
        <row r="29">
          <cell r="A29" t="str">
            <v>2012-3</v>
          </cell>
          <cell r="B29">
            <v>275.49301357645425</v>
          </cell>
          <cell r="C29">
            <v>232.41954707985698</v>
          </cell>
          <cell r="D29">
            <v>232.41954707985698</v>
          </cell>
          <cell r="E29">
            <v>375.32184591008121</v>
          </cell>
          <cell r="F29">
            <v>218.03766105054513</v>
          </cell>
        </row>
        <row r="30">
          <cell r="A30" t="str">
            <v>2012-2</v>
          </cell>
          <cell r="B30">
            <v>275.24529281292263</v>
          </cell>
          <cell r="C30">
            <v>231.74747938962707</v>
          </cell>
          <cell r="D30">
            <v>231.74747938962707</v>
          </cell>
          <cell r="E30">
            <v>375.35938184826603</v>
          </cell>
          <cell r="F30">
            <v>216.78033510692495</v>
          </cell>
        </row>
        <row r="31">
          <cell r="A31" t="str">
            <v>2012-1</v>
          </cell>
          <cell r="B31">
            <v>275.19025476197027</v>
          </cell>
          <cell r="C31">
            <v>232</v>
          </cell>
          <cell r="D31">
            <v>232</v>
          </cell>
          <cell r="E31">
            <v>375.65990977608692</v>
          </cell>
          <cell r="F31">
            <v>214.12518283971252</v>
          </cell>
        </row>
        <row r="32">
          <cell r="A32" t="str">
            <v>2011-4</v>
          </cell>
          <cell r="B32">
            <v>275</v>
          </cell>
          <cell r="C32">
            <v>232</v>
          </cell>
          <cell r="D32">
            <v>232</v>
          </cell>
          <cell r="E32">
            <v>376</v>
          </cell>
          <cell r="F32">
            <v>213</v>
          </cell>
        </row>
        <row r="33">
          <cell r="A33" t="str">
            <v>2011-3</v>
          </cell>
          <cell r="B33">
            <v>275.55110220440883</v>
          </cell>
          <cell r="C33">
            <v>231.90723710515795</v>
          </cell>
          <cell r="D33">
            <v>231.90723710515795</v>
          </cell>
          <cell r="E33">
            <v>377.28276138872161</v>
          </cell>
          <cell r="F33">
            <v>212.02468644236512</v>
          </cell>
        </row>
        <row r="34">
          <cell r="A34" t="str">
            <v>2011-2</v>
          </cell>
          <cell r="B34">
            <v>275.19335084830601</v>
          </cell>
          <cell r="C34">
            <v>230.18088050139744</v>
          </cell>
          <cell r="D34">
            <v>230.18088050139744</v>
          </cell>
          <cell r="E34">
            <v>377.58482925212331</v>
          </cell>
          <cell r="F34">
            <v>210.90687997847917</v>
          </cell>
        </row>
        <row r="35">
          <cell r="A35" t="str">
            <v>2011-1</v>
          </cell>
          <cell r="B35">
            <v>276.29854502841971</v>
          </cell>
          <cell r="C35">
            <v>229.79023709833027</v>
          </cell>
          <cell r="D35">
            <v>229.79023709833027</v>
          </cell>
          <cell r="E35">
            <v>379.78759731655936</v>
          </cell>
          <cell r="F35">
            <v>211.32953905659235</v>
          </cell>
        </row>
        <row r="36">
          <cell r="A36" t="str">
            <v>2010-4</v>
          </cell>
          <cell r="B36">
            <v>269</v>
          </cell>
          <cell r="C36">
            <v>221</v>
          </cell>
          <cell r="D36">
            <v>221</v>
          </cell>
          <cell r="E36">
            <v>373</v>
          </cell>
          <cell r="F36">
            <v>196</v>
          </cell>
        </row>
        <row r="37">
          <cell r="A37" t="str">
            <v>2010-3</v>
          </cell>
          <cell r="B37">
            <v>254.44570563753314</v>
          </cell>
          <cell r="C37">
            <v>207.37543398705074</v>
          </cell>
          <cell r="D37">
            <v>207.37543398705074</v>
          </cell>
          <cell r="E37">
            <v>352.81876655315932</v>
          </cell>
          <cell r="F37">
            <v>190.809968847352</v>
          </cell>
        </row>
        <row r="38">
          <cell r="A38" t="str">
            <v>2010-2</v>
          </cell>
          <cell r="B38">
            <v>242.95398227588385</v>
          </cell>
          <cell r="C38">
            <v>199.59137053614126</v>
          </cell>
          <cell r="D38">
            <v>199.59137053614126</v>
          </cell>
          <cell r="E38">
            <v>335.92189522342125</v>
          </cell>
          <cell r="F38">
            <v>183.10139991109489</v>
          </cell>
        </row>
        <row r="39">
          <cell r="A39" t="str">
            <v>2010-1</v>
          </cell>
          <cell r="B39">
            <v>232.06990378821649</v>
          </cell>
          <cell r="C39">
            <v>192.74878854286936</v>
          </cell>
          <cell r="D39">
            <v>192.74878854286936</v>
          </cell>
          <cell r="E39">
            <v>319.71247284992984</v>
          </cell>
          <cell r="F39">
            <v>175.67053622862409</v>
          </cell>
        </row>
        <row r="40">
          <cell r="A40" t="str">
            <v>2009-4</v>
          </cell>
          <cell r="B40">
            <v>220</v>
          </cell>
          <cell r="C40">
            <v>187</v>
          </cell>
          <cell r="D40">
            <v>187</v>
          </cell>
          <cell r="E40">
            <v>301</v>
          </cell>
          <cell r="F40">
            <v>168</v>
          </cell>
        </row>
        <row r="41">
          <cell r="A41" t="str">
            <v>2009-3</v>
          </cell>
          <cell r="B41">
            <v>215.05376344086022</v>
          </cell>
          <cell r="C41">
            <v>185.0752177355503</v>
          </cell>
          <cell r="D41">
            <v>185.0752177355503</v>
          </cell>
          <cell r="E41">
            <v>292.68767016725008</v>
          </cell>
          <cell r="F41">
            <v>166.88189132810174</v>
          </cell>
        </row>
        <row r="42">
          <cell r="A42" t="str">
            <v>2009-2</v>
          </cell>
          <cell r="B42">
            <v>210.630522469011</v>
          </cell>
          <cell r="C42">
            <v>181.69567812247232</v>
          </cell>
          <cell r="D42">
            <v>181.69567812247232</v>
          </cell>
          <cell r="E42">
            <v>286.13517466736738</v>
          </cell>
          <cell r="F42">
            <v>165.47535084591149</v>
          </cell>
        </row>
        <row r="43">
          <cell r="A43" t="str">
            <v>2009-1</v>
          </cell>
          <cell r="B43">
            <v>208.83454537875372</v>
          </cell>
          <cell r="C43">
            <v>183.77230517090351</v>
          </cell>
          <cell r="D43">
            <v>183.77230517090351</v>
          </cell>
          <cell r="E43">
            <v>281.10342338870947</v>
          </cell>
          <cell r="F43">
            <v>168.97309388942256</v>
          </cell>
        </row>
        <row r="44">
          <cell r="A44" t="str">
            <v>2008-4</v>
          </cell>
          <cell r="B44">
            <v>214</v>
          </cell>
          <cell r="C44">
            <v>188</v>
          </cell>
          <cell r="D44">
            <v>188</v>
          </cell>
          <cell r="E44">
            <v>289</v>
          </cell>
          <cell r="F44">
            <v>166</v>
          </cell>
        </row>
        <row r="45">
          <cell r="A45" t="str">
            <v>2008-3</v>
          </cell>
          <cell r="B45">
            <v>210.36075887152265</v>
          </cell>
          <cell r="C45">
            <v>187.94361691492554</v>
          </cell>
          <cell r="D45">
            <v>187.94361691492554</v>
          </cell>
          <cell r="E45">
            <v>281.70386977288234</v>
          </cell>
          <cell r="F45">
            <v>168.80211511083994</v>
          </cell>
        </row>
        <row r="46">
          <cell r="A46" t="str">
            <v>2008-2</v>
          </cell>
          <cell r="B46">
            <v>206.31694671589116</v>
          </cell>
          <cell r="C46">
            <v>183.61041121036101</v>
          </cell>
          <cell r="D46">
            <v>183.61041121036101</v>
          </cell>
          <cell r="E46">
            <v>276.66850301795557</v>
          </cell>
          <cell r="F46">
            <v>165.1360938278614</v>
          </cell>
        </row>
        <row r="47">
          <cell r="A47" t="str">
            <v>2008-1</v>
          </cell>
          <cell r="B47">
            <v>196.62341248059772</v>
          </cell>
          <cell r="C47">
            <v>170.99125648199012</v>
          </cell>
          <cell r="D47">
            <v>170.99125648199012</v>
          </cell>
          <cell r="E47">
            <v>266.07857570490052</v>
          </cell>
          <cell r="F47">
            <v>154.53499328828505</v>
          </cell>
        </row>
        <row r="48">
          <cell r="A48" t="str">
            <v>2007-4</v>
          </cell>
          <cell r="B48">
            <v>188</v>
          </cell>
          <cell r="C48">
            <v>165</v>
          </cell>
          <cell r="D48">
            <v>165</v>
          </cell>
          <cell r="E48">
            <v>254</v>
          </cell>
          <cell r="F48">
            <v>148</v>
          </cell>
        </row>
        <row r="49">
          <cell r="A49" t="str">
            <v>2007-3</v>
          </cell>
          <cell r="B49">
            <v>180.5366651097618</v>
          </cell>
          <cell r="C49">
            <v>158.60435967302453</v>
          </cell>
          <cell r="D49">
            <v>158.60435967302453</v>
          </cell>
          <cell r="E49">
            <v>239.25573260785075</v>
          </cell>
          <cell r="F49">
            <v>141.38899430740037</v>
          </cell>
        </row>
        <row r="50">
          <cell r="A50" t="str">
            <v>2007-2</v>
          </cell>
          <cell r="B50">
            <v>168.82017748715555</v>
          </cell>
          <cell r="C50">
            <v>148.06267029972753</v>
          </cell>
          <cell r="D50">
            <v>148.06267029972753</v>
          </cell>
          <cell r="E50">
            <v>216.46288379323747</v>
          </cell>
          <cell r="F50">
            <v>134.23529411764704</v>
          </cell>
        </row>
        <row r="51">
          <cell r="A51" t="str">
            <v>2007-1</v>
          </cell>
          <cell r="B51">
            <v>163.84913591779542</v>
          </cell>
          <cell r="C51">
            <v>145.0283378746594</v>
          </cell>
          <cell r="D51">
            <v>145.0283378746594</v>
          </cell>
          <cell r="E51">
            <v>204.95180722891567</v>
          </cell>
          <cell r="F51">
            <v>125.95920303605313</v>
          </cell>
        </row>
        <row r="52">
          <cell r="A52" t="str">
            <v>2006-4</v>
          </cell>
          <cell r="B52">
            <v>159</v>
          </cell>
          <cell r="C52">
            <v>141</v>
          </cell>
          <cell r="D52">
            <v>141</v>
          </cell>
          <cell r="E52">
            <v>195</v>
          </cell>
          <cell r="F52">
            <v>122</v>
          </cell>
        </row>
        <row r="53">
          <cell r="A53" t="str">
            <v>2006-3</v>
          </cell>
          <cell r="B53">
            <v>149.00125628140702</v>
          </cell>
          <cell r="C53">
            <v>137.95592286501378</v>
          </cell>
          <cell r="D53">
            <v>137.95592286501378</v>
          </cell>
          <cell r="E53">
            <v>169.97231450719823</v>
          </cell>
          <cell r="F53">
            <v>116.21390374331551</v>
          </cell>
        </row>
        <row r="54">
          <cell r="A54" t="str">
            <v>2006-2</v>
          </cell>
          <cell r="B54">
            <v>146.57412060301507</v>
          </cell>
          <cell r="C54">
            <v>136.46831955922866</v>
          </cell>
          <cell r="D54">
            <v>136.46831955922866</v>
          </cell>
          <cell r="E54">
            <v>166.73864894795128</v>
          </cell>
          <cell r="F54">
            <v>115.05882352941177</v>
          </cell>
        </row>
        <row r="55">
          <cell r="A55" t="str">
            <v>2006-1</v>
          </cell>
          <cell r="B55">
            <v>144.04145728643215</v>
          </cell>
          <cell r="C55">
            <v>136.12396694214877</v>
          </cell>
          <cell r="D55">
            <v>136.12396694214877</v>
          </cell>
          <cell r="E55">
            <v>158.32225913621264</v>
          </cell>
          <cell r="F55">
            <v>114.04278074866311</v>
          </cell>
        </row>
        <row r="56">
          <cell r="A56" t="str">
            <v>2005-4</v>
          </cell>
          <cell r="B56">
            <v>138</v>
          </cell>
          <cell r="C56">
            <v>131</v>
          </cell>
          <cell r="D56">
            <v>131</v>
          </cell>
          <cell r="E56">
            <v>155</v>
          </cell>
          <cell r="F56">
            <v>114</v>
          </cell>
        </row>
        <row r="57">
          <cell r="A57" t="str">
            <v>2005-3</v>
          </cell>
          <cell r="B57">
            <v>125.9720430107527</v>
          </cell>
          <cell r="C57">
            <v>125.1883408071749</v>
          </cell>
          <cell r="D57">
            <v>125.1883408071749</v>
          </cell>
          <cell r="E57">
            <v>144.61421319796952</v>
          </cell>
          <cell r="F57">
            <v>108.42008196721311</v>
          </cell>
        </row>
        <row r="58">
          <cell r="A58" t="str">
            <v>2005-2</v>
          </cell>
          <cell r="B58">
            <v>124.29032258064517</v>
          </cell>
          <cell r="C58">
            <v>123.8968609865471</v>
          </cell>
          <cell r="D58">
            <v>123.8968609865471</v>
          </cell>
          <cell r="E58">
            <v>138.00507614213197</v>
          </cell>
          <cell r="F58">
            <v>107.96106557377048</v>
          </cell>
        </row>
        <row r="59">
          <cell r="A59" t="str">
            <v>2005-1</v>
          </cell>
          <cell r="B59">
            <v>122.57204301075269</v>
          </cell>
          <cell r="C59">
            <v>123.4932735426009</v>
          </cell>
          <cell r="D59">
            <v>123.4932735426009</v>
          </cell>
          <cell r="E59">
            <v>129.82233502538071</v>
          </cell>
          <cell r="F59">
            <v>107.39446721311475</v>
          </cell>
        </row>
        <row r="60">
          <cell r="A60" t="str">
            <v>2004-4</v>
          </cell>
          <cell r="B60">
            <v>121</v>
          </cell>
          <cell r="C60">
            <v>122</v>
          </cell>
          <cell r="D60">
            <v>122</v>
          </cell>
          <cell r="E60">
            <v>124</v>
          </cell>
          <cell r="F60">
            <v>107</v>
          </cell>
        </row>
        <row r="61">
          <cell r="A61" t="str">
            <v>2004-3</v>
          </cell>
          <cell r="B61">
            <v>119.51351351351352</v>
          </cell>
          <cell r="C61">
            <v>120.7878787878788</v>
          </cell>
          <cell r="D61">
            <v>120.7878787878788</v>
          </cell>
          <cell r="E61">
            <v>121.5975975975976</v>
          </cell>
          <cell r="F61">
            <v>107</v>
          </cell>
        </row>
        <row r="62">
          <cell r="A62" t="str">
            <v>2004-2</v>
          </cell>
          <cell r="B62">
            <v>116.99099099099099</v>
          </cell>
          <cell r="C62">
            <v>118.84848484848486</v>
          </cell>
          <cell r="D62">
            <v>118.84848484848486</v>
          </cell>
          <cell r="E62">
            <v>117.60960960960961</v>
          </cell>
          <cell r="F62">
            <v>104</v>
          </cell>
        </row>
        <row r="63">
          <cell r="A63" t="str">
            <v>2004-1</v>
          </cell>
          <cell r="B63">
            <v>112.48648648648648</v>
          </cell>
          <cell r="C63">
            <v>115.21212121212122</v>
          </cell>
          <cell r="D63">
            <v>115.21212121212122</v>
          </cell>
          <cell r="E63">
            <v>110.4024024024024</v>
          </cell>
          <cell r="F63">
            <v>104</v>
          </cell>
        </row>
        <row r="64">
          <cell r="A64" t="str">
            <v>2003-4</v>
          </cell>
          <cell r="B64">
            <v>111</v>
          </cell>
          <cell r="C64">
            <v>114</v>
          </cell>
          <cell r="D64">
            <v>114</v>
          </cell>
          <cell r="E64">
            <v>108</v>
          </cell>
          <cell r="F64">
            <v>104</v>
          </cell>
        </row>
        <row r="65">
          <cell r="A65" t="str">
            <v>2003-3</v>
          </cell>
          <cell r="B65">
            <v>109.75</v>
          </cell>
          <cell r="C65">
            <v>112.25</v>
          </cell>
          <cell r="D65">
            <v>112.25</v>
          </cell>
          <cell r="E65">
            <v>107.25</v>
          </cell>
          <cell r="F65">
            <v>103.5</v>
          </cell>
        </row>
        <row r="66">
          <cell r="A66" t="str">
            <v>2003-2</v>
          </cell>
          <cell r="B66">
            <v>108.5</v>
          </cell>
          <cell r="C66">
            <v>110.5</v>
          </cell>
          <cell r="D66">
            <v>110.5</v>
          </cell>
          <cell r="E66">
            <v>106.5</v>
          </cell>
          <cell r="F66">
            <v>103</v>
          </cell>
        </row>
        <row r="67">
          <cell r="A67" t="str">
            <v>2003-1</v>
          </cell>
          <cell r="B67">
            <v>107.25</v>
          </cell>
          <cell r="C67">
            <v>108.75</v>
          </cell>
          <cell r="D67">
            <v>108.75</v>
          </cell>
          <cell r="E67">
            <v>105.75</v>
          </cell>
          <cell r="F67">
            <v>102.5</v>
          </cell>
        </row>
        <row r="68">
          <cell r="A68" t="str">
            <v>2002-4</v>
          </cell>
          <cell r="B68">
            <v>106</v>
          </cell>
          <cell r="C68">
            <v>107</v>
          </cell>
          <cell r="D68">
            <v>107</v>
          </cell>
          <cell r="E68">
            <v>105</v>
          </cell>
          <cell r="F68">
            <v>102</v>
          </cell>
        </row>
        <row r="69">
          <cell r="A69" t="str">
            <v>2002-3</v>
          </cell>
          <cell r="B69">
            <v>105</v>
          </cell>
          <cell r="C69">
            <v>106</v>
          </cell>
          <cell r="D69">
            <v>106</v>
          </cell>
          <cell r="E69">
            <v>104.5</v>
          </cell>
          <cell r="F69">
            <v>101.5</v>
          </cell>
        </row>
        <row r="70">
          <cell r="A70" t="str">
            <v>2002-2</v>
          </cell>
          <cell r="B70">
            <v>104</v>
          </cell>
          <cell r="C70">
            <v>105</v>
          </cell>
          <cell r="D70">
            <v>105</v>
          </cell>
          <cell r="E70">
            <v>104</v>
          </cell>
          <cell r="F70">
            <v>101</v>
          </cell>
        </row>
        <row r="71">
          <cell r="A71" t="str">
            <v>2002-1</v>
          </cell>
          <cell r="B71">
            <v>103</v>
          </cell>
          <cell r="C71">
            <v>104</v>
          </cell>
          <cell r="D71">
            <v>104</v>
          </cell>
          <cell r="E71">
            <v>103.5</v>
          </cell>
          <cell r="F71">
            <v>100.5</v>
          </cell>
        </row>
      </sheetData>
      <sheetData sheetId="19">
        <row r="2">
          <cell r="L2">
            <v>1.9300000000000001E-2</v>
          </cell>
          <cell r="M2">
            <v>1.78E-2</v>
          </cell>
          <cell r="N2">
            <v>1.78E-2</v>
          </cell>
          <cell r="O2">
            <v>1.9900000000000001E-2</v>
          </cell>
          <cell r="P2">
            <v>1.7899999999999999E-2</v>
          </cell>
        </row>
        <row r="17">
          <cell r="A17" t="str">
            <v>2014-3</v>
          </cell>
        </row>
        <row r="18">
          <cell r="A18" t="str">
            <v>2014-2</v>
          </cell>
        </row>
        <row r="19">
          <cell r="A19" t="str">
            <v>2014-1</v>
          </cell>
        </row>
        <row r="20">
          <cell r="A20" t="str">
            <v>2013-4</v>
          </cell>
        </row>
        <row r="21">
          <cell r="A21" t="str">
            <v>2013-3</v>
          </cell>
        </row>
        <row r="22">
          <cell r="A22" t="str">
            <v>2013-2</v>
          </cell>
        </row>
        <row r="23">
          <cell r="A23" t="str">
            <v>2013-1</v>
          </cell>
        </row>
        <row r="24">
          <cell r="A24" t="str">
            <v>2012-4</v>
          </cell>
        </row>
        <row r="25">
          <cell r="A25" t="str">
            <v>2012-3</v>
          </cell>
        </row>
        <row r="26">
          <cell r="A26" t="str">
            <v>2012-2</v>
          </cell>
        </row>
        <row r="27">
          <cell r="A27" t="str">
            <v>2012-1</v>
          </cell>
        </row>
        <row r="28">
          <cell r="A28" t="str">
            <v>2011-4</v>
          </cell>
        </row>
        <row r="29">
          <cell r="A29" t="str">
            <v>2011-3</v>
          </cell>
        </row>
        <row r="30">
          <cell r="A30" t="str">
            <v>2011-2</v>
          </cell>
        </row>
        <row r="31">
          <cell r="A31" t="str">
            <v>2011-1</v>
          </cell>
        </row>
        <row r="32">
          <cell r="A32" t="str">
            <v>2010-4</v>
          </cell>
        </row>
        <row r="33">
          <cell r="A33" t="str">
            <v>2010-3</v>
          </cell>
        </row>
        <row r="34">
          <cell r="A34" t="str">
            <v>2010-2</v>
          </cell>
        </row>
        <row r="35">
          <cell r="A35" t="str">
            <v>2010-1</v>
          </cell>
        </row>
        <row r="36">
          <cell r="A36" t="str">
            <v>2009-4</v>
          </cell>
        </row>
        <row r="37">
          <cell r="A37" t="str">
            <v>2009-3</v>
          </cell>
        </row>
        <row r="38">
          <cell r="A38" t="str">
            <v>2009-2</v>
          </cell>
        </row>
        <row r="39">
          <cell r="A39" t="str">
            <v>2009-1</v>
          </cell>
        </row>
        <row r="40">
          <cell r="A40" t="str">
            <v>2008-4</v>
          </cell>
        </row>
        <row r="41">
          <cell r="A41" t="str">
            <v>2008-3</v>
          </cell>
        </row>
        <row r="42">
          <cell r="A42" t="str">
            <v>2008-2</v>
          </cell>
        </row>
        <row r="43">
          <cell r="A43" t="str">
            <v>2008-1</v>
          </cell>
        </row>
        <row r="44">
          <cell r="A44" t="str">
            <v>2007-4</v>
          </cell>
        </row>
        <row r="45">
          <cell r="A45" t="str">
            <v>2007-3</v>
          </cell>
        </row>
        <row r="46">
          <cell r="A46" t="str">
            <v>2007-2</v>
          </cell>
        </row>
        <row r="47">
          <cell r="A47" t="str">
            <v>2007-1</v>
          </cell>
        </row>
        <row r="48">
          <cell r="A48" t="str">
            <v>2006-4</v>
          </cell>
        </row>
        <row r="49">
          <cell r="A49" t="str">
            <v>2006-3</v>
          </cell>
        </row>
        <row r="50">
          <cell r="A50" t="str">
            <v>2006-2</v>
          </cell>
        </row>
        <row r="51">
          <cell r="A51" t="str">
            <v>2006-1</v>
          </cell>
        </row>
        <row r="52">
          <cell r="A52" t="str">
            <v>2005-4</v>
          </cell>
        </row>
        <row r="53">
          <cell r="A53" t="str">
            <v>2005-3</v>
          </cell>
        </row>
        <row r="54">
          <cell r="A54" t="str">
            <v>2005-2</v>
          </cell>
        </row>
        <row r="55">
          <cell r="A55" t="str">
            <v>2005-1</v>
          </cell>
        </row>
        <row r="56">
          <cell r="A56" t="str">
            <v>2004-4</v>
          </cell>
        </row>
        <row r="57">
          <cell r="A57" t="str">
            <v>2004-3</v>
          </cell>
        </row>
        <row r="58">
          <cell r="A58" t="str">
            <v>2004-2</v>
          </cell>
        </row>
        <row r="59">
          <cell r="A59" t="str">
            <v>2004-1</v>
          </cell>
        </row>
        <row r="60">
          <cell r="A60" t="str">
            <v>2003-4</v>
          </cell>
        </row>
        <row r="61">
          <cell r="A61" t="str">
            <v>2003-3</v>
          </cell>
        </row>
        <row r="62">
          <cell r="A62" t="str">
            <v>2003-2</v>
          </cell>
        </row>
        <row r="63">
          <cell r="A63" t="str">
            <v>2003-1</v>
          </cell>
        </row>
        <row r="64">
          <cell r="A64" t="str">
            <v>2002-4</v>
          </cell>
        </row>
        <row r="65">
          <cell r="A65" t="str">
            <v>2002-3</v>
          </cell>
        </row>
        <row r="66">
          <cell r="A66" t="str">
            <v>2002-2</v>
          </cell>
        </row>
        <row r="67">
          <cell r="A67" t="str">
            <v>2002-1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t="str">
        <f>'预评函-封皮'!B12</f>
        <v>总参谋部和平村退休干部住房建设工程指挥部</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估价对象为北京市房地产，为所有。根据《不动产权证书》[]，估价对象建筑面积为91.5平方米，（分摊）出让国有建设用地使用权面积为0平方米。估价对象用途为。</v>
      </c>
    </row>
    <row r="8" spans="1:2">
      <c r="A8" s="1702" t="s">
        <v>1114</v>
      </c>
      <c r="B8" s="1689" t="str">
        <f>'预评函-1'!A8</f>
        <v>为估价委托人了解估价对象房地产市场价值提供参考依据。</v>
      </c>
    </row>
    <row r="9" spans="1:2">
      <c r="A9" s="1702" t="s">
        <v>1115</v>
      </c>
      <c r="B9" s="1689" t="str">
        <f>'预评函-1'!A10</f>
        <v>2009年6月26日</v>
      </c>
    </row>
    <row r="10" spans="1:2">
      <c r="A10" s="1702" t="s">
        <v>1116</v>
      </c>
      <c r="B10" s="1689" t="str">
        <f>'预评函-1'!A13</f>
        <v>本次估价的“房地产价值”是指在正常市场情况下，在价值时点2009年6月26日，估价对象规划用途为，假定未设立法定优先受偿款下的房地产市场价值。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本次评估采用的主估价方法为基准地价系数修正法和基准地价系数修正法。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91.5</v>
      </c>
    </row>
    <row r="19" spans="1:2">
      <c r="A19" s="1702" t="s">
        <v>1125</v>
      </c>
      <c r="B19" s="1689">
        <f ca="1">'预评函-2（1）'!D7</f>
        <v>36839535</v>
      </c>
    </row>
    <row r="20" spans="1:2">
      <c r="A20" s="1702" t="s">
        <v>1163</v>
      </c>
      <c r="B20" s="1689" t="str">
        <f>'预评函-2（1）'!C7</f>
        <v>总价（元）</v>
      </c>
    </row>
    <row r="21" spans="1:2">
      <c r="A21" s="1702" t="s">
        <v>1126</v>
      </c>
      <c r="B21" s="1689">
        <f ca="1">'预评函-2（1）'!D9</f>
        <v>12769</v>
      </c>
    </row>
    <row r="22" spans="1:2">
      <c r="A22" s="1702" t="s">
        <v>1127</v>
      </c>
      <c r="B22" s="1689" t="str">
        <f ca="1">'预评函-2（1）'!D8</f>
        <v>叁仟陆佰捌拾叁万玖仟伍佰叁拾伍元整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36839535</v>
      </c>
    </row>
    <row r="30" spans="1:2">
      <c r="A30" s="1702" t="s">
        <v>1133</v>
      </c>
      <c r="B30" s="1689" t="str">
        <f ca="1">'预评函-2（1）'!D16</f>
        <v>叁仟陆佰捌拾叁万玖仟伍佰叁拾伍元整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'预评函-2（2）'!D4</f>
        <v>0</v>
      </c>
    </row>
    <row r="38" spans="1:2">
      <c r="A38" s="1702" t="s">
        <v>1141</v>
      </c>
      <c r="B38" s="1689">
        <f>'预评函-2（2）'!E4</f>
        <v>0</v>
      </c>
    </row>
    <row r="39" spans="1:2">
      <c r="A39" s="1702" t="s">
        <v>1142</v>
      </c>
      <c r="B39" s="1689" t="str">
        <f>'预评函-2（2）'!D5</f>
        <v>零元整</v>
      </c>
    </row>
    <row r="40" spans="1:2">
      <c r="A40" s="1702" t="s">
        <v>1143</v>
      </c>
      <c r="B40" s="1689">
        <f>'预评函-2（2）'!F4</f>
        <v>0</v>
      </c>
    </row>
    <row r="41" spans="1:2">
      <c r="A41" s="1702" t="s">
        <v>1144</v>
      </c>
      <c r="B41" s="1689">
        <f>'预评函-2（2）'!G4</f>
        <v>0</v>
      </c>
    </row>
    <row r="42" spans="1:2" s="1699" customFormat="1" ht="15.75" thickBot="1">
      <c r="A42" s="1703" t="s">
        <v>1145</v>
      </c>
      <c r="B42" s="1691" t="str">
        <f>'预评函-2（2）'!F5</f>
        <v>零元整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12769</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21" sqref="F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43277</v>
      </c>
      <c r="C2" s="1999" t="s">
        <v>1546</v>
      </c>
      <c r="D2" s="1088">
        <v>39990</v>
      </c>
      <c r="E2" s="1064"/>
      <c r="F2" s="1064"/>
      <c r="G2" s="1683"/>
      <c r="H2" s="1020"/>
    </row>
    <row r="3" spans="1:10" ht="13.5" thickBot="1">
      <c r="A3" s="2000" t="s">
        <v>1547</v>
      </c>
      <c r="B3" s="2001" t="s">
        <v>2814</v>
      </c>
      <c r="C3" s="1065">
        <f ca="1">SUMIF(注册房地产估价师,B3,估价师及机构信息!B3:B24)</f>
        <v>1120060040</v>
      </c>
      <c r="D3" s="2001" t="s">
        <v>2813</v>
      </c>
      <c r="E3" s="1066">
        <f ca="1">SUMIF(注册房地产估价师,D3,估价师及机构信息!B3:B24)</f>
        <v>1119970111</v>
      </c>
      <c r="F3" s="1067"/>
      <c r="G3" s="1684"/>
      <c r="H3" s="1020"/>
    </row>
    <row r="4" spans="1:10" ht="13.5" customHeight="1" thickTop="1">
      <c r="A4" s="2002" t="s">
        <v>1548</v>
      </c>
      <c r="B4" s="3197" t="s">
        <v>3081</v>
      </c>
      <c r="C4" s="2003" t="s">
        <v>1549</v>
      </c>
      <c r="D4" s="2004" t="s">
        <v>3082</v>
      </c>
      <c r="E4" s="1064"/>
      <c r="F4" s="1064"/>
      <c r="G4" s="1683"/>
    </row>
    <row r="5" spans="1:10">
      <c r="A5" s="2005" t="s">
        <v>1550</v>
      </c>
      <c r="B5" s="2006"/>
      <c r="C5" s="2007" t="s">
        <v>1551</v>
      </c>
      <c r="D5" s="2008" t="s">
        <v>3083</v>
      </c>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3084</v>
      </c>
      <c r="C6" s="3198" t="s">
        <v>3085</v>
      </c>
      <c r="D6" s="2014" t="s">
        <v>1554</v>
      </c>
      <c r="E6" s="1022"/>
      <c r="F6" s="1021"/>
      <c r="G6" s="1074"/>
      <c r="I6" s="1070" t="str">
        <f>IF(COUNTIF(B5,"*上海银行*"),"上海银行","")</f>
        <v/>
      </c>
    </row>
    <row r="7" spans="1:10" ht="13.5" thickBot="1">
      <c r="A7" s="2000" t="s">
        <v>1555</v>
      </c>
      <c r="B7" s="2015" t="s">
        <v>3086</v>
      </c>
      <c r="C7" s="2016" t="str">
        <f>IF(B7="自然人","姓名","名称")</f>
        <v>名称</v>
      </c>
      <c r="D7" s="2017"/>
      <c r="E7" s="1068"/>
      <c r="F7" s="1067"/>
      <c r="G7" s="1684"/>
    </row>
    <row r="8" spans="1:10" ht="13.5" thickTop="1">
      <c r="A8" s="2782" t="s">
        <v>1556</v>
      </c>
      <c r="B8" s="2018" t="s">
        <v>1557</v>
      </c>
      <c r="C8" s="2795"/>
      <c r="D8" s="2796"/>
      <c r="E8" s="2019" t="s">
        <v>1558</v>
      </c>
      <c r="F8" s="2020" t="s">
        <v>1559</v>
      </c>
      <c r="G8" s="690" t="str">
        <f>C6</f>
        <v>朝阳区和平村</v>
      </c>
    </row>
    <row r="9" spans="1:10">
      <c r="A9" s="2782"/>
      <c r="B9" s="344" t="s">
        <v>1560</v>
      </c>
      <c r="C9" s="2006"/>
      <c r="D9" s="2021"/>
      <c r="E9" s="1010" t="s">
        <v>1561</v>
      </c>
      <c r="F9" s="996" t="s">
        <v>399</v>
      </c>
      <c r="G9" s="1012"/>
    </row>
    <row r="10" spans="1:10" ht="13.5" thickBot="1">
      <c r="A10" s="2782"/>
      <c r="B10" s="344" t="s">
        <v>1562</v>
      </c>
      <c r="C10" s="2797"/>
      <c r="D10" s="2798"/>
      <c r="E10" s="2022" t="s">
        <v>1563</v>
      </c>
      <c r="F10" s="1013" t="s">
        <v>258</v>
      </c>
      <c r="G10" s="1014"/>
    </row>
    <row r="11" spans="1:10" ht="13.5" thickBot="1">
      <c r="A11" s="2782"/>
      <c r="B11" s="2023" t="s">
        <v>1564</v>
      </c>
      <c r="C11" s="2799"/>
      <c r="D11" s="2800"/>
      <c r="E11" s="1022"/>
      <c r="F11" s="1021"/>
      <c r="G11" s="1074"/>
    </row>
    <row r="12" spans="1:10" ht="24.75" thickBot="1">
      <c r="A12" s="2786" t="s">
        <v>1565</v>
      </c>
      <c r="B12" s="2024" t="s">
        <v>1566</v>
      </c>
      <c r="C12" s="1016">
        <v>91.5</v>
      </c>
      <c r="D12" s="2024" t="s">
        <v>1567</v>
      </c>
      <c r="E12" s="2025" t="s">
        <v>1568</v>
      </c>
      <c r="F12" s="2026" t="s">
        <v>1569</v>
      </c>
      <c r="G12" s="1074"/>
    </row>
    <row r="13" spans="1:10" ht="21" customHeight="1" thickBot="1">
      <c r="A13" s="2787"/>
      <c r="B13" s="2027" t="s">
        <v>1570</v>
      </c>
      <c r="C13" s="1017">
        <v>0</v>
      </c>
      <c r="D13" s="2027" t="s">
        <v>1571</v>
      </c>
      <c r="E13" s="2028" t="s">
        <v>1568</v>
      </c>
      <c r="F13" s="1021"/>
      <c r="G13" s="1074"/>
      <c r="I13" s="2805"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05"/>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v>6.4</v>
      </c>
      <c r="D15" s="1067"/>
      <c r="E15" s="1067"/>
      <c r="F15" s="1067"/>
      <c r="G15" s="1684"/>
      <c r="I15" s="2805"/>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01" t="s">
        <v>1579</v>
      </c>
      <c r="C17" s="2802"/>
      <c r="D17" s="2803" t="s">
        <v>1580</v>
      </c>
      <c r="E17" s="2804"/>
      <c r="F17" s="2041" t="s">
        <v>1581</v>
      </c>
      <c r="G17" s="2042"/>
      <c r="J17" s="1020"/>
    </row>
    <row r="18" spans="1:15" ht="24">
      <c r="A18" s="2040"/>
      <c r="B18" s="2043" t="s">
        <v>1582</v>
      </c>
      <c r="C18" s="2011"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789" t="s">
        <v>1596</v>
      </c>
      <c r="D27" s="2790"/>
      <c r="E27" s="1004"/>
      <c r="F27" s="1011" t="s">
        <v>1596</v>
      </c>
      <c r="G27" s="1004"/>
      <c r="I27" s="1071"/>
      <c r="K27" s="1071"/>
    </row>
    <row r="28" spans="1:15">
      <c r="A28" s="1008" t="s">
        <v>1597</v>
      </c>
      <c r="B28" s="978"/>
      <c r="C28" s="2791" t="s">
        <v>1598</v>
      </c>
      <c r="D28" s="2792"/>
      <c r="E28" s="978"/>
      <c r="F28" s="1894" t="s">
        <v>1598</v>
      </c>
      <c r="G28" s="978"/>
      <c r="I28" s="1071"/>
      <c r="K28" s="1071"/>
    </row>
    <row r="29" spans="1:15">
      <c r="A29" s="1008" t="s">
        <v>1599</v>
      </c>
      <c r="B29" s="978"/>
      <c r="C29" s="2791" t="s">
        <v>1599</v>
      </c>
      <c r="D29" s="2792"/>
      <c r="E29" s="978"/>
      <c r="F29" s="1894" t="s">
        <v>1600</v>
      </c>
      <c r="G29" s="978"/>
      <c r="I29" s="1071"/>
      <c r="K29" s="1071"/>
    </row>
    <row r="30" spans="1:15">
      <c r="A30" s="1008" t="s">
        <v>1601</v>
      </c>
      <c r="B30" s="978"/>
      <c r="C30" s="2811" t="s">
        <v>1602</v>
      </c>
      <c r="D30" s="2066"/>
      <c r="E30" s="1023" t="str">
        <f>E31&amp;" "&amp;E32&amp;" "&amp;E33&amp;" "&amp;E34</f>
        <v xml:space="preserve">   </v>
      </c>
      <c r="F30" s="1894" t="s">
        <v>1603</v>
      </c>
      <c r="G30" s="978"/>
    </row>
    <row r="31" spans="1:15">
      <c r="A31" s="1008" t="s">
        <v>1604</v>
      </c>
      <c r="B31" s="978"/>
      <c r="C31" s="2812"/>
      <c r="D31" s="1893" t="s">
        <v>1605</v>
      </c>
      <c r="E31" s="978"/>
      <c r="F31" s="1894" t="s">
        <v>1606</v>
      </c>
      <c r="G31" s="978"/>
    </row>
    <row r="32" spans="1:15" ht="24.75" thickBot="1">
      <c r="A32" s="1009" t="s">
        <v>1607</v>
      </c>
      <c r="B32" s="1005"/>
      <c r="C32" s="2812"/>
      <c r="D32" s="1893" t="s">
        <v>1608</v>
      </c>
      <c r="E32" s="978"/>
      <c r="F32" s="1894" t="s">
        <v>1609</v>
      </c>
      <c r="G32" s="978"/>
    </row>
    <row r="33" spans="1:7">
      <c r="A33" s="1007" t="s">
        <v>1610</v>
      </c>
      <c r="B33" s="1004"/>
      <c r="C33" s="2812"/>
      <c r="D33" s="1893" t="s">
        <v>1611</v>
      </c>
      <c r="E33" s="978"/>
      <c r="F33" s="1894" t="s">
        <v>1612</v>
      </c>
      <c r="G33" s="978"/>
    </row>
    <row r="34" spans="1:7" ht="13.5" thickBot="1">
      <c r="A34" s="1008" t="s">
        <v>1613</v>
      </c>
      <c r="B34" s="978"/>
      <c r="C34" s="2813"/>
      <c r="D34" s="1893" t="s">
        <v>1614</v>
      </c>
      <c r="E34" s="978"/>
      <c r="F34" s="1895" t="s">
        <v>1615</v>
      </c>
      <c r="G34" s="1006"/>
    </row>
    <row r="35" spans="1:7">
      <c r="A35" s="1008" t="s">
        <v>1566</v>
      </c>
      <c r="B35" s="978"/>
      <c r="C35" s="2791" t="s">
        <v>1616</v>
      </c>
      <c r="D35" s="2792"/>
      <c r="E35" s="978"/>
      <c r="F35" s="1019" t="s">
        <v>1617</v>
      </c>
      <c r="G35" s="1004"/>
    </row>
    <row r="36" spans="1:7" ht="13.5" thickBot="1">
      <c r="A36" s="1008" t="s">
        <v>1618</v>
      </c>
      <c r="B36" s="978"/>
      <c r="C36" s="2793" t="s">
        <v>1619</v>
      </c>
      <c r="D36" s="2794"/>
      <c r="E36" s="1005"/>
      <c r="F36" s="1891" t="s">
        <v>1620</v>
      </c>
      <c r="G36" s="978"/>
    </row>
    <row r="37" spans="1:7" ht="13.5" thickBot="1">
      <c r="A37" s="1008" t="s">
        <v>1621</v>
      </c>
      <c r="B37" s="978"/>
      <c r="C37" s="2783" t="s">
        <v>1622</v>
      </c>
      <c r="D37" s="2067" t="s">
        <v>1606</v>
      </c>
      <c r="E37" s="1004"/>
      <c r="F37" s="1895" t="s">
        <v>1623</v>
      </c>
      <c r="G37" s="1005"/>
    </row>
    <row r="38" spans="1:7">
      <c r="A38" s="1008" t="s">
        <v>1624</v>
      </c>
      <c r="B38" s="978"/>
      <c r="C38" s="2784"/>
      <c r="D38" s="1893" t="s">
        <v>1613</v>
      </c>
      <c r="E38" s="978"/>
      <c r="F38" s="1011" t="s">
        <v>1625</v>
      </c>
      <c r="G38" s="1004"/>
    </row>
    <row r="39" spans="1:7">
      <c r="A39" s="1008" t="s">
        <v>1626</v>
      </c>
      <c r="B39" s="978"/>
      <c r="C39" s="2784" t="s">
        <v>1627</v>
      </c>
      <c r="D39" s="1893" t="s">
        <v>1566</v>
      </c>
      <c r="E39" s="978"/>
      <c r="F39" s="1894" t="s">
        <v>1628</v>
      </c>
      <c r="G39" s="978"/>
    </row>
    <row r="40" spans="1:7" ht="24.75" customHeight="1" thickBot="1">
      <c r="A40" s="1009" t="s">
        <v>1629</v>
      </c>
      <c r="B40" s="1005"/>
      <c r="C40" s="2785"/>
      <c r="D40" s="1896" t="s">
        <v>1570</v>
      </c>
      <c r="E40" s="1005"/>
      <c r="F40" s="1895" t="s">
        <v>1630</v>
      </c>
      <c r="G40" s="1005"/>
    </row>
    <row r="41" spans="1:7">
      <c r="A41" s="1010" t="s">
        <v>1631</v>
      </c>
      <c r="B41" s="1060"/>
      <c r="C41" s="2806" t="s">
        <v>1631</v>
      </c>
      <c r="D41" s="2807"/>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08" t="s">
        <v>1634</v>
      </c>
      <c r="D48" s="2809"/>
      <c r="E48" s="1055"/>
      <c r="F48" s="1895" t="s">
        <v>1635</v>
      </c>
      <c r="G48" s="1005"/>
    </row>
    <row r="49" spans="1:15">
      <c r="A49" s="1008" t="s">
        <v>1636</v>
      </c>
      <c r="B49" s="1054"/>
      <c r="C49" s="2783" t="s">
        <v>1637</v>
      </c>
      <c r="D49" s="2810"/>
      <c r="E49" s="1056"/>
      <c r="F49" s="1084"/>
      <c r="G49" s="1085"/>
    </row>
    <row r="50" spans="1:15" ht="13.5" thickBot="1">
      <c r="A50" s="1008" t="s">
        <v>1638</v>
      </c>
      <c r="B50" s="1054"/>
      <c r="C50" s="2785" t="s">
        <v>1639</v>
      </c>
      <c r="D50" s="2788"/>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4" t="s">
        <v>0</v>
      </c>
      <c r="B1" s="2814" t="s">
        <v>2</v>
      </c>
      <c r="C1" s="2814" t="s">
        <v>3</v>
      </c>
      <c r="D1" s="2815" t="s">
        <v>67</v>
      </c>
      <c r="E1" s="2815" t="s">
        <v>68</v>
      </c>
      <c r="F1" s="2815"/>
      <c r="G1" s="2815"/>
      <c r="H1" s="2815"/>
      <c r="I1" s="2815"/>
      <c r="J1" s="2815"/>
      <c r="K1" s="2815"/>
      <c r="L1" s="2815"/>
      <c r="M1" s="2815"/>
    </row>
    <row r="2" spans="1:13" ht="27" customHeight="1">
      <c r="A2" s="2814"/>
      <c r="B2" s="2814"/>
      <c r="C2" s="2814"/>
      <c r="D2" s="2815"/>
      <c r="E2" s="2815" t="s">
        <v>51</v>
      </c>
      <c r="F2" s="2815" t="s">
        <v>52</v>
      </c>
      <c r="G2" s="2815"/>
      <c r="H2" s="2815"/>
      <c r="I2" s="2815"/>
      <c r="J2" s="2815" t="s">
        <v>53</v>
      </c>
      <c r="K2" s="2815"/>
      <c r="L2" s="2815"/>
      <c r="M2" s="2815"/>
    </row>
    <row r="3" spans="1:13" ht="28.5">
      <c r="A3" s="2814"/>
      <c r="B3" s="2814"/>
      <c r="C3" s="2814"/>
      <c r="D3" s="2815"/>
      <c r="E3" s="28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5" t="s">
        <v>69</v>
      </c>
      <c r="B9" s="2815"/>
      <c r="C9" s="28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39990</v>
      </c>
      <c r="C2" s="1855"/>
      <c r="D2" s="2816"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3329</v>
      </c>
      <c r="C3" s="1855"/>
      <c r="D3" s="2817"/>
      <c r="E3" s="1188" t="s">
        <v>3331</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1645</v>
      </c>
      <c r="B4" s="2077" t="s">
        <v>3330</v>
      </c>
      <c r="C4" s="1855"/>
      <c r="D4" s="2817"/>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1646</v>
      </c>
      <c r="B5" s="1318">
        <f>项目基本情况!C12</f>
        <v>91.5</v>
      </c>
      <c r="C5" s="1855"/>
      <c r="D5" s="2079" t="s">
        <v>1647</v>
      </c>
      <c r="E5" s="393">
        <v>91.5</v>
      </c>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1648</v>
      </c>
      <c r="B6" s="1319">
        <f>项目基本情况!C13</f>
        <v>0</v>
      </c>
      <c r="C6" s="1855"/>
      <c r="D6" s="2079" t="s">
        <v>1649</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1650</v>
      </c>
      <c r="B10" s="2084" t="s">
        <v>3088</v>
      </c>
      <c r="C10" s="1855"/>
      <c r="D10" s="2073" t="s">
        <v>1651</v>
      </c>
      <c r="E10" s="2085" t="s">
        <v>1652</v>
      </c>
      <c r="F10" s="1145"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1654</v>
      </c>
      <c r="B11" s="990">
        <v>70</v>
      </c>
      <c r="C11" s="1855"/>
      <c r="D11" s="2087" t="s">
        <v>1655</v>
      </c>
      <c r="E11" s="34">
        <v>160</v>
      </c>
      <c r="F11" s="1854" t="s">
        <v>1656</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1657</v>
      </c>
      <c r="B12" s="2091">
        <v>65556</v>
      </c>
      <c r="C12" s="1855"/>
      <c r="D12" s="2092" t="s">
        <v>1658</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1659</v>
      </c>
      <c r="B13" s="991">
        <f>IF(B12="",B11-(YEAR($B$2)-B26+B23),ROUNDDOWN(MIN((B12-$B$2)/365,B11),2))</f>
        <v>70</v>
      </c>
      <c r="C13" s="2094"/>
      <c r="D13" s="2095" t="s">
        <v>1660</v>
      </c>
      <c r="E13" s="39">
        <f>成本法!C9</f>
        <v>14640</v>
      </c>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1662</v>
      </c>
      <c r="B14" s="992">
        <f>IF(ISERROR(ROUND(POWER(1+B15,B11-B13)*(POWER(1+B15,B13)-1)/(POWER(1+B15,B11)-1),3)),0,ROUND(POWER(1+B15,B11-B13)*(POWER(1+B15,B13)-1)/(POWER(1+B15,B11)-1),3))</f>
        <v>1</v>
      </c>
      <c r="C14" s="1855"/>
      <c r="D14" s="2096"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1664</v>
      </c>
      <c r="B15" s="30">
        <v>0.03</v>
      </c>
      <c r="C15" s="1855"/>
      <c r="D15" s="2092"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1666</v>
      </c>
      <c r="B16" s="30">
        <v>0.04</v>
      </c>
      <c r="C16" s="1855"/>
      <c r="D16" s="2097"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1668</v>
      </c>
      <c r="B17" s="997">
        <v>7.0000000000000007E-2</v>
      </c>
      <c r="C17" s="1855"/>
      <c r="D17" s="2083" t="s">
        <v>1669</v>
      </c>
      <c r="E17" s="985">
        <f>2310</f>
        <v>2310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211365</v>
      </c>
      <c r="F18" s="1320">
        <f>ROUND(E5*E17*IF(B25=0,1,E20),0)</f>
        <v>211365</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1670</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1671</v>
      </c>
      <c r="B20" s="31">
        <v>0</v>
      </c>
      <c r="C20" s="1855"/>
      <c r="D20" s="2101" t="str">
        <f>IF(B25=0,"成新率","工程进度")</f>
        <v>成新率</v>
      </c>
      <c r="E20" s="987">
        <v>1</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1672</v>
      </c>
      <c r="B21" s="32">
        <v>2</v>
      </c>
      <c r="C21" s="1855"/>
      <c r="D21" s="2092" t="s">
        <v>1673</v>
      </c>
      <c r="E21" s="711">
        <v>0.03</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1675</v>
      </c>
      <c r="B22" s="1454">
        <v>2</v>
      </c>
      <c r="C22" s="1855"/>
      <c r="D22" s="2092" t="s">
        <v>1676</v>
      </c>
      <c r="E22" s="40">
        <v>0.05</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1678</v>
      </c>
      <c r="B23" s="33">
        <f>B20+B21</f>
        <v>2</v>
      </c>
      <c r="C23" s="1855"/>
      <c r="D23" s="2092"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1681</v>
      </c>
      <c r="B24" s="1742">
        <f>B20+B22</f>
        <v>2</v>
      </c>
      <c r="C24" s="1855"/>
      <c r="D24" s="2097"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1684</v>
      </c>
      <c r="B25" s="1453">
        <f>B21-B22</f>
        <v>0</v>
      </c>
      <c r="C25" s="1237"/>
      <c r="D25" s="2087" t="s">
        <v>1685</v>
      </c>
      <c r="E25" s="711">
        <v>0.02</v>
      </c>
      <c r="F25" s="1852" t="s">
        <v>1686</v>
      </c>
      <c r="I25" s="1853"/>
      <c r="AE25" s="1237"/>
      <c r="AF25" s="1237"/>
      <c r="AG25" s="1237"/>
      <c r="AH25" s="1237"/>
      <c r="AI25" s="1237"/>
      <c r="AJ25" s="1237"/>
      <c r="AK25" s="1237"/>
      <c r="AL25" s="1237"/>
      <c r="AM25" s="1237"/>
      <c r="AN25" s="1237"/>
      <c r="AO25" s="1237"/>
    </row>
    <row r="26" spans="1:41" ht="15.75" thickBot="1">
      <c r="A26" s="2106" t="s">
        <v>1687</v>
      </c>
      <c r="B26" s="1094">
        <v>2009</v>
      </c>
      <c r="C26" s="1855"/>
      <c r="D26" s="2092" t="s">
        <v>1688</v>
      </c>
      <c r="E26" s="40">
        <v>0.01</v>
      </c>
      <c r="F26" s="1852" t="s">
        <v>1686</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1689</v>
      </c>
      <c r="E27" s="352">
        <f ca="1">存贷款利率!G1</f>
        <v>5.4000000000000006E-2</v>
      </c>
      <c r="F27" s="1852" t="s">
        <v>1690</v>
      </c>
      <c r="G27" s="2075"/>
      <c r="H27" s="2075"/>
      <c r="K27" s="1855"/>
      <c r="N27" s="1855"/>
      <c r="AE27" s="1237"/>
      <c r="AF27" s="1237"/>
      <c r="AG27" s="1237"/>
      <c r="AH27" s="1237"/>
      <c r="AI27" s="1237"/>
      <c r="AJ27" s="1237"/>
      <c r="AK27" s="1237"/>
      <c r="AL27" s="1237"/>
      <c r="AM27" s="1237"/>
      <c r="AN27" s="1237"/>
      <c r="AO27" s="1237"/>
    </row>
    <row r="28" spans="1:41" ht="15" thickBot="1">
      <c r="A28" s="2107" t="s">
        <v>1691</v>
      </c>
      <c r="B28" s="2108" t="s">
        <v>3332</v>
      </c>
      <c r="C28" s="1237"/>
      <c r="D28" s="2109" t="s">
        <v>1692</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c r="C29" s="1237"/>
      <c r="D29" s="2096" t="s">
        <v>1693</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1694</v>
      </c>
      <c r="B30" s="1419">
        <f ca="1">存贷款利率!I1</f>
        <v>2.2499999999999999E-2</v>
      </c>
      <c r="C30" s="1237"/>
      <c r="D30" s="2110" t="s">
        <v>1695</v>
      </c>
      <c r="E30" s="41">
        <v>0.05</v>
      </c>
      <c r="F30" s="1860">
        <f>IF(B2&lt;DATE(2016,5,1),0,E30)</f>
        <v>0</v>
      </c>
      <c r="G30" s="2075"/>
      <c r="H30" s="2075"/>
      <c r="K30" s="1855"/>
      <c r="N30" s="1855"/>
      <c r="AE30" s="1237"/>
      <c r="AF30" s="1237"/>
      <c r="AG30" s="1237"/>
      <c r="AH30" s="1237"/>
      <c r="AI30" s="1237"/>
      <c r="AJ30" s="1237"/>
      <c r="AK30" s="1237"/>
      <c r="AL30" s="1237"/>
      <c r="AM30" s="1237"/>
      <c r="AN30" s="1237"/>
      <c r="AO30" s="1237"/>
    </row>
    <row r="31" spans="1:41" ht="14.25">
      <c r="A31" s="2090" t="s">
        <v>1696</v>
      </c>
      <c r="B31" s="30"/>
      <c r="C31" s="1237"/>
      <c r="D31" s="2110" t="s">
        <v>1697</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1698</v>
      </c>
      <c r="B32" s="30"/>
      <c r="C32" s="1237"/>
      <c r="D32" s="2111" t="s">
        <v>1699</v>
      </c>
      <c r="E32" s="43">
        <v>7.0000000000000007E-2</v>
      </c>
      <c r="F32" s="1847" t="s">
        <v>1700</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1701</v>
      </c>
      <c r="B33" s="1380">
        <f>收益法!J54</f>
        <v>68</v>
      </c>
      <c r="C33" s="1237"/>
      <c r="D33" s="2111" t="s">
        <v>1702</v>
      </c>
      <c r="E33" s="41">
        <v>0.03</v>
      </c>
      <c r="F33" s="1846" t="s">
        <v>1703</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1704</v>
      </c>
      <c r="E34" s="41">
        <v>0.02</v>
      </c>
      <c r="F34" s="1846" t="s">
        <v>1705</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1706</v>
      </c>
      <c r="B35" s="994"/>
      <c r="C35" s="1237"/>
      <c r="D35" s="2115" t="s">
        <v>1707</v>
      </c>
      <c r="E35" s="44"/>
      <c r="F35" s="1854" t="s">
        <v>1708</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1709</v>
      </c>
      <c r="E36" s="45">
        <v>0.03</v>
      </c>
      <c r="F36" s="1850" t="s">
        <v>1710</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1711</v>
      </c>
      <c r="E37" s="41">
        <v>5.0000000000000001E-4</v>
      </c>
      <c r="F37" s="1850" t="s">
        <v>1712</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1713</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1714</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1715</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1716</v>
      </c>
      <c r="B41" s="1000"/>
      <c r="C41" s="1237"/>
      <c r="D41" s="2092" t="s">
        <v>1717</v>
      </c>
      <c r="E41" s="2120"/>
      <c r="F41" s="1848" t="s">
        <v>1718</v>
      </c>
      <c r="G41" s="2121" t="s">
        <v>1719</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1720</v>
      </c>
      <c r="B42" s="993">
        <v>12</v>
      </c>
      <c r="C42" s="1237"/>
      <c r="D42" s="2122" t="s">
        <v>1721</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1722</v>
      </c>
      <c r="B43" s="29"/>
      <c r="C43" s="1237"/>
      <c r="D43" s="2122" t="s">
        <v>1723</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1724</v>
      </c>
      <c r="B44" s="1001"/>
      <c r="C44" s="1237" t="s">
        <v>969</v>
      </c>
      <c r="D44" s="2122" t="s">
        <v>1725</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1726</v>
      </c>
      <c r="B45" s="1002"/>
      <c r="C45" s="1237" t="s">
        <v>970</v>
      </c>
      <c r="D45" s="2122" t="s">
        <v>1727</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1728</v>
      </c>
      <c r="B46" s="1003"/>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1729</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1730</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1731</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1732</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1733</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G18" sqref="G18"/>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18" t="s">
        <v>1734</v>
      </c>
      <c r="B1" s="2819"/>
      <c r="C1" s="2819"/>
      <c r="D1" s="2819"/>
      <c r="E1" s="2819"/>
      <c r="F1" s="2819"/>
      <c r="G1" s="2819"/>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1735</v>
      </c>
      <c r="D2" s="2137"/>
      <c r="E2" s="2138"/>
      <c r="F2" s="2139"/>
      <c r="G2" s="2136" t="s">
        <v>1736</v>
      </c>
      <c r="H2" s="2140"/>
      <c r="I2" s="2140"/>
      <c r="J2" s="2140"/>
      <c r="K2" s="2140"/>
      <c r="L2" s="2140"/>
      <c r="M2" s="2140"/>
      <c r="N2" s="2140"/>
      <c r="O2" s="2140"/>
      <c r="P2" s="2140"/>
      <c r="Q2" s="2140"/>
      <c r="R2" s="2140"/>
    </row>
    <row r="3" spans="1:29" ht="54">
      <c r="A3" s="395" t="s">
        <v>1737</v>
      </c>
      <c r="B3" s="2142" t="s">
        <v>1738</v>
      </c>
      <c r="C3" s="3227" t="s">
        <v>3333</v>
      </c>
      <c r="D3" s="2143"/>
      <c r="E3" s="411" t="s">
        <v>1737</v>
      </c>
      <c r="F3" s="2144" t="s">
        <v>1739</v>
      </c>
      <c r="G3" s="2145" t="s">
        <v>1740</v>
      </c>
      <c r="H3" s="2140"/>
      <c r="I3" s="2140"/>
      <c r="J3" s="2140"/>
      <c r="K3" s="2140"/>
      <c r="L3" s="2140"/>
      <c r="M3" s="2140"/>
      <c r="N3" s="2140"/>
      <c r="O3" s="2140"/>
      <c r="P3" s="2140"/>
      <c r="Q3" s="2140"/>
      <c r="R3" s="2140"/>
    </row>
    <row r="4" spans="1:29" ht="41.25">
      <c r="A4" s="411"/>
      <c r="B4" s="1887" t="s">
        <v>1741</v>
      </c>
      <c r="C4" s="2146" t="s">
        <v>1742</v>
      </c>
      <c r="D4" s="2143"/>
      <c r="E4" s="2147"/>
      <c r="F4" s="2148" t="s">
        <v>1743</v>
      </c>
      <c r="G4" s="2149" t="s">
        <v>1744</v>
      </c>
      <c r="H4" s="2140"/>
      <c r="I4" s="2140"/>
      <c r="J4" s="2140"/>
      <c r="K4" s="2140"/>
      <c r="L4" s="2140"/>
      <c r="M4" s="2140"/>
      <c r="N4" s="2140"/>
      <c r="O4" s="2140"/>
      <c r="P4" s="2140"/>
      <c r="Q4" s="2140"/>
      <c r="R4" s="2140"/>
    </row>
    <row r="5" spans="1:29" ht="41.25">
      <c r="A5" s="411"/>
      <c r="B5" s="1887" t="s">
        <v>1745</v>
      </c>
      <c r="C5" s="2146" t="s">
        <v>1746</v>
      </c>
      <c r="D5" s="2143"/>
      <c r="E5" s="2147"/>
      <c r="F5" s="1887" t="s">
        <v>1747</v>
      </c>
      <c r="G5" s="2149" t="s">
        <v>1748</v>
      </c>
      <c r="H5" s="2140"/>
      <c r="I5" s="2140"/>
      <c r="J5" s="2140"/>
      <c r="K5" s="2140"/>
      <c r="L5" s="2140"/>
      <c r="M5" s="2140"/>
      <c r="N5" s="2140"/>
      <c r="O5" s="2140"/>
      <c r="P5" s="2140"/>
      <c r="Q5" s="2140"/>
      <c r="R5" s="2140"/>
    </row>
    <row r="6" spans="1:29" ht="40.5">
      <c r="A6" s="411"/>
      <c r="B6" s="1887" t="s">
        <v>1749</v>
      </c>
      <c r="C6" s="3228" t="s">
        <v>3334</v>
      </c>
      <c r="D6" s="2143"/>
      <c r="E6" s="2147"/>
      <c r="F6" s="1887" t="s">
        <v>1750</v>
      </c>
      <c r="G6" s="2149" t="s">
        <v>1751</v>
      </c>
      <c r="H6" s="2140"/>
      <c r="I6" s="2140"/>
      <c r="J6" s="2140"/>
      <c r="K6" s="2140"/>
      <c r="L6" s="2140"/>
      <c r="M6" s="2140"/>
      <c r="N6" s="2140"/>
      <c r="O6" s="2140"/>
      <c r="P6" s="2140"/>
      <c r="Q6" s="2140"/>
      <c r="R6" s="2140"/>
    </row>
    <row r="7" spans="1:29" ht="41.25" thickBot="1">
      <c r="A7" s="411"/>
      <c r="B7" s="1887" t="s">
        <v>1747</v>
      </c>
      <c r="C7" s="3228" t="s">
        <v>3336</v>
      </c>
      <c r="D7" s="2150"/>
      <c r="E7" s="2151"/>
      <c r="F7" s="2152" t="s">
        <v>1752</v>
      </c>
      <c r="G7" s="2153" t="s">
        <v>1753</v>
      </c>
      <c r="H7" s="2140"/>
      <c r="I7" s="2140"/>
      <c r="J7" s="2140"/>
      <c r="K7" s="2140"/>
      <c r="L7" s="2140"/>
      <c r="M7" s="2140"/>
      <c r="N7" s="2140"/>
      <c r="O7" s="2140"/>
      <c r="P7" s="2140"/>
      <c r="Q7" s="2140"/>
      <c r="R7" s="2140"/>
    </row>
    <row r="8" spans="1:29" ht="15">
      <c r="A8" s="411"/>
      <c r="B8" s="1887" t="s">
        <v>1750</v>
      </c>
      <c r="C8" s="3228" t="s">
        <v>3335</v>
      </c>
      <c r="D8" s="2150"/>
      <c r="E8" s="2150"/>
      <c r="F8" s="1246"/>
      <c r="G8" s="1246"/>
      <c r="H8" s="2140"/>
      <c r="I8" s="2140"/>
      <c r="J8" s="2140"/>
      <c r="K8" s="2140"/>
      <c r="L8" s="2140"/>
      <c r="M8" s="2140"/>
      <c r="N8" s="2140"/>
      <c r="O8" s="2140"/>
      <c r="P8" s="2140"/>
      <c r="Q8" s="2140"/>
      <c r="R8" s="2140"/>
    </row>
    <row r="9" spans="1:29" ht="40.5">
      <c r="A9" s="411"/>
      <c r="B9" s="1887" t="s">
        <v>1754</v>
      </c>
      <c r="C9" s="3229" t="s">
        <v>3337</v>
      </c>
      <c r="D9" s="2143"/>
      <c r="E9" s="2150"/>
      <c r="F9" s="1246"/>
      <c r="G9" s="1246"/>
      <c r="H9" s="2140"/>
      <c r="I9" s="2140"/>
      <c r="J9" s="2140"/>
      <c r="K9" s="2140"/>
      <c r="L9" s="2140"/>
      <c r="M9" s="2140"/>
      <c r="N9" s="2140"/>
      <c r="O9" s="2140"/>
      <c r="P9" s="2140"/>
      <c r="Q9" s="2140"/>
      <c r="R9" s="2140"/>
    </row>
    <row r="10" spans="1:29" s="35" customFormat="1" ht="15.75" thickBot="1">
      <c r="A10" s="2154"/>
      <c r="B10" s="2155" t="s">
        <v>1755</v>
      </c>
      <c r="C10" s="3230" t="s">
        <v>3338</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1756</v>
      </c>
      <c r="B13" s="2160"/>
      <c r="C13" s="2160"/>
      <c r="D13" s="2137"/>
      <c r="E13" s="2160"/>
      <c r="F13" s="2160"/>
      <c r="G13" s="2160"/>
    </row>
    <row r="14" spans="1:29" ht="15.75" thickBot="1">
      <c r="A14" s="2170"/>
      <c r="B14" s="2171"/>
      <c r="C14" s="2172" t="s">
        <v>1757</v>
      </c>
      <c r="D14" s="2143"/>
      <c r="E14" s="2173"/>
      <c r="F14" s="2173"/>
      <c r="G14" s="2136" t="s">
        <v>1758</v>
      </c>
    </row>
    <row r="15" spans="1:29" ht="57">
      <c r="A15" s="25" t="s">
        <v>1759</v>
      </c>
      <c r="B15" s="2174" t="s">
        <v>1738</v>
      </c>
      <c r="C15" s="2175" t="str">
        <f>C3</f>
        <v>估价对象周边有劲松二区、广和南里二条、劲松六区等，综合评价居住社区成熟度较好</v>
      </c>
      <c r="D15" s="2143"/>
      <c r="E15" s="2176" t="s">
        <v>1760</v>
      </c>
      <c r="F15" s="2174" t="s">
        <v>1761</v>
      </c>
      <c r="G15" s="51" t="str">
        <f>G3</f>
        <v>估价对象位于XX开发区，园区建设成熟度XX，产业集聚程度XX</v>
      </c>
    </row>
    <row r="16" spans="1:29" ht="42.75">
      <c r="A16" s="629"/>
      <c r="B16" s="1493" t="s">
        <v>1741</v>
      </c>
      <c r="C16" s="2177" t="str">
        <f>C4</f>
        <v>估价对象位于XX商圈，周边商业氛围成熟，人流量大，商业繁华度好</v>
      </c>
      <c r="D16" s="2143"/>
      <c r="E16" s="2178"/>
      <c r="F16" s="2179" t="s">
        <v>1743</v>
      </c>
      <c r="G16" s="52" t="str">
        <f>G4</f>
        <v>估价对象周边道路状况、公共交通通达情况、停车便捷程度，综合评价交通便捷度较好</v>
      </c>
    </row>
    <row r="17" spans="1:18" ht="42.75">
      <c r="A17" s="629"/>
      <c r="B17" s="1493" t="s">
        <v>1745</v>
      </c>
      <c r="C17" s="2177" t="str">
        <f>C5</f>
        <v>估价对象位于XX商圈，周边办公楼项目较多，入驻率高，办公集聚程度较好</v>
      </c>
      <c r="D17" s="2150"/>
      <c r="E17" s="2178"/>
      <c r="F17" s="2179" t="s">
        <v>1762</v>
      </c>
      <c r="G17" s="2180"/>
    </row>
    <row r="18" spans="1:18" ht="57">
      <c r="A18" s="629"/>
      <c r="B18" s="2179" t="s">
        <v>1749</v>
      </c>
      <c r="C18" s="52" t="str">
        <f>C6</f>
        <v>估价对象周边有29、34、35路等多条公交线路，综合评价交通便捷度较好</v>
      </c>
      <c r="D18" s="2150"/>
      <c r="E18" s="2178"/>
      <c r="F18" s="2179" t="s">
        <v>1752</v>
      </c>
      <c r="G18" s="52" t="str">
        <f>G7</f>
        <v>该园区内是否有污染型企业，绿化情况，卫生条件，整体环境状况判断</v>
      </c>
    </row>
    <row r="19" spans="1:18" ht="28.5">
      <c r="A19" s="629"/>
      <c r="B19" s="2179" t="s">
        <v>1763</v>
      </c>
      <c r="C19" s="2180"/>
      <c r="D19" s="2143"/>
      <c r="E19" s="2178"/>
      <c r="F19" s="1887" t="s">
        <v>1747</v>
      </c>
      <c r="G19" s="52" t="str">
        <f>G5</f>
        <v>估价对象所在区域公共配套设施齐备情况</v>
      </c>
    </row>
    <row r="20" spans="1:18" ht="28.5">
      <c r="A20" s="629"/>
      <c r="B20" s="2179" t="s">
        <v>1764</v>
      </c>
      <c r="C20" s="2177" t="str">
        <f>C9</f>
        <v>区域自然环境：龙潭湖公园、通惠河；人文环境；综合评价环境状况一般</v>
      </c>
      <c r="D20" s="2150"/>
      <c r="E20" s="2178"/>
      <c r="F20" s="1887" t="s">
        <v>1765</v>
      </c>
      <c r="G20" s="52" t="str">
        <f>G6</f>
        <v>估价对象所在区域基础设施水平</v>
      </c>
    </row>
    <row r="21" spans="1:18" ht="28.5">
      <c r="A21" s="629"/>
      <c r="B21" s="1887" t="s">
        <v>1747</v>
      </c>
      <c r="C21" s="52" t="str">
        <f>C7</f>
        <v>估价对象所在区域公共配套设施齐备情况较好</v>
      </c>
      <c r="D21" s="2143"/>
      <c r="E21" s="2178"/>
      <c r="F21" s="2179" t="s">
        <v>1766</v>
      </c>
      <c r="G21" s="2181"/>
    </row>
    <row r="22" spans="1:18" ht="28.5">
      <c r="A22" s="629"/>
      <c r="B22" s="1887" t="s">
        <v>1750</v>
      </c>
      <c r="C22" s="52" t="str">
        <f>C8</f>
        <v>七通</v>
      </c>
      <c r="D22" s="2143"/>
      <c r="E22" s="2178"/>
      <c r="F22" s="2179" t="s">
        <v>1755</v>
      </c>
      <c r="G22" s="2182"/>
    </row>
    <row r="23" spans="1:18" s="2140" customFormat="1" ht="15.75" thickBot="1">
      <c r="A23" s="629"/>
      <c r="B23" s="2179" t="s">
        <v>1766</v>
      </c>
      <c r="C23" s="2181"/>
      <c r="D23" s="2167"/>
      <c r="E23" s="2183"/>
      <c r="F23" s="2184" t="s">
        <v>1767</v>
      </c>
      <c r="G23" s="2185"/>
      <c r="H23" s="2167"/>
      <c r="I23" s="2168"/>
      <c r="J23" s="2167"/>
      <c r="K23" s="2167"/>
      <c r="L23" s="2168"/>
      <c r="M23" s="2167"/>
      <c r="N23" s="2167"/>
      <c r="O23" s="2168"/>
      <c r="P23" s="2167"/>
      <c r="Q23" s="2167"/>
      <c r="R23" s="2169"/>
    </row>
    <row r="24" spans="1:18" s="2140" customFormat="1" ht="15.75" thickBot="1">
      <c r="A24" s="2186"/>
      <c r="B24" s="2184" t="s">
        <v>1768</v>
      </c>
      <c r="C24" s="53" t="str">
        <f>C10</f>
        <v>城市支路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91.5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39990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116.31480000000001</v>
      </c>
      <c r="C5" s="1830">
        <f ca="1">ROUND(B5*10000/$B$1,0)</f>
        <v>12712</v>
      </c>
      <c r="D5" s="1830" t="e">
        <f ca="1">ROUND(B5*10000/$B$2,0)</f>
        <v>#DIV/0!</v>
      </c>
      <c r="E5" s="1831"/>
      <c r="F5" s="1835"/>
      <c r="G5" s="1835"/>
    </row>
    <row r="6" spans="1:9" ht="16.5">
      <c r="A6" s="1830" t="s">
        <v>1233</v>
      </c>
      <c r="B6" s="1830">
        <f ca="1">SUM(G14:G23)</f>
        <v>116.31480000000001</v>
      </c>
      <c r="C6" s="1830">
        <f t="shared" ref="C6:C8" ca="1" si="0">ROUND(B6*10000/$B$1,0)</f>
        <v>12712</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3629</v>
      </c>
      <c r="B14" s="1834">
        <f>项目基本情况!C12</f>
        <v>91.5</v>
      </c>
      <c r="C14" s="1834">
        <f>项目基本情况!C13</f>
        <v>0</v>
      </c>
      <c r="D14" s="1834">
        <f ca="1">IF('数据-取费表'!B3="万元",IF(A14="估价对象1（结果表）",结果表!H121,'结果表 (1修多)'!H124),IF(A14="估价对象1（结果表）",结果表!H121,'结果表 (1修多)'!H124)/10000)</f>
        <v>116.31480000000001</v>
      </c>
      <c r="E14" s="1834">
        <f ca="1">ROUND(D14*10000/B14,0)</f>
        <v>12712</v>
      </c>
      <c r="F14" s="1834" t="e">
        <f ca="1">ROUND(D14*10000/C14,0)</f>
        <v>#DIV/0!</v>
      </c>
      <c r="G14" s="1834">
        <f ca="1">IF('数据-取费表'!B3="万元",IF(A14="估价对象1（结果表）",结果表!D125,'结果表 (1修多)'!D128),IF(A14="估价对象1（结果表）",结果表!D125,'结果表 (1修多)'!D128)/10000)</f>
        <v>116.31480000000001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1769</v>
      </c>
      <c r="B1" s="2193"/>
      <c r="C1" s="2193"/>
      <c r="D1" s="2193"/>
      <c r="E1" s="2193"/>
      <c r="F1" s="2193"/>
      <c r="G1" s="2193"/>
      <c r="H1" s="2193"/>
      <c r="I1" s="2193"/>
    </row>
    <row r="2" spans="1:12" ht="21.75" customHeight="1">
      <c r="A2" s="2896" t="str">
        <f>项目基本情况!B1</f>
        <v>北京市房地产市场价值预评估</v>
      </c>
      <c r="B2" s="2896"/>
      <c r="C2" s="2896"/>
      <c r="D2" s="2896"/>
      <c r="E2" s="2896"/>
      <c r="F2" s="2896"/>
      <c r="G2" s="2896"/>
      <c r="H2" s="2896"/>
      <c r="I2" s="2896"/>
    </row>
    <row r="3" spans="1:12" ht="12.75">
      <c r="A3" s="2902" t="s">
        <v>1770</v>
      </c>
      <c r="B3" s="2903"/>
      <c r="C3" s="2903"/>
      <c r="D3" s="2903"/>
      <c r="E3" s="2903"/>
      <c r="F3" s="2903"/>
      <c r="G3" s="2903"/>
      <c r="H3" s="2903"/>
      <c r="I3" s="2903"/>
    </row>
    <row r="4" spans="1:12" ht="14.25">
      <c r="A4" s="2195" t="s">
        <v>1771</v>
      </c>
      <c r="B4" s="2196" t="s">
        <v>1772</v>
      </c>
      <c r="C4" s="2197" t="s">
        <v>3614</v>
      </c>
      <c r="D4" s="2197" t="s">
        <v>3613</v>
      </c>
      <c r="E4" s="2907" t="s">
        <v>1773</v>
      </c>
      <c r="F4" s="2908"/>
      <c r="G4" s="2908"/>
      <c r="H4" s="2908"/>
      <c r="I4" s="290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897" t="s">
        <v>1774</v>
      </c>
      <c r="B5" s="2842">
        <v>25</v>
      </c>
      <c r="C5" s="2904">
        <v>5</v>
      </c>
      <c r="D5" s="2901">
        <v>5</v>
      </c>
      <c r="E5" s="56" t="s">
        <v>1775</v>
      </c>
      <c r="F5" s="2198"/>
      <c r="G5" s="2198"/>
      <c r="H5" s="2198"/>
      <c r="I5" s="2199"/>
    </row>
    <row r="6" spans="1:12" ht="12.75">
      <c r="A6" s="2897"/>
      <c r="B6" s="2842"/>
      <c r="C6" s="2905"/>
      <c r="D6" s="2901"/>
      <c r="E6" s="56" t="s">
        <v>1776</v>
      </c>
      <c r="F6" s="2198"/>
      <c r="G6" s="2198"/>
      <c r="H6" s="2198"/>
      <c r="I6" s="2199"/>
    </row>
    <row r="7" spans="1:12" ht="12.75">
      <c r="A7" s="2897"/>
      <c r="B7" s="2842"/>
      <c r="C7" s="2906"/>
      <c r="D7" s="2901"/>
      <c r="E7" s="56" t="s">
        <v>1777</v>
      </c>
      <c r="F7" s="2198"/>
      <c r="G7" s="2198"/>
      <c r="H7" s="2198"/>
      <c r="I7" s="2199"/>
    </row>
    <row r="8" spans="1:12" ht="12.75">
      <c r="A8" s="2897" t="s">
        <v>1778</v>
      </c>
      <c r="B8" s="2842">
        <v>15</v>
      </c>
      <c r="C8" s="2904"/>
      <c r="D8" s="2901"/>
      <c r="E8" s="56" t="s">
        <v>1779</v>
      </c>
      <c r="F8" s="2198"/>
      <c r="G8" s="2198"/>
      <c r="H8" s="2198"/>
      <c r="I8" s="2199"/>
    </row>
    <row r="9" spans="1:12" ht="12.75">
      <c r="A9" s="2897"/>
      <c r="B9" s="2842"/>
      <c r="C9" s="2906"/>
      <c r="D9" s="2901"/>
      <c r="E9" s="56" t="s">
        <v>1780</v>
      </c>
      <c r="F9" s="2198"/>
      <c r="G9" s="2198"/>
      <c r="H9" s="2198"/>
      <c r="I9" s="2199"/>
    </row>
    <row r="10" spans="1:12" ht="12.75">
      <c r="A10" s="2897" t="s">
        <v>1781</v>
      </c>
      <c r="B10" s="2842">
        <v>15</v>
      </c>
      <c r="C10" s="2904"/>
      <c r="D10" s="2901"/>
      <c r="E10" s="56" t="s">
        <v>1782</v>
      </c>
      <c r="F10" s="2198"/>
      <c r="G10" s="2198"/>
      <c r="H10" s="2198"/>
      <c r="I10" s="2199"/>
    </row>
    <row r="11" spans="1:12" ht="12.75">
      <c r="A11" s="2897"/>
      <c r="B11" s="2842"/>
      <c r="C11" s="2906"/>
      <c r="D11" s="2901"/>
      <c r="E11" s="56" t="s">
        <v>1783</v>
      </c>
      <c r="F11" s="2198"/>
      <c r="G11" s="2198"/>
      <c r="H11" s="2198"/>
      <c r="I11" s="2199"/>
    </row>
    <row r="12" spans="1:12" ht="12.75">
      <c r="A12" s="2897" t="s">
        <v>1784</v>
      </c>
      <c r="B12" s="2842">
        <v>15</v>
      </c>
      <c r="C12" s="2904"/>
      <c r="D12" s="2901"/>
      <c r="E12" s="56" t="s">
        <v>1785</v>
      </c>
      <c r="F12" s="2198"/>
      <c r="G12" s="2198"/>
      <c r="H12" s="2198"/>
      <c r="I12" s="2199"/>
    </row>
    <row r="13" spans="1:12" ht="12.75">
      <c r="A13" s="2897"/>
      <c r="B13" s="2842"/>
      <c r="C13" s="2906"/>
      <c r="D13" s="2901"/>
      <c r="E13" s="56" t="s">
        <v>1786</v>
      </c>
      <c r="F13" s="2198"/>
      <c r="G13" s="2198"/>
      <c r="H13" s="2198"/>
      <c r="I13" s="2199"/>
    </row>
    <row r="14" spans="1:12" ht="12.75">
      <c r="A14" s="2897" t="s">
        <v>1787</v>
      </c>
      <c r="B14" s="2842">
        <v>30</v>
      </c>
      <c r="C14" s="2904"/>
      <c r="D14" s="2901"/>
      <c r="E14" s="56" t="s">
        <v>1788</v>
      </c>
      <c r="F14" s="2198"/>
      <c r="G14" s="2198"/>
      <c r="H14" s="2198"/>
      <c r="I14" s="2199"/>
    </row>
    <row r="15" spans="1:12" ht="12.75">
      <c r="A15" s="2897"/>
      <c r="B15" s="2842"/>
      <c r="C15" s="2905"/>
      <c r="D15" s="2901"/>
      <c r="E15" s="56" t="s">
        <v>1789</v>
      </c>
      <c r="F15" s="2198"/>
      <c r="G15" s="2198"/>
      <c r="H15" s="2198"/>
      <c r="I15" s="2199"/>
    </row>
    <row r="16" spans="1:12" ht="12.75">
      <c r="A16" s="2897"/>
      <c r="B16" s="2842"/>
      <c r="C16" s="2906"/>
      <c r="D16" s="2901"/>
      <c r="E16" s="56" t="s">
        <v>1790</v>
      </c>
      <c r="F16" s="2198"/>
      <c r="G16" s="2198"/>
      <c r="H16" s="2198"/>
      <c r="I16" s="2199"/>
    </row>
    <row r="17" spans="1:35" ht="15">
      <c r="A17" s="2200" t="s">
        <v>1791</v>
      </c>
      <c r="B17" s="2201"/>
      <c r="C17" s="57">
        <f>SUM(C5:C16)</f>
        <v>5</v>
      </c>
      <c r="D17" s="57">
        <f>SUM(D5:D16)</f>
        <v>5</v>
      </c>
      <c r="E17" s="2193"/>
      <c r="F17" s="2193"/>
      <c r="G17" s="2193"/>
      <c r="H17" s="2193"/>
      <c r="I17" s="2193"/>
    </row>
    <row r="18" spans="1:35" ht="15.75" thickBot="1">
      <c r="A18" s="2202" t="s">
        <v>1792</v>
      </c>
      <c r="B18" s="2203"/>
      <c r="C18" s="58">
        <f>ROUND(C17/SUM(C17:D17),2)</f>
        <v>0.5</v>
      </c>
      <c r="D18" s="58">
        <f>1-C18</f>
        <v>0.5</v>
      </c>
      <c r="E18" s="2193"/>
      <c r="F18" s="2193"/>
      <c r="G18" s="2193"/>
      <c r="H18" s="2193"/>
      <c r="I18" s="2193"/>
    </row>
    <row r="19" spans="1:35" ht="15">
      <c r="A19" s="2204" t="s">
        <v>1793</v>
      </c>
      <c r="B19" s="2205" t="s">
        <v>1794</v>
      </c>
      <c r="C19" s="59">
        <f ca="1">SUMIF(INDIRECT("'"&amp;C4&amp;"'"&amp;"!A:A"),结果表!B19,INDIRECT("'"&amp;C4&amp;"'"&amp;"!B:B"))</f>
        <v>1179069</v>
      </c>
      <c r="D19" s="60">
        <f ca="1">SUMIF(INDIRECT("'"&amp;D4&amp;"'"&amp;"!A:A"),结果表!B19,INDIRECT("'"&amp;D4&amp;"'"&amp;"!B:B"))</f>
        <v>1147192</v>
      </c>
      <c r="E19" s="2204" t="s">
        <v>1795</v>
      </c>
      <c r="F19" s="2205" t="s">
        <v>1794</v>
      </c>
      <c r="G19" s="61">
        <f ca="1">ROUND(C19*$C$18+D19*$D$18,0)</f>
        <v>1163131</v>
      </c>
      <c r="H19" s="2206" t="str">
        <f>'数据-取费表'!B3</f>
        <v>元</v>
      </c>
      <c r="I19" s="2193"/>
    </row>
    <row r="20" spans="1:35" ht="15">
      <c r="A20" s="2207"/>
      <c r="B20" s="2208" t="s">
        <v>1796</v>
      </c>
      <c r="C20" s="62">
        <f ca="1">SUMIF(INDIRECT("'"&amp;C4&amp;"'"&amp;"!A:A"),结果表!B20,INDIRECT("'"&amp;C4&amp;"'"&amp;"!B:B"))</f>
        <v>12886</v>
      </c>
      <c r="D20" s="63">
        <f ca="1">SUMIF(INDIRECT("'"&amp;D4&amp;"'"&amp;"!A:A"),结果表!B20,INDIRECT("'"&amp;D4&amp;"'"&amp;"!B:B"))</f>
        <v>12538</v>
      </c>
      <c r="E20" s="2207"/>
      <c r="F20" s="2208" t="s">
        <v>1796</v>
      </c>
      <c r="G20" s="64">
        <f ca="1">ROUND(C20*$C$18+D20*$D$18,0)</f>
        <v>12712</v>
      </c>
      <c r="H20" s="2209" t="s">
        <v>1797</v>
      </c>
      <c r="I20" s="2193"/>
    </row>
    <row r="21" spans="1:35" ht="15" customHeight="1" thickBot="1">
      <c r="A21" s="2210"/>
      <c r="B21" s="2211"/>
      <c r="C21" s="770"/>
      <c r="D21" s="771"/>
      <c r="E21" s="2210"/>
      <c r="F21" s="2211"/>
      <c r="G21" s="65"/>
      <c r="H21" s="2212"/>
      <c r="I21" s="2193"/>
    </row>
    <row r="22" spans="1:35" ht="15" thickBot="1">
      <c r="A22" s="2213" t="s">
        <v>1798</v>
      </c>
      <c r="B22" s="2214"/>
      <c r="C22" s="2215"/>
      <c r="D22" s="772">
        <f ca="1">IF(C19&lt;D19,D19/C19-1,C19/D19-1)</f>
        <v>2.7786978988695976E-2</v>
      </c>
      <c r="E22" s="2193"/>
      <c r="F22" s="2193"/>
      <c r="G22" s="2193"/>
      <c r="H22" s="2193"/>
      <c r="I22" s="2193"/>
    </row>
    <row r="23" spans="1:35" ht="13.5" thickBot="1">
      <c r="A23" s="2193"/>
      <c r="B23" s="2193"/>
      <c r="C23" s="2193"/>
      <c r="D23" s="2193"/>
      <c r="E23" s="2193"/>
      <c r="F23" s="2193"/>
      <c r="G23" s="2193"/>
      <c r="H23" s="2193"/>
      <c r="I23" s="2193"/>
    </row>
    <row r="24" spans="1:35" ht="21.75" customHeight="1">
      <c r="A24" s="2910" t="s">
        <v>1799</v>
      </c>
      <c r="B24" s="2205" t="s">
        <v>1794</v>
      </c>
      <c r="C24" s="61">
        <f>D30</f>
        <v>0</v>
      </c>
      <c r="D24" s="994"/>
      <c r="E24" s="2193"/>
      <c r="F24" s="2193"/>
      <c r="G24" s="2193"/>
      <c r="H24" s="2193"/>
      <c r="I24" s="2193"/>
    </row>
    <row r="25" spans="1:35" ht="21.75" customHeight="1">
      <c r="A25" s="2911"/>
      <c r="B25" s="2208" t="s">
        <v>1796</v>
      </c>
      <c r="C25" s="66">
        <f>IF(B30=0,0,C30)</f>
        <v>0</v>
      </c>
      <c r="D25" s="2216"/>
      <c r="E25" s="2193"/>
      <c r="F25" s="2193"/>
      <c r="G25" s="2193"/>
      <c r="H25" s="2193"/>
      <c r="I25" s="2193"/>
    </row>
    <row r="26" spans="1:35" ht="13.5" customHeight="1">
      <c r="A26" s="2217" t="s">
        <v>1800</v>
      </c>
      <c r="B26" s="67" t="s">
        <v>1801</v>
      </c>
      <c r="C26" s="67" t="s">
        <v>1802</v>
      </c>
      <c r="D26" s="68" t="s">
        <v>1803</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1804</v>
      </c>
      <c r="B30" s="67"/>
      <c r="C30" s="67"/>
      <c r="D30" s="67"/>
      <c r="E30" s="2713" t="s">
        <v>2801</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1805</v>
      </c>
      <c r="B32" s="2222" t="str">
        <f>'数据-取费表'!B4</f>
        <v>楼面单价</v>
      </c>
      <c r="C32" s="1145">
        <f ca="1">IF(B32="总价",G19-C24,G20-C25)</f>
        <v>12712</v>
      </c>
      <c r="D32" s="2193" t="str">
        <f>IF(B32="楼面单价","元/平方米",H19)</f>
        <v>元/平方米</v>
      </c>
      <c r="E32" s="2193"/>
      <c r="F32" s="2193"/>
      <c r="G32" s="2193"/>
      <c r="H32" s="2193"/>
      <c r="I32" s="2193"/>
    </row>
    <row r="33" spans="1:16" ht="15">
      <c r="A33" s="2223" t="s">
        <v>1806</v>
      </c>
      <c r="B33" s="2224"/>
      <c r="C33" s="2225"/>
      <c r="D33" s="2226"/>
      <c r="E33" s="2227" t="s">
        <v>1807</v>
      </c>
      <c r="F33" s="2228" t="str">
        <f>IF(B32="楼面单价","取值（单价）","取值（总价）")</f>
        <v>取值（单价）</v>
      </c>
      <c r="G33" s="2193"/>
      <c r="H33" s="2193"/>
      <c r="I33" s="2193"/>
    </row>
    <row r="34" spans="1:16" ht="15">
      <c r="A34" s="2229"/>
      <c r="B34" s="2230" t="s">
        <v>1808</v>
      </c>
      <c r="C34" s="72">
        <f ca="1">IF(D33="自定义",F34,C32-C35)</f>
        <v>77759</v>
      </c>
      <c r="D34" s="1091">
        <f ca="1">IF(D33="自定义",ROUND(C34/C32,3),1-D35)</f>
        <v>6.117</v>
      </c>
      <c r="E34" s="2231" t="s">
        <v>1809</v>
      </c>
      <c r="F34" s="1828">
        <v>2000</v>
      </c>
      <c r="G34" s="2193"/>
      <c r="H34" s="2193"/>
      <c r="I34" s="2193"/>
    </row>
    <row r="35" spans="1:16" ht="15.75" thickBot="1">
      <c r="A35" s="2232"/>
      <c r="B35" s="2233" t="s">
        <v>1810</v>
      </c>
      <c r="C35" s="73">
        <f ca="1">IF(D33="自定义",F35,ROUND(C32*D35,0))</f>
        <v>-65047</v>
      </c>
      <c r="D35" s="1090">
        <f ca="1">IF(D33="自定义",ROUND(C35/C32,3),IF(D33="成本法成本比率",成本法!C56,IF(D33="收益法收益比率",收益法!J38,收益法!J41)))</f>
        <v>-5.117</v>
      </c>
      <c r="E35" s="2234" t="s">
        <v>1811</v>
      </c>
      <c r="F35" s="79">
        <v>4460</v>
      </c>
      <c r="G35" s="2193"/>
      <c r="H35" s="2193"/>
      <c r="I35" s="2193"/>
    </row>
    <row r="36" spans="1:16" ht="15.75" thickBot="1">
      <c r="A36" s="2915" t="s">
        <v>1812</v>
      </c>
      <c r="B36" s="2235" t="s">
        <v>1813</v>
      </c>
      <c r="C36" s="69">
        <v>0</v>
      </c>
      <c r="D36" s="2236"/>
      <c r="E36" s="2237"/>
      <c r="F36" s="2237"/>
      <c r="G36" s="2193"/>
      <c r="H36" s="2193"/>
      <c r="I36" s="2193"/>
    </row>
    <row r="37" spans="1:16" ht="15.75" thickBot="1">
      <c r="A37" s="2916"/>
      <c r="B37" s="2238" t="s">
        <v>1814</v>
      </c>
      <c r="C37" s="71">
        <v>0</v>
      </c>
      <c r="D37" s="2203"/>
      <c r="E37" s="2203"/>
      <c r="F37" s="2237"/>
      <c r="G37" s="2203"/>
      <c r="H37" s="2203"/>
      <c r="I37" s="2203"/>
    </row>
    <row r="38" spans="1:16" ht="15.75" thickBot="1">
      <c r="A38" s="2917"/>
      <c r="B38" s="2239" t="s">
        <v>1815</v>
      </c>
      <c r="C38" s="712">
        <v>0</v>
      </c>
      <c r="D38" s="2240" t="s">
        <v>1816</v>
      </c>
      <c r="E38" s="2203"/>
      <c r="F38" s="2237"/>
      <c r="G38" s="2203"/>
      <c r="H38" s="2203"/>
      <c r="I38" s="2203"/>
    </row>
    <row r="39" spans="1:16" ht="15">
      <c r="A39" s="2207" t="s">
        <v>1817</v>
      </c>
      <c r="B39" s="2241" t="s">
        <v>1801</v>
      </c>
      <c r="C39" s="2242" t="s">
        <v>1802</v>
      </c>
      <c r="D39" s="2242" t="s">
        <v>1818</v>
      </c>
      <c r="E39" s="2243" t="s">
        <v>1803</v>
      </c>
      <c r="F39" s="2237"/>
      <c r="G39" s="2203"/>
      <c r="H39" s="2203"/>
      <c r="I39" s="2203"/>
    </row>
    <row r="40" spans="1:16" ht="14.25">
      <c r="A40" s="2244" t="s">
        <v>1819</v>
      </c>
      <c r="B40" s="74"/>
      <c r="C40" s="75"/>
      <c r="D40" s="75"/>
      <c r="E40" s="76"/>
      <c r="F40" s="2237"/>
      <c r="G40" s="2203"/>
      <c r="H40" s="2203"/>
      <c r="I40" s="2203"/>
    </row>
    <row r="41" spans="1:16" ht="14.25">
      <c r="A41" s="2244" t="s">
        <v>1820</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1821</v>
      </c>
      <c r="B44" s="2250"/>
      <c r="C44" s="2250"/>
      <c r="D44" s="2251"/>
      <c r="E44" s="2251"/>
      <c r="F44" s="2252"/>
      <c r="G44" s="2252"/>
      <c r="H44" s="2252"/>
      <c r="I44" s="2252"/>
      <c r="J44" s="2253" t="s">
        <v>1822</v>
      </c>
      <c r="K44" s="2254"/>
      <c r="L44" s="2254"/>
      <c r="M44" s="2254"/>
      <c r="N44" s="2254"/>
      <c r="O44" s="2254"/>
      <c r="P44" s="1845"/>
    </row>
    <row r="45" spans="1:16" ht="14.25" customHeight="1" thickBot="1">
      <c r="A45" s="2920" t="s">
        <v>1823</v>
      </c>
      <c r="B45" s="2921"/>
      <c r="C45" s="2922"/>
      <c r="D45" s="80">
        <f ca="1">ROUND(I102*F45,0)</f>
        <v>1163148</v>
      </c>
      <c r="E45" s="81" t="s">
        <v>1824</v>
      </c>
      <c r="F45" s="82">
        <v>1</v>
      </c>
      <c r="G45" s="83" t="s">
        <v>1825</v>
      </c>
      <c r="H45" s="2193"/>
      <c r="I45" s="2193"/>
      <c r="J45" s="2832" t="s">
        <v>1826</v>
      </c>
      <c r="K45" s="2832"/>
      <c r="L45" s="2832"/>
      <c r="M45" s="2832"/>
      <c r="N45" s="2832"/>
      <c r="O45" s="2832"/>
      <c r="P45" s="1845"/>
    </row>
    <row r="46" spans="1:16" ht="14.25" customHeight="1">
      <c r="A46" s="2912" t="s">
        <v>1827</v>
      </c>
      <c r="B46" s="2913"/>
      <c r="C46" s="2913"/>
      <c r="D46" s="2913"/>
      <c r="E46" s="2913"/>
      <c r="F46" s="2913"/>
      <c r="G46" s="2914"/>
      <c r="H46" s="2255"/>
      <c r="I46" s="1144"/>
      <c r="J46" s="1883">
        <v>1</v>
      </c>
      <c r="K46" s="2832" t="s">
        <v>1828</v>
      </c>
      <c r="L46" s="2832"/>
      <c r="M46" s="2833" t="str">
        <f>项目基本情况!B1</f>
        <v>北京市房地产市场价值预评估</v>
      </c>
      <c r="N46" s="2833"/>
      <c r="O46" s="2833"/>
      <c r="P46" s="1845"/>
    </row>
    <row r="47" spans="1:16" ht="12" customHeight="1">
      <c r="A47" s="85" t="s">
        <v>1829</v>
      </c>
      <c r="B47" s="86"/>
      <c r="C47" s="87"/>
      <c r="D47" s="88" t="s">
        <v>1830</v>
      </c>
      <c r="E47" s="14" t="s">
        <v>1831</v>
      </c>
      <c r="F47" s="89" t="s">
        <v>1832</v>
      </c>
      <c r="G47" s="90" t="s">
        <v>1833</v>
      </c>
      <c r="H47" s="2255"/>
      <c r="I47" s="1144"/>
      <c r="J47" s="1883">
        <v>2</v>
      </c>
      <c r="K47" s="2832" t="s">
        <v>1834</v>
      </c>
      <c r="L47" s="2832"/>
      <c r="M47" s="2834">
        <f>'数据-取费表'!B2</f>
        <v>39990</v>
      </c>
      <c r="N47" s="2834"/>
      <c r="O47" s="2834"/>
      <c r="P47" s="1845"/>
    </row>
    <row r="48" spans="1:16" ht="25.5">
      <c r="A48" s="2918" t="s">
        <v>1835</v>
      </c>
      <c r="B48" s="2919"/>
      <c r="C48" s="2919"/>
      <c r="D48" s="56">
        <f ca="1">IF(H48="情况1",0,IF(H48="情况2",D52,IF(H48="情况3",D53,IF(H48="情况4",D54))))</f>
        <v>65136</v>
      </c>
      <c r="E48" s="1893" t="str">
        <f>IF(H48="情况4","(销售额-原购置价)×税（费）率","销售额×税（费）率")</f>
        <v>销售额×税（费）率</v>
      </c>
      <c r="F48" s="91">
        <f>IF(H48="情况1","免征",'数据-取费表'!E29)</f>
        <v>5.6000000000000001E-2</v>
      </c>
      <c r="G48" s="2256" t="s">
        <v>1836</v>
      </c>
      <c r="H48" s="2257" t="s">
        <v>1837</v>
      </c>
      <c r="I48" s="2255"/>
      <c r="J48" s="1883">
        <v>3</v>
      </c>
      <c r="K48" s="2832" t="s">
        <v>1838</v>
      </c>
      <c r="L48" s="2832"/>
      <c r="M48" s="2833">
        <f ca="1">I102</f>
        <v>1163148</v>
      </c>
      <c r="N48" s="2833"/>
      <c r="O48" s="2833"/>
      <c r="P48" s="1845"/>
    </row>
    <row r="49" spans="1:16" ht="25.5" customHeight="1">
      <c r="A49" s="92" t="s">
        <v>1839</v>
      </c>
      <c r="B49" s="2899" t="s">
        <v>1840</v>
      </c>
      <c r="C49" s="2899"/>
      <c r="D49" s="93">
        <v>0</v>
      </c>
      <c r="E49" s="13" t="s">
        <v>1841</v>
      </c>
      <c r="F49" s="18" t="s">
        <v>48</v>
      </c>
      <c r="G49" s="2823"/>
      <c r="H49" s="2193"/>
      <c r="I49" s="2258"/>
      <c r="J49" s="1883">
        <v>4</v>
      </c>
      <c r="K49" s="2832" t="str">
        <f>IF(项目基本情况!F5="房地产抵押价值","房地产抵押价值","抵押担保权已注销时的房地产抵押价值")</f>
        <v>抵押担保权已注销时的房地产抵押价值</v>
      </c>
      <c r="L49" s="2832"/>
      <c r="M49" s="2833" t="str">
        <f>IF(项目基本情况!F5="房地产抵押价值",I110,I112)</f>
        <v>——</v>
      </c>
      <c r="N49" s="2833"/>
      <c r="O49" s="2833"/>
      <c r="P49" s="1845"/>
    </row>
    <row r="50" spans="1:16" ht="25.5" customHeight="1">
      <c r="A50" s="94"/>
      <c r="B50" s="2899" t="s">
        <v>1842</v>
      </c>
      <c r="C50" s="2899"/>
      <c r="D50" s="95"/>
      <c r="E50" s="21"/>
      <c r="F50" s="96"/>
      <c r="G50" s="2824"/>
      <c r="H50" s="2193"/>
      <c r="I50" s="2258"/>
      <c r="J50" s="2832" t="s">
        <v>1843</v>
      </c>
      <c r="K50" s="2832"/>
      <c r="L50" s="2832"/>
      <c r="M50" s="2832"/>
      <c r="N50" s="2832"/>
      <c r="O50" s="2832"/>
      <c r="P50" s="1845"/>
    </row>
    <row r="51" spans="1:16" ht="12" customHeight="1">
      <c r="A51" s="97"/>
      <c r="B51" s="2899" t="s">
        <v>1844</v>
      </c>
      <c r="C51" s="2899"/>
      <c r="D51" s="98"/>
      <c r="E51" s="20"/>
      <c r="F51" s="96"/>
      <c r="G51" s="2825"/>
      <c r="H51" s="2193"/>
      <c r="I51" s="2258"/>
      <c r="J51" s="2259" t="s">
        <v>1845</v>
      </c>
      <c r="K51" s="2832" t="s">
        <v>1846</v>
      </c>
      <c r="L51" s="2832"/>
      <c r="M51" s="2259" t="s">
        <v>1847</v>
      </c>
      <c r="N51" s="2259" t="s">
        <v>1848</v>
      </c>
      <c r="O51" s="2259" t="s">
        <v>1849</v>
      </c>
      <c r="P51" s="1845"/>
    </row>
    <row r="52" spans="1:16" ht="24" customHeight="1">
      <c r="A52" s="99" t="s">
        <v>1850</v>
      </c>
      <c r="B52" s="2899" t="s">
        <v>1851</v>
      </c>
      <c r="C52" s="2899"/>
      <c r="D52" s="98">
        <f ca="1">ROUND(D45*'数据-取费表'!E29/(1+'数据-取费表'!F30),0)</f>
        <v>65136</v>
      </c>
      <c r="E52" s="10" t="s">
        <v>1852</v>
      </c>
      <c r="F52" s="100">
        <f>'数据-取费表'!E29</f>
        <v>5.6000000000000001E-2</v>
      </c>
      <c r="G52" s="2260"/>
      <c r="H52" s="2193"/>
      <c r="I52" s="2258"/>
      <c r="J52" s="1883">
        <v>1</v>
      </c>
      <c r="K52" s="2822" t="s">
        <v>1853</v>
      </c>
      <c r="L52" s="2822"/>
      <c r="M52" s="778">
        <f ca="1">D48</f>
        <v>65136</v>
      </c>
      <c r="N52" s="1883" t="str">
        <f>E48</f>
        <v>销售额×税（费）率</v>
      </c>
      <c r="O52" s="779">
        <f>F48</f>
        <v>5.6000000000000001E-2</v>
      </c>
      <c r="P52" s="1845"/>
    </row>
    <row r="53" spans="1:16" ht="12" customHeight="1">
      <c r="A53" s="99" t="s">
        <v>1854</v>
      </c>
      <c r="B53" s="2898" t="s">
        <v>1855</v>
      </c>
      <c r="C53" s="2792"/>
      <c r="D53" s="98">
        <f ca="1">ROUND(D45*'数据-取费表'!E29/(1+'数据-取费表'!F30),0)</f>
        <v>65136</v>
      </c>
      <c r="E53" s="10" t="s">
        <v>1852</v>
      </c>
      <c r="F53" s="100">
        <f>'数据-取费表'!E29</f>
        <v>5.6000000000000001E-2</v>
      </c>
      <c r="G53" s="2260"/>
      <c r="H53" s="2193"/>
      <c r="I53" s="2258"/>
      <c r="J53" s="1883">
        <v>2</v>
      </c>
      <c r="K53" s="2822" t="s">
        <v>1856</v>
      </c>
      <c r="L53" s="2822"/>
      <c r="M53" s="778">
        <f t="shared" ref="M53:O54" ca="1" si="1">D55</f>
        <v>582</v>
      </c>
      <c r="N53" s="1883" t="str">
        <f t="shared" si="1"/>
        <v>销售额×税（费）率</v>
      </c>
      <c r="O53" s="779">
        <f t="shared" si="1"/>
        <v>5.0000000000000001E-4</v>
      </c>
      <c r="P53" s="1845"/>
    </row>
    <row r="54" spans="1:16" ht="12" customHeight="1">
      <c r="A54" s="99" t="s">
        <v>1857</v>
      </c>
      <c r="B54" s="2898" t="s">
        <v>1858</v>
      </c>
      <c r="C54" s="2792"/>
      <c r="D54" s="98">
        <f ca="1">C68</f>
        <v>65136</v>
      </c>
      <c r="E54" s="20" t="s">
        <v>1859</v>
      </c>
      <c r="F54" s="100">
        <f>'数据-取费表'!E29</f>
        <v>5.6000000000000001E-2</v>
      </c>
      <c r="G54" s="2260"/>
      <c r="H54" s="2261"/>
      <c r="I54" s="2258"/>
      <c r="J54" s="1883">
        <v>3</v>
      </c>
      <c r="K54" s="2822" t="s">
        <v>1860</v>
      </c>
      <c r="L54" s="2822"/>
      <c r="M54" s="778">
        <f t="shared" ca="1" si="1"/>
        <v>691259</v>
      </c>
      <c r="N54" s="1883" t="str">
        <f t="shared" si="1"/>
        <v>增值额×税（费）率</v>
      </c>
      <c r="O54" s="780" t="str">
        <f t="shared" si="1"/>
        <v>——</v>
      </c>
      <c r="P54" s="1845"/>
    </row>
    <row r="55" spans="1:16" ht="24" customHeight="1">
      <c r="A55" s="2784" t="s">
        <v>1861</v>
      </c>
      <c r="B55" s="2919"/>
      <c r="C55" s="2919"/>
      <c r="D55" s="101">
        <f ca="1">IF(H55="个人住宅",0,ROUND(D45*I55,0))</f>
        <v>582</v>
      </c>
      <c r="E55" s="10" t="s">
        <v>1862</v>
      </c>
      <c r="F55" s="100">
        <f>IF(H55="正常",I55,"免征")</f>
        <v>5.0000000000000001E-4</v>
      </c>
      <c r="G55" s="2260"/>
      <c r="H55" s="2257" t="s">
        <v>1863</v>
      </c>
      <c r="I55" s="102">
        <f>'数据-取费表'!E37</f>
        <v>5.0000000000000001E-4</v>
      </c>
      <c r="J55" s="1883">
        <f>IF(H59="非个人房产","",4)</f>
        <v>4</v>
      </c>
      <c r="K55" s="2822" t="str">
        <f>IF(H59="非个人房产","——","个人所得税")</f>
        <v>个人所得税</v>
      </c>
      <c r="L55" s="2822"/>
      <c r="M55" s="781">
        <f ca="1">D59</f>
        <v>11631</v>
      </c>
      <c r="N55" s="1886" t="str">
        <f>E59</f>
        <v>销售额×税（费）率</v>
      </c>
      <c r="O55" s="782">
        <f>F59</f>
        <v>0.01</v>
      </c>
      <c r="P55" s="1845"/>
    </row>
    <row r="56" spans="1:16" ht="24.75">
      <c r="A56" s="2784" t="s">
        <v>1864</v>
      </c>
      <c r="B56" s="2919"/>
      <c r="C56" s="2919"/>
      <c r="D56" s="101">
        <f ca="1">IF(H56="个人住宅",D57,D58)</f>
        <v>691259</v>
      </c>
      <c r="E56" s="10" t="s">
        <v>1865</v>
      </c>
      <c r="F56" s="100" t="str">
        <f>IF(H56="正常",F58,"免征")</f>
        <v>——</v>
      </c>
      <c r="G56" s="2262" t="s">
        <v>1866</v>
      </c>
      <c r="H56" s="2263" t="s">
        <v>1863</v>
      </c>
      <c r="I56" s="1022"/>
      <c r="J56" s="1883" t="str">
        <f>IF(项目基本情况!I6="上海银行",IF(J55="",4,J55+1),"")</f>
        <v/>
      </c>
      <c r="K56" s="2839" t="str">
        <f>IF(项目基本情况!I6="上海银行","其他处置费用","")</f>
        <v/>
      </c>
      <c r="L56" s="2840"/>
      <c r="M56" s="778" t="str">
        <f>IF(项目基本情况!I6="上海银行",M69,"")</f>
        <v/>
      </c>
      <c r="N56" s="2820" t="str">
        <f>IF(项目基本情况!I6="上海银行","包含处置中涉及的律师、诉讼、拍卖、评估等费用","")</f>
        <v/>
      </c>
      <c r="O56" s="2821"/>
      <c r="P56" s="1845"/>
    </row>
    <row r="57" spans="1:16" ht="12.75">
      <c r="A57" s="99" t="s">
        <v>1839</v>
      </c>
      <c r="B57" s="2907" t="s">
        <v>1867</v>
      </c>
      <c r="C57" s="2909"/>
      <c r="D57" s="103">
        <v>0</v>
      </c>
      <c r="E57" s="13" t="s">
        <v>1841</v>
      </c>
      <c r="F57" s="70"/>
      <c r="G57" s="2260"/>
      <c r="H57" s="1022"/>
      <c r="I57" s="1022"/>
      <c r="J57" s="2822">
        <f>IF(AND(J55="",J56=""),4,IF(项目基本情况!I6="上海银行",J56+1,J55+1))</f>
        <v>5</v>
      </c>
      <c r="K57" s="2822" t="s">
        <v>1868</v>
      </c>
      <c r="L57" s="2264" t="s">
        <v>1869</v>
      </c>
      <c r="M57" s="783"/>
      <c r="N57" s="784">
        <f ca="1">SUMIF(M52:M56,"&lt;9e307")</f>
        <v>768608</v>
      </c>
      <c r="O57" s="2265"/>
      <c r="P57" s="1841" t="e">
        <f ca="1">N57/M49</f>
        <v>#VALUE!</v>
      </c>
    </row>
    <row r="58" spans="1:16" ht="24.75">
      <c r="A58" s="99" t="s">
        <v>1850</v>
      </c>
      <c r="B58" s="2907" t="s">
        <v>1870</v>
      </c>
      <c r="C58" s="2908"/>
      <c r="D58" s="101">
        <f ca="1">IF(H58="转让取得",C81,C97)</f>
        <v>691259</v>
      </c>
      <c r="E58" s="10" t="s">
        <v>1865</v>
      </c>
      <c r="F58" s="14" t="s">
        <v>48</v>
      </c>
      <c r="G58" s="2260"/>
      <c r="H58" s="2263" t="s">
        <v>1871</v>
      </c>
      <c r="I58" s="1022"/>
      <c r="J58" s="2822"/>
      <c r="K58" s="2822"/>
      <c r="L58" s="2264" t="s">
        <v>1872</v>
      </c>
      <c r="M58" s="785"/>
      <c r="N58" s="2266" t="str">
        <f ca="1">IF(H19="元",NUMBERSTRING(INT(N57),2)&amp;"元整",NUMBERSTRING(INT(N57*10000),2)&amp;"元整")</f>
        <v>柒拾陆万捌仟陆佰零捌元整</v>
      </c>
      <c r="O58" s="2267"/>
      <c r="P58" s="1845"/>
    </row>
    <row r="59" spans="1:16" ht="26.25" thickBot="1">
      <c r="A59" s="2785" t="s">
        <v>1873</v>
      </c>
      <c r="B59" s="2788"/>
      <c r="C59" s="2788"/>
      <c r="D59" s="104">
        <f ca="1">IF(H59="非个人房产","——",IF(H59="个人住宅",0,ROUND(D45*I59,0)))</f>
        <v>11631</v>
      </c>
      <c r="E59" s="105" t="str">
        <f>IF(H59="非个人房产","——","销售额×税（费）率")</f>
        <v>销售额×税（费）率</v>
      </c>
      <c r="F59" s="106">
        <f>IF(H59="非个人房产","——",IF(H59="个人住宅","免征",I59))</f>
        <v>0.01</v>
      </c>
      <c r="G59" s="2268" t="s">
        <v>1866</v>
      </c>
      <c r="H59" s="2263" t="s">
        <v>1874</v>
      </c>
      <c r="I59" s="107">
        <v>0.01</v>
      </c>
      <c r="J59" s="2876">
        <f>J57+1</f>
        <v>6</v>
      </c>
      <c r="K59" s="2822" t="s">
        <v>1875</v>
      </c>
      <c r="L59" s="1883" t="s">
        <v>1869</v>
      </c>
      <c r="M59" s="786"/>
      <c r="N59" s="787" t="e">
        <f ca="1">M49-N57</f>
        <v>#VALUE!</v>
      </c>
      <c r="O59" s="2269"/>
      <c r="P59" s="1845"/>
    </row>
    <row r="60" spans="1:16" ht="12" customHeight="1">
      <c r="A60" s="2066"/>
      <c r="B60" s="2193"/>
      <c r="C60" s="2193"/>
      <c r="D60" s="2193"/>
      <c r="E60" s="1022"/>
      <c r="F60" s="1022"/>
      <c r="G60" s="1022"/>
      <c r="H60" s="2246"/>
      <c r="I60" s="2193"/>
      <c r="J60" s="2877"/>
      <c r="K60" s="2822"/>
      <c r="L60" s="2264" t="s">
        <v>1872</v>
      </c>
      <c r="M60" s="785"/>
      <c r="N60" s="2266" t="e">
        <f ca="1">IF(H19="元",NUMBERSTRING(INT(N59),2)&amp;"元整",NUMBERSTRING(INT(N59*10000),2)&amp;"元整")</f>
        <v>#VALUE!</v>
      </c>
      <c r="O60" s="2267"/>
      <c r="P60" s="1845"/>
    </row>
    <row r="61" spans="1:16" ht="13.5" thickBot="1">
      <c r="A61" s="2923" t="s">
        <v>1876</v>
      </c>
      <c r="B61" s="2923"/>
      <c r="C61" s="2923"/>
      <c r="D61" s="2923"/>
      <c r="E61" s="2923"/>
      <c r="F61" s="1022"/>
      <c r="G61" s="1022"/>
      <c r="H61" s="2246"/>
      <c r="I61" s="2193"/>
      <c r="J61" s="1883">
        <f>J59+1</f>
        <v>7</v>
      </c>
      <c r="K61" s="2822" t="s">
        <v>1877</v>
      </c>
      <c r="L61" s="2822"/>
      <c r="M61" s="788"/>
      <c r="N61" s="789" t="e">
        <f ca="1">IF(H19="元",ROUND(N59/项目基本情况!C12,0),ROUND(N59*10000/项目基本情况!C12,0))</f>
        <v>#VALUE!</v>
      </c>
      <c r="O61" s="2270"/>
      <c r="P61" s="1845"/>
    </row>
    <row r="62" spans="1:16" ht="12.75">
      <c r="A62" s="2860" t="s">
        <v>1878</v>
      </c>
      <c r="B62" s="2861"/>
      <c r="C62" s="1885"/>
      <c r="D62" s="1885" t="s">
        <v>1879</v>
      </c>
      <c r="E62" s="108" t="s">
        <v>1880</v>
      </c>
      <c r="F62" s="1022"/>
      <c r="G62" s="1022"/>
      <c r="H62" s="2246"/>
      <c r="I62" s="2193"/>
      <c r="J62" s="1845"/>
      <c r="K62" s="1845"/>
      <c r="L62" s="1845"/>
      <c r="M62" s="1845"/>
      <c r="N62" s="1845"/>
      <c r="O62" s="1845"/>
      <c r="P62" s="1845"/>
    </row>
    <row r="63" spans="1:16" ht="12.75">
      <c r="A63" s="109">
        <v>1</v>
      </c>
      <c r="B63" s="110" t="s">
        <v>1881</v>
      </c>
      <c r="C63" s="111">
        <f ca="1">ROUND((C64+C65)/(1+'数据-取费表'!F30),0)</f>
        <v>1163148</v>
      </c>
      <c r="D63" s="112"/>
      <c r="E63" s="113"/>
      <c r="F63" s="1022"/>
      <c r="G63" s="1022"/>
      <c r="H63" s="2246"/>
      <c r="I63" s="2193"/>
      <c r="J63" s="2841" t="s">
        <v>1882</v>
      </c>
      <c r="K63" s="2271"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1163148</v>
      </c>
      <c r="D64" s="117" t="s">
        <v>41</v>
      </c>
      <c r="E64" s="118"/>
      <c r="F64" s="1022"/>
      <c r="G64" s="1022"/>
      <c r="H64" s="2246"/>
      <c r="I64" s="2193"/>
      <c r="J64" s="2841"/>
      <c r="K64" s="2271"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6"/>
      <c r="I65" s="2193"/>
      <c r="J65" s="2841"/>
      <c r="K65" s="2271"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6"/>
      <c r="I66" s="2193"/>
      <c r="J66" s="2841"/>
      <c r="K66" s="2271" t="s">
        <v>1891</v>
      </c>
      <c r="L66" s="1844" t="e">
        <f>M49*0.5%</f>
        <v>#VALUE!</v>
      </c>
      <c r="M66" s="14" t="e">
        <f>IF(L66&gt;0.5,0.5,ROUND(L66,0))</f>
        <v>#VALUE!</v>
      </c>
      <c r="N66" s="1845" t="s">
        <v>1892</v>
      </c>
      <c r="O66" s="1845"/>
      <c r="P66" s="1845"/>
    </row>
    <row r="67" spans="1:35" ht="12.75">
      <c r="A67" s="120" t="s">
        <v>42</v>
      </c>
      <c r="B67" s="121" t="s">
        <v>1893</v>
      </c>
      <c r="C67" s="124">
        <f ca="1">C63-C66</f>
        <v>1163148</v>
      </c>
      <c r="D67" s="117" t="s">
        <v>41</v>
      </c>
      <c r="E67" s="118"/>
      <c r="F67" s="1022"/>
      <c r="G67" s="1022"/>
      <c r="H67" s="2246"/>
      <c r="I67" s="2193"/>
      <c r="J67" s="2841"/>
      <c r="K67" s="2271"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65136</v>
      </c>
      <c r="D68" s="128">
        <f>'数据-取费表'!E29</f>
        <v>5.6000000000000001E-2</v>
      </c>
      <c r="E68" s="129"/>
      <c r="F68" s="1022"/>
      <c r="G68" s="1022"/>
      <c r="H68" s="2246"/>
      <c r="I68" s="2193"/>
      <c r="J68" s="2841"/>
      <c r="K68" s="2271" t="s">
        <v>1896</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841"/>
      <c r="K69" s="2271" t="s">
        <v>1897</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862" t="s">
        <v>1898</v>
      </c>
      <c r="B70" s="2863"/>
      <c r="C70" s="2863"/>
      <c r="D70" s="2863"/>
      <c r="E70" s="2863"/>
      <c r="F70" s="2863"/>
      <c r="G70" s="2863"/>
      <c r="H70" s="2863"/>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860" t="s">
        <v>1878</v>
      </c>
      <c r="B71" s="2861"/>
      <c r="C71" s="1885"/>
      <c r="D71" s="1885" t="s">
        <v>1879</v>
      </c>
      <c r="E71" s="130" t="s">
        <v>1880</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1899</v>
      </c>
      <c r="C72" s="124">
        <f ca="1">ROUND(D45/(1+'数据-取费表'!F30),0)</f>
        <v>1163148</v>
      </c>
      <c r="D72" s="117" t="s">
        <v>41</v>
      </c>
      <c r="E72" s="12" t="s">
        <v>1900</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1901</v>
      </c>
      <c r="C73" s="124">
        <f ca="1">C74+C78</f>
        <v>6979</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1902</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1903</v>
      </c>
      <c r="C75" s="137"/>
      <c r="D75" s="117" t="s">
        <v>41</v>
      </c>
      <c r="E75" s="138" t="s">
        <v>1904</v>
      </c>
      <c r="F75" s="2282" t="s">
        <v>1905</v>
      </c>
      <c r="G75" s="138" t="s">
        <v>1906</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1907</v>
      </c>
      <c r="C76" s="117">
        <f>IF(F75="购房发票",ROUND(C75*H75*D76,0),0)</f>
        <v>0</v>
      </c>
      <c r="D76" s="141">
        <v>0.05</v>
      </c>
      <c r="E76" s="2898" t="s">
        <v>1908</v>
      </c>
      <c r="F76" s="2899"/>
      <c r="G76" s="2899"/>
      <c r="H76" s="2900"/>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3" t="s">
        <v>1911</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1912</v>
      </c>
      <c r="C78" s="144">
        <f ca="1">ROUND(D45*D78/(1+'数据-取费表'!F30),0)</f>
        <v>6979</v>
      </c>
      <c r="D78" s="145">
        <f>'数据-取费表'!E31</f>
        <v>6.000000000000001E-3</v>
      </c>
      <c r="E78" s="2829" t="s">
        <v>1913</v>
      </c>
      <c r="F78" s="2830"/>
      <c r="G78" s="2830"/>
      <c r="H78" s="2850"/>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1914</v>
      </c>
      <c r="C79" s="124">
        <f ca="1">C72-C73</f>
        <v>1156169</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1915</v>
      </c>
      <c r="C80" s="147">
        <f ca="1">IF(C79&lt;=0,0,C79/C73)</f>
        <v>165.66399197592779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1916</v>
      </c>
      <c r="C81" s="149">
        <f ca="1">ROUND(IF(C79&lt;=0,0,IF(C80&gt;=200%,C79*60%-C73*35%,IF(C80&gt;=100%,C79*50%-C73*15%,IF(C80&gt;=50%,C79*40%-C73*5%,IF(C80&lt;50%,C79*30%,0))))),0)</f>
        <v>691259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862" t="s">
        <v>1917</v>
      </c>
      <c r="B83" s="2863"/>
      <c r="C83" s="2863"/>
      <c r="D83" s="2863"/>
      <c r="E83" s="2863"/>
      <c r="F83" s="2863"/>
      <c r="G83" s="2863"/>
      <c r="H83" s="2863"/>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860" t="s">
        <v>1878</v>
      </c>
      <c r="B84" s="2861"/>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1899</v>
      </c>
      <c r="C85" s="124">
        <f ca="1">ROUND(D45/(1+'数据-取费表'!F30),0)</f>
        <v>1163148</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1901</v>
      </c>
      <c r="C86" s="124">
        <f ca="1">IF(H88="仅含出让金",C87+C90+C91+C92+C93+C94,C87+C91+C92+C93+C94)</f>
        <v>6979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1919</v>
      </c>
      <c r="C88" s="157"/>
      <c r="D88" s="145"/>
      <c r="E88" s="158" t="s">
        <v>1920</v>
      </c>
      <c r="F88" s="1882"/>
      <c r="G88" s="159" t="s">
        <v>1921</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1924</v>
      </c>
      <c r="C91" s="144">
        <f>IF(H91="——",成本法!C33,I91)</f>
        <v>0</v>
      </c>
      <c r="D91" s="145"/>
      <c r="E91" s="2829" t="s">
        <v>1925</v>
      </c>
      <c r="F91" s="2830"/>
      <c r="G91" s="2830"/>
      <c r="H91" s="2286" t="s">
        <v>1926</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1927</v>
      </c>
      <c r="C92" s="144">
        <f>ROUND((C87+C90+C91)*D92,0)</f>
        <v>0</v>
      </c>
      <c r="D92" s="145">
        <v>0.1</v>
      </c>
      <c r="E92" s="2829" t="s">
        <v>1928</v>
      </c>
      <c r="F92" s="2830"/>
      <c r="G92" s="2830"/>
      <c r="H92" s="2850"/>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1912</v>
      </c>
      <c r="C93" s="144">
        <f ca="1">ROUND(D45*D93/(1+'数据-取费表'!F30),0)</f>
        <v>6979</v>
      </c>
      <c r="D93" s="145">
        <f>'数据-取费表'!E31</f>
        <v>6.000000000000001E-3</v>
      </c>
      <c r="E93" s="2829" t="s">
        <v>1913</v>
      </c>
      <c r="F93" s="2830"/>
      <c r="G93" s="2830"/>
      <c r="H93" s="285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1929</v>
      </c>
      <c r="C94" s="144">
        <f>ROUND((C87+C90+C91)*D94,0)</f>
        <v>0</v>
      </c>
      <c r="D94" s="145">
        <v>0.2</v>
      </c>
      <c r="E94" s="2829" t="s">
        <v>1930</v>
      </c>
      <c r="F94" s="2830"/>
      <c r="G94" s="2830"/>
      <c r="H94" s="285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1914</v>
      </c>
      <c r="C95" s="124">
        <f ca="1">ROUND(C85-C86,0)</f>
        <v>1156169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1915</v>
      </c>
      <c r="C96" s="147">
        <f ca="1">IF(C95&lt;=0,0,C95/C86)</f>
        <v>165.66399197592779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1916</v>
      </c>
      <c r="C97" s="149">
        <f ca="1">ROUND(IF(C95&lt;=0,0,IF(C96&gt;=200%,C95*60%-C86*35%,IF(C96&gt;=100%,C95*50%-C86*15%,IF(C96&gt;=50%,C95*40%-C86*5%,IF(C96&lt;50%,C95*30%,0))))),0)</f>
        <v>691259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1931</v>
      </c>
      <c r="B98" s="2193"/>
      <c r="C98" s="2193"/>
      <c r="D98" s="2193"/>
      <c r="E98" s="1022"/>
      <c r="F98" s="1022"/>
      <c r="G98" s="1022"/>
      <c r="H98" s="2246"/>
      <c r="I98" s="2193"/>
    </row>
    <row r="99" spans="1:35" ht="15.75">
      <c r="A99" s="2847" t="s">
        <v>1932</v>
      </c>
      <c r="B99" s="2848"/>
      <c r="C99" s="2848"/>
      <c r="D99" s="2849"/>
      <c r="E99" s="2193"/>
      <c r="F99" s="2857" t="s">
        <v>1933</v>
      </c>
      <c r="G99" s="2858"/>
      <c r="H99" s="2858"/>
      <c r="I99" s="2859"/>
    </row>
    <row r="100" spans="1:35" ht="15.75">
      <c r="A100" s="2864" t="s">
        <v>1934</v>
      </c>
      <c r="B100" s="2865"/>
      <c r="C100" s="720" t="str">
        <f>C4</f>
        <v>比较法-住宅</v>
      </c>
      <c r="D100" s="721" t="str">
        <f>D4</f>
        <v>成本法</v>
      </c>
      <c r="E100" s="2193"/>
      <c r="F100" s="2866" t="s">
        <v>1935</v>
      </c>
      <c r="G100" s="2868"/>
      <c r="H100" s="2866" t="s">
        <v>1936</v>
      </c>
      <c r="I100" s="2867"/>
    </row>
    <row r="101" spans="1:35" ht="15.75">
      <c r="A101" s="2886" t="s">
        <v>1937</v>
      </c>
      <c r="B101" s="2288" t="str">
        <f>IF(H19="元","总价（元）","总价（万元）")</f>
        <v>总价（元）</v>
      </c>
      <c r="C101" s="720">
        <f ca="1">C19</f>
        <v>1179069</v>
      </c>
      <c r="D101" s="721">
        <f ca="1">D19</f>
        <v>1147192</v>
      </c>
      <c r="E101" s="2193"/>
      <c r="F101" s="2866" t="str">
        <f>项目基本情况!I1</f>
        <v>北京市房地产</v>
      </c>
      <c r="G101" s="2868"/>
      <c r="H101" s="2927">
        <f>项目基本情况!C12</f>
        <v>91.5</v>
      </c>
      <c r="I101" s="2867"/>
    </row>
    <row r="102" spans="1:35" ht="15.75">
      <c r="A102" s="2886"/>
      <c r="B102" s="2288" t="s">
        <v>1938</v>
      </c>
      <c r="C102" s="722">
        <f ca="1">C20</f>
        <v>12886</v>
      </c>
      <c r="D102" s="723">
        <f ca="1">D20</f>
        <v>12538</v>
      </c>
      <c r="E102" s="2193"/>
      <c r="F102" s="2941" t="s">
        <v>1939</v>
      </c>
      <c r="G102" s="2942"/>
      <c r="H102" s="2289" t="str">
        <f>C106</f>
        <v>总价（元）</v>
      </c>
      <c r="I102" s="1862">
        <f ca="1">H121</f>
        <v>1163148</v>
      </c>
    </row>
    <row r="103" spans="1:35" ht="15">
      <c r="A103" s="2886" t="s">
        <v>1940</v>
      </c>
      <c r="B103" s="2290" t="str">
        <f>B101</f>
        <v>总价（元）</v>
      </c>
      <c r="C103" s="724">
        <f ca="1">H121</f>
        <v>1163148</v>
      </c>
      <c r="D103" s="725"/>
      <c r="E103" s="2193"/>
      <c r="F103" s="2941"/>
      <c r="G103" s="2942"/>
      <c r="H103" s="2289" t="s">
        <v>1938</v>
      </c>
      <c r="I103" s="1050">
        <f ca="1">I121</f>
        <v>12712</v>
      </c>
    </row>
    <row r="104" spans="1:35" ht="16.5" thickBot="1">
      <c r="A104" s="2887"/>
      <c r="B104" s="2291" t="s">
        <v>1938</v>
      </c>
      <c r="C104" s="726">
        <f ca="1">I121</f>
        <v>12712</v>
      </c>
      <c r="D104" s="727"/>
      <c r="E104" s="2193"/>
      <c r="F104" s="2853"/>
      <c r="G104" s="2854"/>
      <c r="H104" s="2888"/>
      <c r="I104" s="2889"/>
    </row>
    <row r="105" spans="1:35" ht="15.75">
      <c r="A105" s="2847" t="s">
        <v>1941</v>
      </c>
      <c r="B105" s="2848"/>
      <c r="C105" s="2848"/>
      <c r="D105" s="2849"/>
      <c r="E105" s="2193"/>
      <c r="F105" s="2892" t="s">
        <v>1942</v>
      </c>
      <c r="G105" s="2893"/>
      <c r="H105" s="2292" t="str">
        <f>C108</f>
        <v>总额（元）</v>
      </c>
      <c r="I105" s="1862">
        <f>SUMIF(I106:I108,"&lt;9E307")</f>
        <v>0</v>
      </c>
    </row>
    <row r="106" spans="1:35" ht="15">
      <c r="A106" s="2894" t="s">
        <v>1943</v>
      </c>
      <c r="B106" s="2895"/>
      <c r="C106" s="2289" t="str">
        <f>B101</f>
        <v>总价（元）</v>
      </c>
      <c r="D106" s="1051">
        <f ca="1">H121</f>
        <v>1163148</v>
      </c>
      <c r="E106" s="2193"/>
      <c r="F106" s="2855" t="s">
        <v>1944</v>
      </c>
      <c r="G106" s="2856"/>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894"/>
      <c r="B107" s="2895"/>
      <c r="C107" s="2289" t="s">
        <v>1938</v>
      </c>
      <c r="D107" s="1052">
        <f ca="1">I121</f>
        <v>12712</v>
      </c>
      <c r="E107" s="2193"/>
      <c r="F107" s="2855" t="s">
        <v>1945</v>
      </c>
      <c r="G107" s="2856"/>
      <c r="H107" s="2292" t="str">
        <f>C110</f>
        <v>总额（元）</v>
      </c>
      <c r="I107" s="1050">
        <f>C37</f>
        <v>0</v>
      </c>
      <c r="K107" s="2293"/>
    </row>
    <row r="108" spans="1:35" ht="15">
      <c r="A108" s="2937" t="s">
        <v>1946</v>
      </c>
      <c r="B108" s="2938"/>
      <c r="C108" s="2292" t="str">
        <f>IF(H19="元","总额（元）","总额（万元）")</f>
        <v>总额（元）</v>
      </c>
      <c r="D108" s="1051">
        <f>IF(D36="正常操作",I106+I107+I108,I107+I108)</f>
        <v>0</v>
      </c>
      <c r="E108" s="2193"/>
      <c r="F108" s="2855" t="s">
        <v>1947</v>
      </c>
      <c r="G108" s="2856"/>
      <c r="H108" s="2292" t="str">
        <f>C111</f>
        <v>总额（元）</v>
      </c>
      <c r="I108" s="1050">
        <f>C38</f>
        <v>0</v>
      </c>
    </row>
    <row r="109" spans="1:35" ht="15.75">
      <c r="A109" s="2855" t="s">
        <v>1944</v>
      </c>
      <c r="B109" s="2856"/>
      <c r="C109" s="2292" t="str">
        <f>C108</f>
        <v>总额（元）</v>
      </c>
      <c r="D109" s="637">
        <f>IF(D36="同一抵押权人同一抵押物续贷",C36&amp;"（未扣减，详见特别提示）",C36)</f>
        <v>0</v>
      </c>
      <c r="E109" s="2193"/>
      <c r="F109" s="2853"/>
      <c r="G109" s="2854"/>
      <c r="H109" s="2890"/>
      <c r="I109" s="2891"/>
    </row>
    <row r="110" spans="1:35" ht="28.5" customHeight="1">
      <c r="A110" s="2855" t="s">
        <v>1945</v>
      </c>
      <c r="B110" s="2856"/>
      <c r="C110" s="2292" t="str">
        <f>C108</f>
        <v>总额（元）</v>
      </c>
      <c r="D110" s="637">
        <f>C37</f>
        <v>0</v>
      </c>
      <c r="E110" s="2193"/>
      <c r="F110" s="2835" t="str">
        <f>IF(项目基本情况!F5="已注销","——","3.房地产抵押价值")</f>
        <v>3.房地产抵押价值</v>
      </c>
      <c r="G110" s="2836"/>
      <c r="H110" s="2294" t="str">
        <f>C112</f>
        <v>总价（元）</v>
      </c>
      <c r="I110" s="1863">
        <f ca="1">IF(F110="——","——",I102-I105)</f>
        <v>1163148</v>
      </c>
    </row>
    <row r="111" spans="1:35" ht="15">
      <c r="A111" s="2855" t="s">
        <v>1947</v>
      </c>
      <c r="B111" s="2856"/>
      <c r="C111" s="2292" t="str">
        <f>C108</f>
        <v>总额（元）</v>
      </c>
      <c r="D111" s="637">
        <f>C38</f>
        <v>0</v>
      </c>
      <c r="E111" s="2193"/>
      <c r="F111" s="2837"/>
      <c r="G111" s="2838"/>
      <c r="H111" s="2289" t="s">
        <v>1938</v>
      </c>
      <c r="I111" s="2295">
        <f ca="1">D113</f>
        <v>12712</v>
      </c>
    </row>
    <row r="112" spans="1:35" ht="26.25" customHeight="1">
      <c r="A112" s="2894" t="str">
        <f>IF(项目基本情况!F5="已注销","——","3.房地产抵押价值")</f>
        <v>3.房地产抵押价值</v>
      </c>
      <c r="B112" s="2895"/>
      <c r="C112" s="2289" t="str">
        <f>B101</f>
        <v>总价（元）</v>
      </c>
      <c r="D112" s="1051">
        <f ca="1">IF(A112="——","——",D106-D108)</f>
        <v>1163148</v>
      </c>
      <c r="E112" s="2193"/>
      <c r="F112" s="2835" t="str">
        <f>IF(项目基本情况!F5="已注销及未注销","4.抵押担保权已注销时的房地产抵押价值",IF(项目基本情况!F5="已注销","3.抵押担保权已注销时的房地产抵押价值","——"))</f>
        <v>——</v>
      </c>
      <c r="G112" s="2836"/>
      <c r="H112" s="2294" t="str">
        <f>C114</f>
        <v>总价（元）</v>
      </c>
      <c r="I112" s="1863" t="str">
        <f>IF(F112="——","——",I102-I107-I108)</f>
        <v>——</v>
      </c>
    </row>
    <row r="113" spans="1:15" ht="15">
      <c r="A113" s="2894"/>
      <c r="B113" s="2895"/>
      <c r="C113" s="2289" t="s">
        <v>1938</v>
      </c>
      <c r="D113" s="1052">
        <f ca="1">ROUND(IF(D112=D106,D107,IF(H19="元",D112/项目基本情况!C12,D112*10000/项目基本情况!C12)),0)</f>
        <v>12712</v>
      </c>
      <c r="E113" s="2193"/>
      <c r="F113" s="2837"/>
      <c r="G113" s="2838"/>
      <c r="H113" s="2289" t="s">
        <v>1938</v>
      </c>
      <c r="I113" s="2296" t="str">
        <f>D115</f>
        <v>——</v>
      </c>
    </row>
    <row r="114" spans="1:15" ht="15.75">
      <c r="A114" s="2894" t="str">
        <f>IF(项目基本情况!F5="已注销及未注销","4.抵押担保权已注销时的房地产抵押价值",IF(项目基本情况!F5="已注销","3.抵押担保权已注销时的房地产抵押价值","——"))</f>
        <v>——</v>
      </c>
      <c r="B114" s="2895"/>
      <c r="C114" s="2289" t="str">
        <f>B101</f>
        <v>总价（元）</v>
      </c>
      <c r="D114" s="1051" t="str">
        <f>IF(A114="——","——",D106-D110-D111)</f>
        <v>——</v>
      </c>
      <c r="E114" s="2193"/>
      <c r="F114" s="2835" t="str">
        <f>IF(项目基本情况!G5="抵押净值",IF(OR(项目基本情况!F5="已注销",项目基本情况!F5="房地产抵押价值"),"4.抵押净值","5.抵押净值"),"——")</f>
        <v>——</v>
      </c>
      <c r="G114" s="2836"/>
      <c r="H114" s="2289" t="str">
        <f>C116</f>
        <v>总价（元）</v>
      </c>
      <c r="I114" s="1862" t="str">
        <f>IF(F114="——","——",N59)</f>
        <v>——</v>
      </c>
    </row>
    <row r="115" spans="1:15" ht="15.75" thickBot="1">
      <c r="A115" s="2894"/>
      <c r="B115" s="2895"/>
      <c r="C115" s="2289" t="s">
        <v>1938</v>
      </c>
      <c r="D115" s="1052" t="str">
        <f>IF(A114="——","——",ROUND(IF(D114=D106,D107,IF(H19="元",D114/项目基本情况!C12,D114*10000/项目基本情况!C12)),0))</f>
        <v>——</v>
      </c>
      <c r="E115" s="2193"/>
      <c r="F115" s="2928"/>
      <c r="G115" s="2929"/>
      <c r="H115" s="2297" t="s">
        <v>1938</v>
      </c>
      <c r="I115" s="1864" t="str">
        <f ca="1">D117</f>
        <v>——</v>
      </c>
    </row>
    <row r="116" spans="1:15" ht="15.75">
      <c r="A116" s="2894" t="str">
        <f>IF(项目基本情况!G5="抵押净值",IF(OR(项目基本情况!F5="已注销",项目基本情况!F5="房地产抵押价值"),"4.抵押净值","5.抵押净值"),"——")</f>
        <v>——</v>
      </c>
      <c r="B116" s="2895"/>
      <c r="C116" s="2289" t="str">
        <f>B101</f>
        <v>总价（元）</v>
      </c>
      <c r="D116" s="1051" t="str">
        <f>IF(A116="——","——",N59)</f>
        <v>——</v>
      </c>
      <c r="E116" s="2193"/>
      <c r="F116" s="2831"/>
      <c r="G116" s="2831"/>
      <c r="H116" s="2873"/>
      <c r="I116" s="2873"/>
      <c r="N116" s="55"/>
      <c r="O116" s="55"/>
    </row>
    <row r="117" spans="1:15" ht="15.75" thickBot="1">
      <c r="A117" s="2935"/>
      <c r="B117" s="2936"/>
      <c r="C117" s="2297" t="s">
        <v>1938</v>
      </c>
      <c r="D117" s="1053" t="str">
        <f ca="1">IF(D116=D112,D113,IF(A116="——","——",N61))</f>
        <v>——</v>
      </c>
      <c r="E117" s="2193"/>
      <c r="F117" s="2925" t="str">
        <f>IF(B32="总价","（以上估价结果中单价为总价除以建筑面积得出）","（以上估价结果中总价为楼面单价乘以建筑面积得出）")</f>
        <v>（以上估价结果中总价为楼面单价乘以建筑面积得出）</v>
      </c>
      <c r="G117" s="2925"/>
      <c r="H117" s="2925"/>
      <c r="I117" s="2925"/>
      <c r="N117" s="55"/>
      <c r="O117" s="55"/>
    </row>
    <row r="118" spans="1:15" ht="15">
      <c r="A118" s="2874" t="s">
        <v>1948</v>
      </c>
      <c r="B118" s="2875"/>
      <c r="C118" s="2875"/>
      <c r="D118" s="2875"/>
      <c r="E118" s="2875"/>
      <c r="F118" s="2875"/>
      <c r="G118" s="2875"/>
      <c r="H118" s="2875"/>
      <c r="I118" s="2875"/>
    </row>
    <row r="119" spans="1:15" ht="14.25">
      <c r="A119" s="2846" t="s">
        <v>1949</v>
      </c>
      <c r="B119" s="2844" t="s">
        <v>1950</v>
      </c>
      <c r="C119" s="2844" t="s">
        <v>1951</v>
      </c>
      <c r="D119" s="2851" t="s">
        <v>1952</v>
      </c>
      <c r="E119" s="2852"/>
      <c r="F119" s="2842" t="s">
        <v>1810</v>
      </c>
      <c r="G119" s="2842"/>
      <c r="H119" s="2842" t="s">
        <v>1953</v>
      </c>
      <c r="I119" s="2843"/>
    </row>
    <row r="120" spans="1:15" ht="14.25">
      <c r="A120" s="2846"/>
      <c r="B120" s="2845"/>
      <c r="C120" s="2845"/>
      <c r="D120" s="1887" t="s">
        <v>1954</v>
      </c>
      <c r="E120" s="1887" t="s">
        <v>1955</v>
      </c>
      <c r="F120" s="1887" t="s">
        <v>1954</v>
      </c>
      <c r="G120" s="1887" t="s">
        <v>1956</v>
      </c>
      <c r="H120" s="1887" t="s">
        <v>1954</v>
      </c>
      <c r="I120" s="637" t="s">
        <v>1956</v>
      </c>
    </row>
    <row r="121" spans="1:15" ht="14.25">
      <c r="A121" s="2179" t="str">
        <f>项目基本情况!I1</f>
        <v>北京市房地产</v>
      </c>
      <c r="B121" s="1887">
        <f>项目基本情况!C12</f>
        <v>91.5</v>
      </c>
      <c r="C121" s="1887">
        <f>项目基本情况!C13</f>
        <v>0</v>
      </c>
      <c r="D121" s="1887">
        <f ca="1">ROUND(IF(B32="总价",C34,IF('数据-取费表'!B3="万元",E121*B121/10000,E121*B121)),0)</f>
        <v>7114949</v>
      </c>
      <c r="E121" s="1887">
        <f ca="1">ROUND(IF(B32="楼面单价",C34,IF(H19="元",D121/B121,D121*10000/B121)),0)</f>
        <v>77759</v>
      </c>
      <c r="F121" s="1887">
        <f ca="1">ROUND(IF(B32="总价",C35,IF('数据-取费表'!B3="万元",G121*B121/10000,G121*B121)),0)</f>
        <v>-5951801</v>
      </c>
      <c r="G121" s="1887">
        <f ca="1">ROUND(IF(B32="楼面单价",C35,IF(H19="元",F121/B121,F121*10000/B121)),0)</f>
        <v>-65047</v>
      </c>
      <c r="H121" s="1887">
        <f ca="1">ROUND(IF(B32="总价",C32,IF('数据-取费表'!B3="万元",I121*B121/10000,I121*B121)),0)</f>
        <v>1163148</v>
      </c>
      <c r="I121" s="637">
        <f ca="1">ROUND(IF(B32="楼面单价",C32,IF(H19="元",H121/B121,H121*10000/B121)),0)</f>
        <v>12712</v>
      </c>
    </row>
    <row r="122" spans="1:15" ht="14.25">
      <c r="A122" s="2846" t="s">
        <v>1957</v>
      </c>
      <c r="B122" s="2842"/>
      <c r="C122" s="2842"/>
      <c r="D122" s="2878" t="str">
        <f ca="1">IF(H19="元",NUMBERSTRING(INT(D121),2)&amp;"元整",NUMBERSTRING(INT(D121*10000),2)&amp;"元整")</f>
        <v>柒佰壹拾壹万肆仟玖佰肆拾玖元整</v>
      </c>
      <c r="E122" s="2879"/>
      <c r="F122" s="2878" t="e">
        <f ca="1">IF(H19="元",NUMBERSTRING(INT(F121),2)&amp;"元整",NUMBERSTRING(INT(F121*10000),2)&amp;"元整")</f>
        <v>#NUM!</v>
      </c>
      <c r="G122" s="2879"/>
      <c r="H122" s="2878" t="str">
        <f ca="1">IF(H19="元",NUMBERSTRING(INT(H121),2)&amp;"元整",NUMBERSTRING(INT(H121*10000),2)&amp;"元整")</f>
        <v>壹佰壹拾陆万叁仟壹佰肆拾捌元整</v>
      </c>
      <c r="I122" s="2943"/>
    </row>
    <row r="123" spans="1:15" ht="15">
      <c r="A123" s="2880" t="str">
        <f>IF(项目基本情况!D5="房地产市场价值","——",MID(A108,3,LEN(A108)-2))</f>
        <v>——</v>
      </c>
      <c r="B123" s="2881"/>
      <c r="C123" s="2882"/>
      <c r="D123" s="2871">
        <f>I105</f>
        <v>0</v>
      </c>
      <c r="E123" s="2881"/>
      <c r="F123" s="2881"/>
      <c r="G123" s="2881"/>
      <c r="H123" s="2881"/>
      <c r="I123" s="2930"/>
    </row>
    <row r="124" spans="1:15" ht="14.25">
      <c r="A124" s="2883" t="s">
        <v>1957</v>
      </c>
      <c r="B124" s="2884"/>
      <c r="C124" s="2885"/>
      <c r="D124" s="2931">
        <f>H109</f>
        <v>0</v>
      </c>
      <c r="E124" s="2932"/>
      <c r="F124" s="2932"/>
      <c r="G124" s="2932"/>
      <c r="H124" s="2932"/>
      <c r="I124" s="2933"/>
    </row>
    <row r="125" spans="1:15" ht="15">
      <c r="A125" s="2869" t="str">
        <f>IF(项目基本情况!D5="房地产市场价值","——",MID(A112,3,LEN(A112)-2))</f>
        <v>——</v>
      </c>
      <c r="B125" s="2870"/>
      <c r="C125" s="2870"/>
      <c r="D125" s="2871">
        <f ca="1">I110</f>
        <v>1163148</v>
      </c>
      <c r="E125" s="2881"/>
      <c r="F125" s="2881"/>
      <c r="G125" s="2881"/>
      <c r="H125" s="2881"/>
      <c r="I125" s="2930"/>
    </row>
    <row r="126" spans="1:15" ht="14.25">
      <c r="A126" s="2846" t="s">
        <v>1957</v>
      </c>
      <c r="B126" s="2842"/>
      <c r="C126" s="2842"/>
      <c r="D126" s="2931">
        <f ca="1">I111</f>
        <v>12712</v>
      </c>
      <c r="E126" s="2932"/>
      <c r="F126" s="2932"/>
      <c r="G126" s="2932"/>
      <c r="H126" s="2932"/>
      <c r="I126" s="2933"/>
    </row>
    <row r="127" spans="1:15" ht="15.75" thickBot="1">
      <c r="A127" s="2869" t="str">
        <f>IF(项目基本情况!D5="房地产市场价值","——",MID(A114,3,LEN(A114)-2))</f>
        <v>——</v>
      </c>
      <c r="B127" s="2870"/>
      <c r="C127" s="2870"/>
      <c r="D127" s="2826" t="str">
        <f>I112</f>
        <v>——</v>
      </c>
      <c r="E127" s="2827"/>
      <c r="F127" s="2827"/>
      <c r="G127" s="2827"/>
      <c r="H127" s="2827"/>
      <c r="I127" s="2828"/>
    </row>
    <row r="128" spans="1:15" ht="15.75" thickTop="1" thickBot="1">
      <c r="A128" s="2846" t="s">
        <v>1957</v>
      </c>
      <c r="B128" s="2842"/>
      <c r="C128" s="2926"/>
      <c r="D128" s="2872" t="str">
        <f>I113</f>
        <v>——</v>
      </c>
      <c r="E128" s="2872"/>
      <c r="F128" s="2872"/>
      <c r="G128" s="2872"/>
      <c r="H128" s="2872"/>
      <c r="I128" s="2872"/>
    </row>
    <row r="129" spans="1:9" ht="16.5" thickTop="1" thickBot="1">
      <c r="A129" s="2869" t="str">
        <f>IF(项目基本情况!D5="房地产市场价值","——",MID(F114,3,LEN(F114)-2))</f>
        <v>——</v>
      </c>
      <c r="B129" s="2870"/>
      <c r="C129" s="2871"/>
      <c r="D129" s="2934" t="str">
        <f>I114</f>
        <v>——</v>
      </c>
      <c r="E129" s="2934"/>
      <c r="F129" s="2934"/>
      <c r="G129" s="2934"/>
      <c r="H129" s="2934"/>
      <c r="I129" s="2934"/>
    </row>
    <row r="130" spans="1:9" ht="15.75" thickTop="1" thickBot="1">
      <c r="A130" s="2939" t="s">
        <v>1957</v>
      </c>
      <c r="B130" s="2940"/>
      <c r="C130" s="2940"/>
      <c r="D130" s="2944">
        <f>H116</f>
        <v>0</v>
      </c>
      <c r="E130" s="2945"/>
      <c r="F130" s="2945"/>
      <c r="G130" s="2945"/>
      <c r="H130" s="2945"/>
      <c r="I130" s="2946"/>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24" t="str">
        <f>IF(B32="总价","（以上估价结果中楼面单价为总价除以建筑面积得出）","（以上估价结果中总价为楼面单价乘以建筑面积得出）")</f>
        <v>（以上估价结果中总价为楼面单价乘以建筑面积得出）</v>
      </c>
      <c r="B132" s="2924"/>
      <c r="C132" s="2924"/>
      <c r="D132" s="2924"/>
      <c r="E132" s="2924"/>
      <c r="F132" s="2924"/>
      <c r="G132" s="2924"/>
      <c r="H132" s="2924"/>
      <c r="I132" s="2924"/>
    </row>
    <row r="133" spans="1:9" ht="21.75" customHeight="1">
      <c r="A133" s="2298" t="s">
        <v>1958</v>
      </c>
      <c r="B133" s="2299"/>
      <c r="C133" s="2300" t="s">
        <v>1959</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1960</v>
      </c>
      <c r="G139" s="2312"/>
      <c r="H139" s="2312"/>
      <c r="I139" s="2313" t="s">
        <v>1961</v>
      </c>
    </row>
    <row r="140" spans="1:9" ht="21.75" customHeight="1">
      <c r="A140" s="798"/>
      <c r="B140" s="2314"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1963</v>
      </c>
    </row>
    <row r="143" spans="1:9" ht="21.75" customHeight="1">
      <c r="A143" s="798"/>
      <c r="B143" s="2314" t="s">
        <v>1964</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1963</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1965</v>
      </c>
      <c r="B1" s="2193"/>
      <c r="C1" s="2193"/>
      <c r="D1" s="2193"/>
      <c r="E1" s="2193"/>
      <c r="F1" s="2193"/>
      <c r="G1" s="2193"/>
      <c r="H1" s="2193"/>
      <c r="I1" s="2193"/>
    </row>
    <row r="2" spans="1:12" ht="21.75" customHeight="1">
      <c r="A2" s="2948" t="s">
        <v>1966</v>
      </c>
      <c r="B2" s="2948"/>
      <c r="C2" s="2948"/>
      <c r="D2" s="2948"/>
      <c r="E2" s="2948"/>
      <c r="F2" s="2948"/>
      <c r="G2" s="2948"/>
      <c r="H2" s="2948"/>
      <c r="I2" s="2948"/>
    </row>
    <row r="3" spans="1:12" ht="12.75">
      <c r="A3" s="2902" t="s">
        <v>1770</v>
      </c>
      <c r="B3" s="2903"/>
      <c r="C3" s="2903"/>
      <c r="D3" s="2903"/>
      <c r="E3" s="2903"/>
      <c r="F3" s="2903"/>
      <c r="G3" s="2903"/>
      <c r="H3" s="2903"/>
      <c r="I3" s="2903"/>
    </row>
    <row r="4" spans="1:12" ht="14.25">
      <c r="A4" s="2195" t="s">
        <v>1771</v>
      </c>
      <c r="B4" s="2196" t="s">
        <v>1772</v>
      </c>
      <c r="C4" s="2197"/>
      <c r="D4" s="2197"/>
      <c r="E4" s="2907" t="s">
        <v>1967</v>
      </c>
      <c r="F4" s="2908"/>
      <c r="G4" s="2908"/>
      <c r="H4" s="2908"/>
      <c r="I4" s="290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7" t="s">
        <v>1774</v>
      </c>
      <c r="B5" s="2842">
        <v>25</v>
      </c>
      <c r="C5" s="2904"/>
      <c r="D5" s="2901"/>
      <c r="E5" s="56" t="s">
        <v>1775</v>
      </c>
      <c r="F5" s="2198"/>
      <c r="G5" s="2198"/>
      <c r="H5" s="2198"/>
      <c r="I5" s="2199"/>
    </row>
    <row r="6" spans="1:12" ht="12.75">
      <c r="A6" s="2897"/>
      <c r="B6" s="2842"/>
      <c r="C6" s="2905"/>
      <c r="D6" s="2901"/>
      <c r="E6" s="56" t="s">
        <v>1776</v>
      </c>
      <c r="F6" s="2198"/>
      <c r="G6" s="2198"/>
      <c r="H6" s="2198"/>
      <c r="I6" s="2199"/>
    </row>
    <row r="7" spans="1:12" ht="12.75">
      <c r="A7" s="2897"/>
      <c r="B7" s="2842"/>
      <c r="C7" s="2906"/>
      <c r="D7" s="2901"/>
      <c r="E7" s="56" t="s">
        <v>1777</v>
      </c>
      <c r="F7" s="2198"/>
      <c r="G7" s="2198"/>
      <c r="H7" s="2198"/>
      <c r="I7" s="2199"/>
    </row>
    <row r="8" spans="1:12" ht="12.75">
      <c r="A8" s="2897" t="s">
        <v>1778</v>
      </c>
      <c r="B8" s="2842">
        <v>15</v>
      </c>
      <c r="C8" s="2904"/>
      <c r="D8" s="2901"/>
      <c r="E8" s="56" t="s">
        <v>1779</v>
      </c>
      <c r="F8" s="2198"/>
      <c r="G8" s="2198"/>
      <c r="H8" s="2198"/>
      <c r="I8" s="2199"/>
    </row>
    <row r="9" spans="1:12" ht="12.75">
      <c r="A9" s="2897"/>
      <c r="B9" s="2842"/>
      <c r="C9" s="2906"/>
      <c r="D9" s="2901"/>
      <c r="E9" s="56" t="s">
        <v>1780</v>
      </c>
      <c r="F9" s="2198"/>
      <c r="G9" s="2198"/>
      <c r="H9" s="2198"/>
      <c r="I9" s="2199"/>
    </row>
    <row r="10" spans="1:12" ht="12.75">
      <c r="A10" s="2897" t="s">
        <v>1781</v>
      </c>
      <c r="B10" s="2842">
        <v>15</v>
      </c>
      <c r="C10" s="2904"/>
      <c r="D10" s="2901"/>
      <c r="E10" s="56" t="s">
        <v>1782</v>
      </c>
      <c r="F10" s="2198"/>
      <c r="G10" s="2198"/>
      <c r="H10" s="2198"/>
      <c r="I10" s="2199"/>
    </row>
    <row r="11" spans="1:12" ht="12.75">
      <c r="A11" s="2897"/>
      <c r="B11" s="2842"/>
      <c r="C11" s="2906"/>
      <c r="D11" s="2901"/>
      <c r="E11" s="56" t="s">
        <v>1783</v>
      </c>
      <c r="F11" s="2198"/>
      <c r="G11" s="2198"/>
      <c r="H11" s="2198"/>
      <c r="I11" s="2199"/>
    </row>
    <row r="12" spans="1:12" ht="12.75">
      <c r="A12" s="2897" t="s">
        <v>1784</v>
      </c>
      <c r="B12" s="2842">
        <v>15</v>
      </c>
      <c r="C12" s="2904"/>
      <c r="D12" s="2901"/>
      <c r="E12" s="56" t="s">
        <v>1785</v>
      </c>
      <c r="F12" s="2198"/>
      <c r="G12" s="2198"/>
      <c r="H12" s="2198"/>
      <c r="I12" s="2199"/>
    </row>
    <row r="13" spans="1:12" ht="12.75">
      <c r="A13" s="2897"/>
      <c r="B13" s="2842"/>
      <c r="C13" s="2906"/>
      <c r="D13" s="2901"/>
      <c r="E13" s="56" t="s">
        <v>1786</v>
      </c>
      <c r="F13" s="2198"/>
      <c r="G13" s="2198"/>
      <c r="H13" s="2198"/>
      <c r="I13" s="2199"/>
    </row>
    <row r="14" spans="1:12" ht="12.75">
      <c r="A14" s="2897" t="s">
        <v>1787</v>
      </c>
      <c r="B14" s="2842">
        <v>30</v>
      </c>
      <c r="C14" s="2904"/>
      <c r="D14" s="2901"/>
      <c r="E14" s="56" t="s">
        <v>1788</v>
      </c>
      <c r="F14" s="2198"/>
      <c r="G14" s="2198"/>
      <c r="H14" s="2198"/>
      <c r="I14" s="2199"/>
    </row>
    <row r="15" spans="1:12" ht="12.75">
      <c r="A15" s="2897"/>
      <c r="B15" s="2842"/>
      <c r="C15" s="2905"/>
      <c r="D15" s="2901"/>
      <c r="E15" s="56" t="s">
        <v>1789</v>
      </c>
      <c r="F15" s="2198"/>
      <c r="G15" s="2198"/>
      <c r="H15" s="2198"/>
      <c r="I15" s="2199"/>
    </row>
    <row r="16" spans="1:12" ht="12.75">
      <c r="A16" s="2897"/>
      <c r="B16" s="2842"/>
      <c r="C16" s="2906"/>
      <c r="D16" s="2901"/>
      <c r="E16" s="56" t="s">
        <v>1790</v>
      </c>
      <c r="F16" s="2198"/>
      <c r="G16" s="2198"/>
      <c r="H16" s="2198"/>
      <c r="I16" s="2199"/>
    </row>
    <row r="17" spans="1:35" ht="15">
      <c r="A17" s="2200" t="s">
        <v>1791</v>
      </c>
      <c r="B17" s="2201"/>
      <c r="C17" s="57">
        <f>SUM(C5:C16)</f>
        <v>0</v>
      </c>
      <c r="D17" s="57">
        <f>SUM(D5:D16)</f>
        <v>0</v>
      </c>
      <c r="E17" s="2193"/>
      <c r="F17" s="2193"/>
      <c r="G17" s="2193"/>
      <c r="H17" s="2193"/>
      <c r="I17" s="2193"/>
    </row>
    <row r="18" spans="1:35" ht="15.75" thickBot="1">
      <c r="A18" s="2202" t="s">
        <v>1792</v>
      </c>
      <c r="B18" s="2203"/>
      <c r="C18" s="58" t="e">
        <f>ROUND(C17/SUM(C17:D17),2)</f>
        <v>#DIV/0!</v>
      </c>
      <c r="D18" s="58" t="e">
        <f>1-C18</f>
        <v>#DIV/0!</v>
      </c>
      <c r="E18" s="2193"/>
      <c r="F18" s="2193"/>
      <c r="G18" s="2193"/>
      <c r="H18" s="2193"/>
      <c r="I18" s="2193"/>
    </row>
    <row r="19" spans="1:35" ht="15">
      <c r="A19" s="2204" t="s">
        <v>1793</v>
      </c>
      <c r="B19" s="2205" t="s">
        <v>1794</v>
      </c>
      <c r="C19" s="59" t="e">
        <f ca="1">SUMIF(INDIRECT("'"&amp;C4&amp;"'"&amp;"!A:A"),'结果表 (1修多)'!B19,INDIRECT("'"&amp;C4&amp;"'"&amp;"!B:B"))</f>
        <v>#REF!</v>
      </c>
      <c r="D19" s="60" t="e">
        <f ca="1">SUMIF(INDIRECT("'"&amp;D4&amp;"'"&amp;"!A:A"),'结果表 (1修多)'!B19,INDIRECT("'"&amp;D4&amp;"'"&amp;"!B:B"))</f>
        <v>#REF!</v>
      </c>
      <c r="E19" s="2204" t="s">
        <v>1795</v>
      </c>
      <c r="F19" s="2205" t="s">
        <v>1794</v>
      </c>
      <c r="G19" s="61" t="e">
        <f ca="1">ROUND(C19*$C$18+D19*$D$18,0)</f>
        <v>#REF!</v>
      </c>
      <c r="H19" s="2206" t="str">
        <f>'数据-取费表'!B3</f>
        <v>元</v>
      </c>
      <c r="I19" s="2193"/>
    </row>
    <row r="20" spans="1:35" ht="15">
      <c r="A20" s="2207"/>
      <c r="B20" s="2208" t="s">
        <v>1796</v>
      </c>
      <c r="C20" s="62" t="e">
        <f ca="1">SUMIF(INDIRECT("'"&amp;C4&amp;"'"&amp;"!A:A"),'结果表 (1修多)'!B20,INDIRECT("'"&amp;C4&amp;"'"&amp;"!B:B"))</f>
        <v>#REF!</v>
      </c>
      <c r="D20" s="63" t="e">
        <f ca="1">SUMIF(INDIRECT("'"&amp;D4&amp;"'"&amp;"!A:A"),'结果表 (1修多)'!B20,INDIRECT("'"&amp;D4&amp;"'"&amp;"!B:B"))</f>
        <v>#REF!</v>
      </c>
      <c r="E20" s="2207"/>
      <c r="F20" s="2208" t="s">
        <v>1796</v>
      </c>
      <c r="G20" s="64" t="e">
        <f ca="1">ROUND(C20*$C$18+D20*$D$18,0)</f>
        <v>#REF!</v>
      </c>
      <c r="H20" s="2209" t="s">
        <v>1797</v>
      </c>
      <c r="I20" s="2193"/>
    </row>
    <row r="21" spans="1:35" ht="15" customHeight="1" thickBot="1">
      <c r="A21" s="2210"/>
      <c r="B21" s="2211"/>
      <c r="C21" s="770"/>
      <c r="D21" s="771"/>
      <c r="E21" s="2210"/>
      <c r="F21" s="2211"/>
      <c r="G21" s="65"/>
      <c r="H21" s="2212"/>
      <c r="I21" s="2193"/>
    </row>
    <row r="22" spans="1:35" ht="15" thickBot="1">
      <c r="A22" s="2213" t="s">
        <v>1798</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10" t="s">
        <v>1799</v>
      </c>
      <c r="B24" s="2205" t="s">
        <v>1794</v>
      </c>
      <c r="C24" s="61">
        <f>D30</f>
        <v>0</v>
      </c>
      <c r="D24" s="994"/>
      <c r="E24" s="2193"/>
      <c r="F24" s="2193"/>
      <c r="G24" s="2193"/>
      <c r="H24" s="2193"/>
      <c r="I24" s="2193"/>
    </row>
    <row r="25" spans="1:35" ht="21.75" customHeight="1">
      <c r="A25" s="2911"/>
      <c r="B25" s="2208" t="s">
        <v>1796</v>
      </c>
      <c r="C25" s="66">
        <f>IF(B30=0,0,C30)</f>
        <v>0</v>
      </c>
      <c r="D25" s="2216"/>
      <c r="E25" s="2193"/>
      <c r="F25" s="2193"/>
      <c r="G25" s="2193"/>
      <c r="H25" s="2193"/>
      <c r="I25" s="2193"/>
    </row>
    <row r="26" spans="1:35" ht="13.5" customHeight="1">
      <c r="A26" s="2217" t="s">
        <v>1800</v>
      </c>
      <c r="B26" s="67" t="s">
        <v>1801</v>
      </c>
      <c r="C26" s="67" t="s">
        <v>1802</v>
      </c>
      <c r="D26" s="68" t="s">
        <v>1803</v>
      </c>
      <c r="E26" s="2193"/>
      <c r="F26" s="2193"/>
      <c r="G26" s="2193"/>
      <c r="H26" s="2193"/>
      <c r="I26" s="2193"/>
    </row>
    <row r="27" spans="1:35" ht="14.25">
      <c r="A27" s="2218" t="s">
        <v>1968</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1969</v>
      </c>
      <c r="B30" s="2715"/>
      <c r="C30" s="2715"/>
      <c r="D30" s="2715"/>
      <c r="E30" s="2713" t="s">
        <v>2802</v>
      </c>
      <c r="F30" s="2193"/>
      <c r="G30" s="2193"/>
      <c r="H30" s="2193"/>
      <c r="I30" s="2193"/>
    </row>
    <row r="31" spans="1:35" s="2220" customFormat="1" ht="15.75" thickBot="1">
      <c r="A31" s="2958" t="s">
        <v>1970</v>
      </c>
      <c r="B31" s="2958"/>
      <c r="C31" s="2958"/>
      <c r="D31" s="2958"/>
      <c r="E31" s="2958"/>
      <c r="F31" s="2958"/>
      <c r="G31" s="2958"/>
      <c r="H31" s="2958"/>
      <c r="I31" s="295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1971</v>
      </c>
      <c r="C32" s="1308">
        <f ca="1">典型户型修正!R27</f>
        <v>12712</v>
      </c>
      <c r="D32" s="2193" t="s">
        <v>1972</v>
      </c>
      <c r="E32" s="2193"/>
      <c r="F32" s="2193"/>
      <c r="G32" s="2193"/>
      <c r="H32" s="2193"/>
      <c r="I32" s="2193"/>
    </row>
    <row r="33" spans="1:16" ht="15">
      <c r="A33" s="2320" t="s">
        <v>1973</v>
      </c>
      <c r="B33" s="2321" t="s">
        <v>1974</v>
      </c>
      <c r="C33" s="1309">
        <f ca="1">典型户型修正!B2</f>
        <v>36839535</v>
      </c>
      <c r="D33" s="2322" t="str">
        <f>IF('数据-取费表'!B3="万元","万元","元")</f>
        <v>元</v>
      </c>
      <c r="E33" s="2193"/>
      <c r="F33" s="2193"/>
      <c r="G33" s="2193"/>
      <c r="H33" s="2193"/>
      <c r="I33" s="2193"/>
    </row>
    <row r="34" spans="1:16" ht="15.75" thickBot="1">
      <c r="A34" s="2323"/>
      <c r="B34" s="2324" t="s">
        <v>1975</v>
      </c>
      <c r="C34" s="771">
        <f ca="1">典型户型修正!B3</f>
        <v>12769</v>
      </c>
      <c r="D34" s="2193" t="s">
        <v>1976</v>
      </c>
      <c r="E34" s="2193"/>
      <c r="F34" s="2193"/>
      <c r="G34" s="2193"/>
      <c r="H34" s="2193"/>
      <c r="I34" s="2193"/>
    </row>
    <row r="35" spans="1:16" ht="15">
      <c r="A35" s="2325"/>
      <c r="B35" s="2326" t="s">
        <v>1977</v>
      </c>
      <c r="C35" s="1316">
        <f>IF('数据-取费表'!B3="万元",典型户型修正!V25,典型户型修正!U25)</f>
        <v>0</v>
      </c>
      <c r="D35" s="2193" t="str">
        <f>D33</f>
        <v>元</v>
      </c>
      <c r="E35" s="2193"/>
      <c r="F35" s="2193"/>
      <c r="G35" s="2193"/>
      <c r="H35" s="2193"/>
      <c r="I35" s="2193"/>
    </row>
    <row r="36" spans="1:16" ht="15.75" thickBot="1">
      <c r="A36" s="2232"/>
      <c r="B36" s="2327" t="s">
        <v>1978</v>
      </c>
      <c r="C36" s="1317">
        <f>IF('数据-取费表'!B3="万元",典型户型修正!Y25,典型户型修正!X25)</f>
        <v>0</v>
      </c>
      <c r="D36" s="2193" t="str">
        <f>D33</f>
        <v>元</v>
      </c>
      <c r="E36" s="2193"/>
      <c r="F36" s="2193"/>
      <c r="G36" s="2193"/>
      <c r="H36" s="2193"/>
      <c r="I36" s="2193"/>
    </row>
    <row r="37" spans="1:16" ht="15.75" thickBot="1">
      <c r="A37" s="2915" t="s">
        <v>1979</v>
      </c>
      <c r="B37" s="2235" t="s">
        <v>1980</v>
      </c>
      <c r="C37" s="69"/>
      <c r="D37" s="2236"/>
      <c r="E37" s="2237"/>
      <c r="F37" s="2237"/>
      <c r="G37" s="2193"/>
      <c r="H37" s="2193"/>
      <c r="I37" s="2193"/>
    </row>
    <row r="38" spans="1:16" ht="15.75" thickBot="1">
      <c r="A38" s="2916"/>
      <c r="B38" s="2238" t="s">
        <v>1981</v>
      </c>
      <c r="C38" s="71"/>
      <c r="D38" s="2203"/>
      <c r="E38" s="2203"/>
      <c r="F38" s="2237"/>
      <c r="G38" s="2203"/>
      <c r="H38" s="2203"/>
      <c r="I38" s="2203"/>
    </row>
    <row r="39" spans="1:16" ht="15.75" thickBot="1">
      <c r="A39" s="2917"/>
      <c r="B39" s="2239" t="s">
        <v>1982</v>
      </c>
      <c r="C39" s="712"/>
      <c r="D39" s="2240" t="s">
        <v>1983</v>
      </c>
      <c r="E39" s="2203"/>
      <c r="F39" s="2237"/>
      <c r="G39" s="2203"/>
      <c r="H39" s="2203"/>
      <c r="I39" s="2203"/>
    </row>
    <row r="40" spans="1:16" ht="15">
      <c r="A40" s="2207" t="s">
        <v>1984</v>
      </c>
      <c r="B40" s="2241" t="s">
        <v>1985</v>
      </c>
      <c r="C40" s="2242" t="s">
        <v>1986</v>
      </c>
      <c r="D40" s="2242" t="s">
        <v>1987</v>
      </c>
      <c r="E40" s="2243" t="s">
        <v>1988</v>
      </c>
      <c r="F40" s="2237"/>
      <c r="G40" s="2203"/>
      <c r="H40" s="2203"/>
      <c r="I40" s="2203"/>
    </row>
    <row r="41" spans="1:16" ht="14.25">
      <c r="A41" s="2244" t="s">
        <v>1989</v>
      </c>
      <c r="B41" s="74"/>
      <c r="C41" s="75"/>
      <c r="D41" s="75"/>
      <c r="E41" s="76"/>
      <c r="F41" s="2237"/>
      <c r="G41" s="2203"/>
      <c r="H41" s="2203"/>
      <c r="I41" s="2203"/>
    </row>
    <row r="42" spans="1:16" ht="14.25">
      <c r="A42" s="2244" t="s">
        <v>1990</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1991</v>
      </c>
      <c r="B45" s="2250"/>
      <c r="C45" s="2250"/>
      <c r="D45" s="2251"/>
      <c r="E45" s="2251"/>
      <c r="F45" s="2252"/>
      <c r="G45" s="2252"/>
      <c r="H45" s="2252"/>
      <c r="I45" s="2252"/>
      <c r="J45" s="2253" t="s">
        <v>1822</v>
      </c>
      <c r="K45" s="2254"/>
      <c r="L45" s="2254"/>
      <c r="M45" s="2254"/>
      <c r="N45" s="2254"/>
      <c r="O45" s="2254"/>
      <c r="P45" s="1845"/>
    </row>
    <row r="46" spans="1:16" ht="14.25" customHeight="1" thickBot="1">
      <c r="A46" s="2920" t="s">
        <v>1992</v>
      </c>
      <c r="B46" s="2921"/>
      <c r="C46" s="2922"/>
      <c r="D46" s="80">
        <f ca="1">ROUND(I103*F46,0)</f>
        <v>36839535</v>
      </c>
      <c r="E46" s="81" t="s">
        <v>1993</v>
      </c>
      <c r="F46" s="82">
        <v>1</v>
      </c>
      <c r="G46" s="83" t="s">
        <v>1994</v>
      </c>
      <c r="H46" s="2193"/>
      <c r="I46" s="2193"/>
      <c r="J46" s="2832" t="s">
        <v>1826</v>
      </c>
      <c r="K46" s="2832"/>
      <c r="L46" s="2832"/>
      <c r="M46" s="2832"/>
      <c r="N46" s="2832"/>
      <c r="O46" s="2832"/>
      <c r="P46" s="1845"/>
    </row>
    <row r="47" spans="1:16" ht="14.25" customHeight="1">
      <c r="A47" s="2912" t="s">
        <v>1827</v>
      </c>
      <c r="B47" s="2913"/>
      <c r="C47" s="2913"/>
      <c r="D47" s="2913"/>
      <c r="E47" s="2913"/>
      <c r="F47" s="2913"/>
      <c r="G47" s="2914"/>
      <c r="H47" s="2255"/>
      <c r="I47" s="1144"/>
      <c r="J47" s="1883">
        <v>1</v>
      </c>
      <c r="K47" s="2832" t="s">
        <v>1828</v>
      </c>
      <c r="L47" s="2832"/>
      <c r="M47" s="2947"/>
      <c r="N47" s="2947"/>
      <c r="O47" s="2947"/>
      <c r="P47" s="1845"/>
    </row>
    <row r="48" spans="1:16" ht="12" customHeight="1">
      <c r="A48" s="85" t="s">
        <v>1829</v>
      </c>
      <c r="B48" s="86"/>
      <c r="C48" s="87"/>
      <c r="D48" s="88" t="s">
        <v>1830</v>
      </c>
      <c r="E48" s="14" t="s">
        <v>1831</v>
      </c>
      <c r="F48" s="89" t="s">
        <v>1832</v>
      </c>
      <c r="G48" s="90" t="s">
        <v>1833</v>
      </c>
      <c r="H48" s="2255"/>
      <c r="I48" s="1144"/>
      <c r="J48" s="1883">
        <v>2</v>
      </c>
      <c r="K48" s="2832" t="s">
        <v>1834</v>
      </c>
      <c r="L48" s="2832"/>
      <c r="M48" s="2834">
        <f>'数据-取费表'!B2</f>
        <v>39990</v>
      </c>
      <c r="N48" s="2834"/>
      <c r="O48" s="2834"/>
      <c r="P48" s="1845"/>
    </row>
    <row r="49" spans="1:16" ht="25.5">
      <c r="A49" s="2918" t="s">
        <v>1835</v>
      </c>
      <c r="B49" s="2919"/>
      <c r="C49" s="2919"/>
      <c r="D49" s="56">
        <f ca="1">IF(H49="情况1",0,IF(H49="情况2",D53,IF(H49="情况3",D54,IF(H49="情况4",D55))))</f>
        <v>2063014</v>
      </c>
      <c r="E49" s="1893" t="str">
        <f>IF(H49="情况4","(销售额-原购置价)×税（费）率","销售额×税（费）率")</f>
        <v>销售额×税（费）率</v>
      </c>
      <c r="F49" s="91">
        <f>IF(H49="情况1","免征",'数据-取费表'!E29)</f>
        <v>5.6000000000000001E-2</v>
      </c>
      <c r="G49" s="2256" t="s">
        <v>1836</v>
      </c>
      <c r="H49" s="2257" t="s">
        <v>1837</v>
      </c>
      <c r="I49" s="2255"/>
      <c r="J49" s="1883">
        <v>3</v>
      </c>
      <c r="K49" s="2832" t="s">
        <v>1838</v>
      </c>
      <c r="L49" s="2832"/>
      <c r="M49" s="2833">
        <f ca="1">I103</f>
        <v>36839535</v>
      </c>
      <c r="N49" s="2833"/>
      <c r="O49" s="2833"/>
      <c r="P49" s="1845"/>
    </row>
    <row r="50" spans="1:16" ht="25.5" customHeight="1">
      <c r="A50" s="92" t="s">
        <v>1839</v>
      </c>
      <c r="B50" s="2899" t="s">
        <v>1840</v>
      </c>
      <c r="C50" s="2899"/>
      <c r="D50" s="93">
        <v>0</v>
      </c>
      <c r="E50" s="13" t="s">
        <v>1841</v>
      </c>
      <c r="F50" s="18" t="s">
        <v>48</v>
      </c>
      <c r="G50" s="2823"/>
      <c r="H50" s="2193"/>
      <c r="I50" s="2258"/>
      <c r="J50" s="1883">
        <v>4</v>
      </c>
      <c r="K50" s="2832" t="str">
        <f>IF(项目基本情况!F5="房地产抵押价值","房地产抵押价值","抵押担保权已注销时的房地产抵押价值")</f>
        <v>抵押担保权已注销时的房地产抵押价值</v>
      </c>
      <c r="L50" s="2832"/>
      <c r="M50" s="2833" t="str">
        <f>IF(项目基本情况!F5="房地产抵押价值",I111,I113)</f>
        <v>——</v>
      </c>
      <c r="N50" s="2833"/>
      <c r="O50" s="2833"/>
      <c r="P50" s="1845"/>
    </row>
    <row r="51" spans="1:16" ht="25.5" customHeight="1">
      <c r="A51" s="94"/>
      <c r="B51" s="2899" t="s">
        <v>1842</v>
      </c>
      <c r="C51" s="2899"/>
      <c r="D51" s="95"/>
      <c r="E51" s="21"/>
      <c r="F51" s="96"/>
      <c r="G51" s="2824"/>
      <c r="H51" s="2193"/>
      <c r="I51" s="2258"/>
      <c r="J51" s="2832" t="s">
        <v>1843</v>
      </c>
      <c r="K51" s="2832"/>
      <c r="L51" s="2832"/>
      <c r="M51" s="2832"/>
      <c r="N51" s="2832"/>
      <c r="O51" s="2832"/>
      <c r="P51" s="1845"/>
    </row>
    <row r="52" spans="1:16" ht="12" customHeight="1">
      <c r="A52" s="97"/>
      <c r="B52" s="2899" t="s">
        <v>1844</v>
      </c>
      <c r="C52" s="2899"/>
      <c r="D52" s="98"/>
      <c r="E52" s="20"/>
      <c r="F52" s="96"/>
      <c r="G52" s="2825"/>
      <c r="H52" s="2193"/>
      <c r="I52" s="2258"/>
      <c r="J52" s="2259" t="s">
        <v>1845</v>
      </c>
      <c r="K52" s="2832" t="s">
        <v>1846</v>
      </c>
      <c r="L52" s="2832"/>
      <c r="M52" s="2259" t="s">
        <v>1847</v>
      </c>
      <c r="N52" s="2259" t="s">
        <v>1848</v>
      </c>
      <c r="O52" s="2259" t="s">
        <v>1849</v>
      </c>
      <c r="P52" s="1845"/>
    </row>
    <row r="53" spans="1:16" ht="24" customHeight="1">
      <c r="A53" s="99" t="s">
        <v>1850</v>
      </c>
      <c r="B53" s="2899" t="s">
        <v>1851</v>
      </c>
      <c r="C53" s="2899"/>
      <c r="D53" s="98">
        <f ca="1">ROUND(D46*'数据-取费表'!E29/(1+'数据-取费表'!F30),0)</f>
        <v>2063014</v>
      </c>
      <c r="E53" s="10" t="s">
        <v>1852</v>
      </c>
      <c r="F53" s="100">
        <f>'数据-取费表'!E29</f>
        <v>5.6000000000000001E-2</v>
      </c>
      <c r="G53" s="2260"/>
      <c r="H53" s="2193"/>
      <c r="I53" s="2258"/>
      <c r="J53" s="1883">
        <v>1</v>
      </c>
      <c r="K53" s="2822" t="s">
        <v>1853</v>
      </c>
      <c r="L53" s="2822"/>
      <c r="M53" s="778">
        <f ca="1">D49</f>
        <v>2063014</v>
      </c>
      <c r="N53" s="1883" t="str">
        <f>E49</f>
        <v>销售额×税（费）率</v>
      </c>
      <c r="O53" s="779">
        <f>F49</f>
        <v>5.6000000000000001E-2</v>
      </c>
      <c r="P53" s="1845"/>
    </row>
    <row r="54" spans="1:16" ht="12" customHeight="1">
      <c r="A54" s="99" t="s">
        <v>1854</v>
      </c>
      <c r="B54" s="2898" t="s">
        <v>1855</v>
      </c>
      <c r="C54" s="2792"/>
      <c r="D54" s="98">
        <f ca="1">ROUND(D46*'数据-取费表'!E29/(1+'数据-取费表'!F30),0)</f>
        <v>2063014</v>
      </c>
      <c r="E54" s="10" t="s">
        <v>1852</v>
      </c>
      <c r="F54" s="100">
        <f>'数据-取费表'!E29</f>
        <v>5.6000000000000001E-2</v>
      </c>
      <c r="G54" s="2260"/>
      <c r="H54" s="2193"/>
      <c r="I54" s="2258"/>
      <c r="J54" s="1883">
        <v>2</v>
      </c>
      <c r="K54" s="2822" t="s">
        <v>1856</v>
      </c>
      <c r="L54" s="2822"/>
      <c r="M54" s="778">
        <f t="shared" ref="M54:O55" ca="1" si="1">D56</f>
        <v>18420</v>
      </c>
      <c r="N54" s="1883" t="str">
        <f t="shared" si="1"/>
        <v>销售额×税（费）率</v>
      </c>
      <c r="O54" s="779">
        <f t="shared" si="1"/>
        <v>5.0000000000000001E-4</v>
      </c>
      <c r="P54" s="1845"/>
    </row>
    <row r="55" spans="1:16" ht="12" customHeight="1">
      <c r="A55" s="99" t="s">
        <v>1857</v>
      </c>
      <c r="B55" s="2898" t="s">
        <v>1858</v>
      </c>
      <c r="C55" s="2792"/>
      <c r="D55" s="98">
        <f ca="1">C69</f>
        <v>2063014</v>
      </c>
      <c r="E55" s="20" t="s">
        <v>1859</v>
      </c>
      <c r="F55" s="100">
        <f>'数据-取费表'!E29</f>
        <v>5.6000000000000001E-2</v>
      </c>
      <c r="G55" s="2260"/>
      <c r="H55" s="2261"/>
      <c r="I55" s="2258"/>
      <c r="J55" s="1883">
        <v>3</v>
      </c>
      <c r="K55" s="2822" t="s">
        <v>1860</v>
      </c>
      <c r="L55" s="2822"/>
      <c r="M55" s="778">
        <f t="shared" ca="1" si="1"/>
        <v>21893736</v>
      </c>
      <c r="N55" s="1883" t="str">
        <f t="shared" si="1"/>
        <v>增值额×税（费）率</v>
      </c>
      <c r="O55" s="780" t="str">
        <f t="shared" si="1"/>
        <v>——</v>
      </c>
      <c r="P55" s="1845"/>
    </row>
    <row r="56" spans="1:16" ht="24" customHeight="1">
      <c r="A56" s="2784" t="s">
        <v>1861</v>
      </c>
      <c r="B56" s="2919"/>
      <c r="C56" s="2919"/>
      <c r="D56" s="101">
        <f ca="1">IF(H56="个人住宅",0,ROUND(D46*I56,0))</f>
        <v>18420</v>
      </c>
      <c r="E56" s="10" t="s">
        <v>1862</v>
      </c>
      <c r="F56" s="100">
        <f>IF(H56="正常",I56,"免征")</f>
        <v>5.0000000000000001E-4</v>
      </c>
      <c r="G56" s="2260"/>
      <c r="H56" s="2257" t="s">
        <v>1863</v>
      </c>
      <c r="I56" s="102">
        <f>'数据-取费表'!E37</f>
        <v>5.0000000000000001E-4</v>
      </c>
      <c r="J56" s="1883" t="str">
        <f>IF(H60="非个人房产","",4)</f>
        <v/>
      </c>
      <c r="K56" s="2822" t="str">
        <f>IF(H60="非个人房产","——","个人所得税")</f>
        <v>——</v>
      </c>
      <c r="L56" s="2822"/>
      <c r="M56" s="781" t="str">
        <f>D60</f>
        <v>——</v>
      </c>
      <c r="N56" s="1886" t="str">
        <f>E60</f>
        <v>——</v>
      </c>
      <c r="O56" s="782" t="str">
        <f>F60</f>
        <v>——</v>
      </c>
      <c r="P56" s="1845"/>
    </row>
    <row r="57" spans="1:16" ht="24.75">
      <c r="A57" s="2784" t="s">
        <v>1864</v>
      </c>
      <c r="B57" s="2919"/>
      <c r="C57" s="2919"/>
      <c r="D57" s="101">
        <f ca="1">IF(H57="个人住宅",D58,D59)</f>
        <v>21893736</v>
      </c>
      <c r="E57" s="10" t="s">
        <v>1865</v>
      </c>
      <c r="F57" s="100" t="str">
        <f>IF(H57="正常",F59,"免征")</f>
        <v>——</v>
      </c>
      <c r="G57" s="2262" t="s">
        <v>1866</v>
      </c>
      <c r="H57" s="2263" t="s">
        <v>1863</v>
      </c>
      <c r="I57" s="1022"/>
      <c r="J57" s="1883" t="str">
        <f>IF(项目基本情况!I6="上海银行",IF(J56="",4,J56+1),"")</f>
        <v/>
      </c>
      <c r="K57" s="2839" t="str">
        <f>IF(项目基本情况!I6="上海银行","其他处置费用","")</f>
        <v/>
      </c>
      <c r="L57" s="2840"/>
      <c r="M57" s="778" t="str">
        <f>IF(项目基本情况!I6="上海银行",M70,"")</f>
        <v/>
      </c>
      <c r="N57" s="2820" t="str">
        <f>IF(项目基本情况!I6="上海银行","包含处置中涉及的律师、诉讼、拍卖、评估等费用","")</f>
        <v/>
      </c>
      <c r="O57" s="2821"/>
      <c r="P57" s="1845"/>
    </row>
    <row r="58" spans="1:16" ht="12.75">
      <c r="A58" s="99" t="s">
        <v>1839</v>
      </c>
      <c r="B58" s="2907" t="s">
        <v>1867</v>
      </c>
      <c r="C58" s="2909"/>
      <c r="D58" s="103">
        <v>0</v>
      </c>
      <c r="E58" s="13" t="s">
        <v>1841</v>
      </c>
      <c r="F58" s="70"/>
      <c r="G58" s="2260"/>
      <c r="H58" s="1022"/>
      <c r="I58" s="1022"/>
      <c r="J58" s="2822">
        <f>IF(AND(J56="",J57=""),4,IF(项目基本情况!I6="上海银行",J57+1,J56+1))</f>
        <v>4</v>
      </c>
      <c r="K58" s="2822" t="s">
        <v>1868</v>
      </c>
      <c r="L58" s="2264" t="s">
        <v>1869</v>
      </c>
      <c r="M58" s="783"/>
      <c r="N58" s="784">
        <f ca="1">SUMIF(M53:M57,"&lt;9e307")</f>
        <v>23975170</v>
      </c>
      <c r="O58" s="2265"/>
      <c r="P58" s="1841" t="e">
        <f ca="1">N58/M50</f>
        <v>#VALUE!</v>
      </c>
    </row>
    <row r="59" spans="1:16" ht="24.75">
      <c r="A59" s="99" t="s">
        <v>1850</v>
      </c>
      <c r="B59" s="2907" t="s">
        <v>1870</v>
      </c>
      <c r="C59" s="2908"/>
      <c r="D59" s="101">
        <f ca="1">IF(H59="转让取得",C82,C98)</f>
        <v>21893736</v>
      </c>
      <c r="E59" s="10" t="s">
        <v>1865</v>
      </c>
      <c r="F59" s="14" t="s">
        <v>48</v>
      </c>
      <c r="G59" s="2260"/>
      <c r="H59" s="2263" t="s">
        <v>1871</v>
      </c>
      <c r="I59" s="1022"/>
      <c r="J59" s="2822"/>
      <c r="K59" s="2822"/>
      <c r="L59" s="2264" t="s">
        <v>1872</v>
      </c>
      <c r="M59" s="785"/>
      <c r="N59" s="2266" t="str">
        <f ca="1">IF(H19="元",NUMBERSTRING(INT(N58),2)&amp;"元整",NUMBERSTRING(INT(N58*10000),2)&amp;"元整")</f>
        <v>贰仟叁佰玖拾柒万伍仟壹佰柒拾元整</v>
      </c>
      <c r="O59" s="2267"/>
      <c r="P59" s="1845"/>
    </row>
    <row r="60" spans="1:16" ht="24.75" thickBot="1">
      <c r="A60" s="2785" t="s">
        <v>1873</v>
      </c>
      <c r="B60" s="2788"/>
      <c r="C60" s="2788"/>
      <c r="D60" s="104" t="str">
        <f>IF(H60="非个人房产","——",IF(H60="个人住宅",0,ROUND(D46*I60,0)))</f>
        <v>——</v>
      </c>
      <c r="E60" s="105" t="str">
        <f>IF(H60="非个人房产","——","销售额×税（费）率")</f>
        <v>——</v>
      </c>
      <c r="F60" s="106" t="str">
        <f>IF(H60="非个人房产","——",IF(H60="个人住宅","免征",I60))</f>
        <v>——</v>
      </c>
      <c r="G60" s="2268" t="s">
        <v>1866</v>
      </c>
      <c r="H60" s="2263" t="s">
        <v>1995</v>
      </c>
      <c r="I60" s="107">
        <v>0.01</v>
      </c>
      <c r="J60" s="2876">
        <f>J58+1</f>
        <v>5</v>
      </c>
      <c r="K60" s="2822" t="s">
        <v>1875</v>
      </c>
      <c r="L60" s="1883" t="s">
        <v>1869</v>
      </c>
      <c r="M60" s="786"/>
      <c r="N60" s="787" t="e">
        <f ca="1">M50-N58</f>
        <v>#VALUE!</v>
      </c>
      <c r="O60" s="2269"/>
      <c r="P60" s="1845"/>
    </row>
    <row r="61" spans="1:16" ht="12" customHeight="1">
      <c r="A61" s="2066"/>
      <c r="B61" s="2193"/>
      <c r="C61" s="2193"/>
      <c r="D61" s="2193"/>
      <c r="E61" s="1022"/>
      <c r="F61" s="1022"/>
      <c r="G61" s="1022"/>
      <c r="H61" s="2246"/>
      <c r="I61" s="2193"/>
      <c r="J61" s="2877"/>
      <c r="K61" s="2822"/>
      <c r="L61" s="2264" t="s">
        <v>1872</v>
      </c>
      <c r="M61" s="785"/>
      <c r="N61" s="2266" t="e">
        <f ca="1">IF(H19="元",NUMBERSTRING(INT(N60),2)&amp;"元整",NUMBERSTRING(INT(N60*10000),2)&amp;"元整")</f>
        <v>#VALUE!</v>
      </c>
      <c r="O61" s="2267"/>
      <c r="P61" s="1845"/>
    </row>
    <row r="62" spans="1:16" ht="13.5" thickBot="1">
      <c r="A62" s="2923" t="s">
        <v>1876</v>
      </c>
      <c r="B62" s="2923"/>
      <c r="C62" s="2923"/>
      <c r="D62" s="2923"/>
      <c r="E62" s="2923"/>
      <c r="F62" s="1022"/>
      <c r="G62" s="1022"/>
      <c r="H62" s="2246"/>
      <c r="I62" s="2193"/>
      <c r="J62" s="1883">
        <f>J60+1</f>
        <v>6</v>
      </c>
      <c r="K62" s="2822" t="s">
        <v>1877</v>
      </c>
      <c r="L62" s="2822"/>
      <c r="M62" s="788"/>
      <c r="N62" s="789" t="e">
        <f ca="1">IF(H19="元",ROUND(N60/项目基本情况!C12,0),ROUND(N60*10000/项目基本情况!C12,0))</f>
        <v>#VALUE!</v>
      </c>
      <c r="O62" s="2270"/>
      <c r="P62" s="1845"/>
    </row>
    <row r="63" spans="1:16" ht="12.75">
      <c r="A63" s="2860" t="s">
        <v>1878</v>
      </c>
      <c r="B63" s="2861"/>
      <c r="C63" s="1885"/>
      <c r="D63" s="1885" t="s">
        <v>1879</v>
      </c>
      <c r="E63" s="108" t="s">
        <v>1880</v>
      </c>
      <c r="F63" s="1022"/>
      <c r="G63" s="1022"/>
      <c r="H63" s="2246"/>
      <c r="I63" s="2193"/>
      <c r="J63" s="1845"/>
      <c r="K63" s="1845"/>
      <c r="L63" s="1845"/>
      <c r="M63" s="1845"/>
      <c r="N63" s="1845"/>
      <c r="O63" s="1845"/>
      <c r="P63" s="1845"/>
    </row>
    <row r="64" spans="1:16" ht="12.75">
      <c r="A64" s="109">
        <v>1</v>
      </c>
      <c r="B64" s="110" t="s">
        <v>1881</v>
      </c>
      <c r="C64" s="111">
        <f ca="1">ROUND((C65+C66)/(1+'数据-取费表'!F30),0)</f>
        <v>36839535</v>
      </c>
      <c r="D64" s="112"/>
      <c r="E64" s="113"/>
      <c r="F64" s="1022"/>
      <c r="G64" s="1022"/>
      <c r="H64" s="2246"/>
      <c r="I64" s="2193"/>
      <c r="J64" s="2841" t="s">
        <v>1882</v>
      </c>
      <c r="K64" s="2271"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 ca="1">D46</f>
        <v>36839535</v>
      </c>
      <c r="D65" s="117" t="s">
        <v>41</v>
      </c>
      <c r="E65" s="118"/>
      <c r="F65" s="1022"/>
      <c r="G65" s="1022"/>
      <c r="H65" s="2246"/>
      <c r="I65" s="2193"/>
      <c r="J65" s="2841"/>
      <c r="K65" s="2271"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6"/>
      <c r="I66" s="2193"/>
      <c r="J66" s="2841"/>
      <c r="K66" s="2271"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6"/>
      <c r="I67" s="2193"/>
      <c r="J67" s="2841"/>
      <c r="K67" s="2271" t="s">
        <v>1891</v>
      </c>
      <c r="L67" s="1844" t="e">
        <f>M50*0.5%</f>
        <v>#VALUE!</v>
      </c>
      <c r="M67" s="14" t="e">
        <f>IF(L67&gt;0.5,0.5,ROUND(L67,0))</f>
        <v>#VALUE!</v>
      </c>
      <c r="N67" s="1845" t="s">
        <v>1892</v>
      </c>
      <c r="O67" s="1845"/>
      <c r="P67" s="1845"/>
    </row>
    <row r="68" spans="1:35" ht="12.75">
      <c r="A68" s="120" t="s">
        <v>42</v>
      </c>
      <c r="B68" s="121" t="s">
        <v>1893</v>
      </c>
      <c r="C68" s="124">
        <f ca="1">C64-C67</f>
        <v>36839535</v>
      </c>
      <c r="D68" s="117" t="s">
        <v>41</v>
      </c>
      <c r="E68" s="118"/>
      <c r="F68" s="1022"/>
      <c r="G68" s="1022"/>
      <c r="H68" s="2246"/>
      <c r="I68" s="2193"/>
      <c r="J68" s="2841"/>
      <c r="K68" s="2271"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 ca="1">IF(C68&lt;=0,0,ROUND(C68*D69,0))</f>
        <v>2063014</v>
      </c>
      <c r="D69" s="128">
        <f>'数据-取费表'!E29</f>
        <v>5.6000000000000001E-2</v>
      </c>
      <c r="E69" s="129"/>
      <c r="F69" s="1022"/>
      <c r="G69" s="1022"/>
      <c r="H69" s="2246"/>
      <c r="I69" s="2193"/>
      <c r="J69" s="2841"/>
      <c r="K69" s="2271" t="s">
        <v>1896</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841"/>
      <c r="K70" s="2271" t="s">
        <v>1897</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862" t="s">
        <v>1898</v>
      </c>
      <c r="B71" s="2863"/>
      <c r="C71" s="2863"/>
      <c r="D71" s="2863"/>
      <c r="E71" s="2863"/>
      <c r="F71" s="2863"/>
      <c r="G71" s="2863"/>
      <c r="H71" s="2863"/>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860" t="s">
        <v>1878</v>
      </c>
      <c r="B72" s="2861"/>
      <c r="C72" s="1885"/>
      <c r="D72" s="1885" t="s">
        <v>1879</v>
      </c>
      <c r="E72" s="130" t="s">
        <v>1880</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1899</v>
      </c>
      <c r="C73" s="124">
        <f ca="1">ROUND(D46/(1+'数据-取费表'!F30),0)</f>
        <v>36839535</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1901</v>
      </c>
      <c r="C74" s="124">
        <f ca="1">C75+C79</f>
        <v>221037</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1902</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1903</v>
      </c>
      <c r="C76" s="137"/>
      <c r="D76" s="117" t="s">
        <v>41</v>
      </c>
      <c r="E76" s="138" t="s">
        <v>1904</v>
      </c>
      <c r="F76" s="2282"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1907</v>
      </c>
      <c r="C77" s="117">
        <f>IF(F76="购房发票",ROUND(C76*H76*D77,0),0)</f>
        <v>0</v>
      </c>
      <c r="D77" s="141">
        <v>0.05</v>
      </c>
      <c r="E77" s="2898" t="s">
        <v>1908</v>
      </c>
      <c r="F77" s="2899"/>
      <c r="G77" s="2899"/>
      <c r="H77" s="2900"/>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3" t="s">
        <v>1911</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1912</v>
      </c>
      <c r="C79" s="144">
        <f ca="1">ROUND(D46*D79/(1+'数据-取费表'!F30),0)</f>
        <v>221037</v>
      </c>
      <c r="D79" s="145">
        <f>'数据-取费表'!E31</f>
        <v>6.000000000000001E-3</v>
      </c>
      <c r="E79" s="2829" t="s">
        <v>1913</v>
      </c>
      <c r="F79" s="2830"/>
      <c r="G79" s="2830"/>
      <c r="H79" s="2850"/>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1914</v>
      </c>
      <c r="C80" s="124">
        <f ca="1">C73-C74</f>
        <v>36618498</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1915</v>
      </c>
      <c r="C81" s="147">
        <f ca="1">IF(C80&lt;=0,0,C80/C74)</f>
        <v>165.66682501119723</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1916</v>
      </c>
      <c r="C82" s="149">
        <f ca="1">ROUND(IF(C80&lt;=0,0,IF(C81&gt;=200%,C80*60%-C74*35%,IF(C81&gt;=100%,C80*50%-C74*15%,IF(C81&gt;=50%,C80*40%-C74*5%,IF(C81&lt;50%,C80*30%,0))))),0)</f>
        <v>21893736</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862" t="s">
        <v>1917</v>
      </c>
      <c r="B84" s="2863"/>
      <c r="C84" s="2863"/>
      <c r="D84" s="2863"/>
      <c r="E84" s="2863"/>
      <c r="F84" s="2863"/>
      <c r="G84" s="2863"/>
      <c r="H84" s="2863"/>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860" t="s">
        <v>1878</v>
      </c>
      <c r="B85" s="2861"/>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1899</v>
      </c>
      <c r="C86" s="124">
        <f ca="1">ROUND(D46/(1+'数据-取费表'!F30),0)</f>
        <v>36839535</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1901</v>
      </c>
      <c r="C87" s="124">
        <f ca="1">IF(H89="仅含出让金",C88+C91+C92+C93+C94+C95,C88+C92+C93+C94+C95)</f>
        <v>221037</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1919</v>
      </c>
      <c r="C89" s="157"/>
      <c r="D89" s="145"/>
      <c r="E89" s="158" t="s">
        <v>1920</v>
      </c>
      <c r="F89" s="1882"/>
      <c r="G89" s="159" t="s">
        <v>1921</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1924</v>
      </c>
      <c r="C92" s="144">
        <f>IF(H92="——",成本法!C33,I92)</f>
        <v>0</v>
      </c>
      <c r="D92" s="145"/>
      <c r="E92" s="2829" t="s">
        <v>1925</v>
      </c>
      <c r="F92" s="2830"/>
      <c r="G92" s="2830"/>
      <c r="H92" s="2286" t="s">
        <v>1926</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1927</v>
      </c>
      <c r="C93" s="144">
        <f>ROUND((C88+C91+C92)*D93,0)</f>
        <v>0</v>
      </c>
      <c r="D93" s="145">
        <v>0.1</v>
      </c>
      <c r="E93" s="2829" t="s">
        <v>1928</v>
      </c>
      <c r="F93" s="2830"/>
      <c r="G93" s="2830"/>
      <c r="H93" s="285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1912</v>
      </c>
      <c r="C94" s="144">
        <f ca="1">ROUND(D46*D94/(1+'数据-取费表'!F30),0)</f>
        <v>221037</v>
      </c>
      <c r="D94" s="145">
        <f>'数据-取费表'!E31</f>
        <v>6.000000000000001E-3</v>
      </c>
      <c r="E94" s="2829" t="s">
        <v>1913</v>
      </c>
      <c r="F94" s="2830"/>
      <c r="G94" s="2830"/>
      <c r="H94" s="285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1929</v>
      </c>
      <c r="C95" s="144">
        <f>ROUND((C88+C91+C92)*D95,0)</f>
        <v>0</v>
      </c>
      <c r="D95" s="145">
        <v>0.2</v>
      </c>
      <c r="E95" s="2829" t="s">
        <v>1930</v>
      </c>
      <c r="F95" s="2830"/>
      <c r="G95" s="2830"/>
      <c r="H95" s="2850"/>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1914</v>
      </c>
      <c r="C96" s="124">
        <f ca="1">ROUND(C86-C87,0)</f>
        <v>36618498</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1915</v>
      </c>
      <c r="C97" s="147">
        <f ca="1">IF(C96&lt;=0,0,C96/C87)</f>
        <v>165.66682501119723</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1916</v>
      </c>
      <c r="C98" s="149">
        <f ca="1">ROUND(IF(C96&lt;=0,0,IF(C97&gt;=200%,C96*60%-C87*35%,IF(C97&gt;=100%,C96*50%-C87*15%,IF(C97&gt;=50%,C96*40%-C87*5%,IF(C97&lt;50%,C96*30%,0))))),0)</f>
        <v>21893736</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1931</v>
      </c>
      <c r="B99" s="2193"/>
      <c r="C99" s="2193"/>
      <c r="D99" s="2193"/>
      <c r="E99" s="1022"/>
      <c r="F99" s="1022"/>
      <c r="G99" s="1022"/>
      <c r="H99" s="2246"/>
      <c r="I99" s="2193"/>
    </row>
    <row r="100" spans="1:35" ht="15.75">
      <c r="A100" s="2847" t="s">
        <v>1932</v>
      </c>
      <c r="B100" s="2848"/>
      <c r="C100" s="2848"/>
      <c r="D100" s="2849"/>
      <c r="E100" s="2193"/>
      <c r="F100" s="2857" t="s">
        <v>1933</v>
      </c>
      <c r="G100" s="2858"/>
      <c r="H100" s="2858"/>
      <c r="I100" s="2859"/>
    </row>
    <row r="101" spans="1:35" ht="15.75">
      <c r="A101" s="2864" t="s">
        <v>1934</v>
      </c>
      <c r="B101" s="2865"/>
      <c r="C101" s="720">
        <f>C4</f>
        <v>0</v>
      </c>
      <c r="D101" s="721">
        <f>D4</f>
        <v>0</v>
      </c>
      <c r="E101" s="2193"/>
      <c r="F101" s="2866" t="s">
        <v>1935</v>
      </c>
      <c r="G101" s="2868"/>
      <c r="H101" s="2949" t="s">
        <v>1936</v>
      </c>
      <c r="I101" s="2867"/>
    </row>
    <row r="102" spans="1:35" ht="15.75">
      <c r="A102" s="2950" t="s">
        <v>1996</v>
      </c>
      <c r="B102" s="2288" t="str">
        <f>IF(H19="元","总价（元）","总价（万元）")</f>
        <v>总价（元）</v>
      </c>
      <c r="C102" s="720" t="e">
        <f ca="1">C19</f>
        <v>#REF!</v>
      </c>
      <c r="D102" s="721" t="e">
        <f ca="1">D19</f>
        <v>#REF!</v>
      </c>
      <c r="E102" s="2193"/>
      <c r="F102" s="2951"/>
      <c r="G102" s="2952"/>
      <c r="H102" s="2927">
        <f>典型户型修正!B25</f>
        <v>2885.1000000000004</v>
      </c>
      <c r="I102" s="2867"/>
    </row>
    <row r="103" spans="1:35" ht="15.75">
      <c r="A103" s="2950"/>
      <c r="B103" s="2288" t="s">
        <v>1938</v>
      </c>
      <c r="C103" s="722" t="e">
        <f ca="1">C20</f>
        <v>#REF!</v>
      </c>
      <c r="D103" s="723" t="e">
        <f ca="1">D20</f>
        <v>#REF!</v>
      </c>
      <c r="E103" s="2193"/>
      <c r="F103" s="2941" t="s">
        <v>1939</v>
      </c>
      <c r="G103" s="2942"/>
      <c r="H103" s="2289" t="str">
        <f>C109</f>
        <v>总价（元）</v>
      </c>
      <c r="I103" s="1862">
        <f ca="1">H124</f>
        <v>36839535</v>
      </c>
    </row>
    <row r="104" spans="1:35" ht="15">
      <c r="A104" s="2950" t="s">
        <v>1997</v>
      </c>
      <c r="B104" s="2290" t="str">
        <f>B102</f>
        <v>总价（元）</v>
      </c>
      <c r="C104" s="1190" t="e">
        <f ca="1">ROUND(IF('数据-取费表'!B4="总价",G19,IF(H19="元",G20*'数据-取费表'!E5,G20*'数据-取费表'!E5/10000)),0)</f>
        <v>#REF!</v>
      </c>
      <c r="D104" s="725"/>
      <c r="E104" s="2193"/>
      <c r="F104" s="2941"/>
      <c r="G104" s="2942"/>
      <c r="H104" s="2289" t="s">
        <v>1938</v>
      </c>
      <c r="I104" s="1050">
        <f ca="1">I124</f>
        <v>12769</v>
      </c>
    </row>
    <row r="105" spans="1:35" ht="15.75">
      <c r="A105" s="2950"/>
      <c r="B105" s="2288" t="s">
        <v>1938</v>
      </c>
      <c r="C105" s="1191" t="e">
        <f ca="1">ROUND(IF('数据-取费表'!B4="楼面单价",G20,IF(H19="元",G19/'数据-取费表'!E5,G19*10000/'数据-取费表'!E5)),0)</f>
        <v>#REF!</v>
      </c>
      <c r="D105" s="725"/>
      <c r="E105" s="2193"/>
      <c r="F105" s="2853"/>
      <c r="G105" s="2854"/>
      <c r="H105" s="2888"/>
      <c r="I105" s="2889"/>
    </row>
    <row r="106" spans="1:35" ht="15.75">
      <c r="A106" s="2957" t="s">
        <v>1998</v>
      </c>
      <c r="B106" s="2328" t="str">
        <f>B102</f>
        <v>总价（元）</v>
      </c>
      <c r="C106" s="724">
        <f ca="1">H124</f>
        <v>36839535</v>
      </c>
      <c r="D106" s="1189"/>
      <c r="E106" s="2193"/>
      <c r="F106" s="2892" t="s">
        <v>1942</v>
      </c>
      <c r="G106" s="2893"/>
      <c r="H106" s="2292" t="str">
        <f>C111</f>
        <v>总额（元）</v>
      </c>
      <c r="I106" s="1862">
        <f>SUMIF(I107:I109,"&lt;9E307")</f>
        <v>0</v>
      </c>
    </row>
    <row r="107" spans="1:35" ht="15.75" thickBot="1">
      <c r="A107" s="2887"/>
      <c r="B107" s="2291" t="s">
        <v>1938</v>
      </c>
      <c r="C107" s="726">
        <f ca="1">I124</f>
        <v>12769</v>
      </c>
      <c r="D107" s="727"/>
      <c r="E107" s="2193"/>
      <c r="F107" s="2855" t="s">
        <v>1944</v>
      </c>
      <c r="G107" s="2856"/>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2953" t="s">
        <v>1941</v>
      </c>
      <c r="B108" s="2954"/>
      <c r="C108" s="2954"/>
      <c r="D108" s="2955"/>
      <c r="E108" s="2193"/>
      <c r="F108" s="2855" t="s">
        <v>1945</v>
      </c>
      <c r="G108" s="2856"/>
      <c r="H108" s="2292" t="str">
        <f>C113</f>
        <v>总额（元）</v>
      </c>
      <c r="I108" s="1050">
        <f>C38</f>
        <v>0</v>
      </c>
      <c r="K108" s="2293"/>
    </row>
    <row r="109" spans="1:35" ht="15">
      <c r="A109" s="2894" t="s">
        <v>1999</v>
      </c>
      <c r="B109" s="2895"/>
      <c r="C109" s="2289" t="str">
        <f>B102</f>
        <v>总价（元）</v>
      </c>
      <c r="D109" s="1051">
        <f ca="1">H124</f>
        <v>36839535</v>
      </c>
      <c r="E109" s="2193"/>
      <c r="F109" s="2855" t="s">
        <v>1947</v>
      </c>
      <c r="G109" s="2856"/>
      <c r="H109" s="2292" t="str">
        <f>C114</f>
        <v>总额（元）</v>
      </c>
      <c r="I109" s="1050">
        <f>C39</f>
        <v>0</v>
      </c>
    </row>
    <row r="110" spans="1:35" ht="15.75">
      <c r="A110" s="2894"/>
      <c r="B110" s="2895"/>
      <c r="C110" s="2289" t="s">
        <v>1938</v>
      </c>
      <c r="D110" s="1052">
        <f ca="1">I124</f>
        <v>12769</v>
      </c>
      <c r="E110" s="2193"/>
      <c r="F110" s="2853"/>
      <c r="G110" s="2854"/>
      <c r="H110" s="2890"/>
      <c r="I110" s="2891"/>
    </row>
    <row r="111" spans="1:35" ht="28.5" customHeight="1">
      <c r="A111" s="2937" t="s">
        <v>1946</v>
      </c>
      <c r="B111" s="2938"/>
      <c r="C111" s="2292" t="str">
        <f>IF(H19="元","总额（元）","总额（万元）")</f>
        <v>总额（元）</v>
      </c>
      <c r="D111" s="1051">
        <f>IF(D37="正常操作",I107+I108+I109,I108+I109)</f>
        <v>0</v>
      </c>
      <c r="E111" s="2193"/>
      <c r="F111" s="2835" t="str">
        <f>IF(项目基本情况!F5="已注销","——","3.房地产抵押价值")</f>
        <v>3.房地产抵押价值</v>
      </c>
      <c r="G111" s="2836"/>
      <c r="H111" s="2329" t="str">
        <f>C115</f>
        <v>总价（元）</v>
      </c>
      <c r="I111" s="1862">
        <f ca="1">IF(F111="——","——",I103-I106)</f>
        <v>36839535</v>
      </c>
    </row>
    <row r="112" spans="1:35" ht="15">
      <c r="A112" s="2855" t="s">
        <v>1944</v>
      </c>
      <c r="B112" s="2856"/>
      <c r="C112" s="2292" t="str">
        <f>C111</f>
        <v>总额（元）</v>
      </c>
      <c r="D112" s="637">
        <f>IF(D37="同一抵押权人同一抵押物续贷",C37&amp;"（未扣减，详见特别提示）",C37)</f>
        <v>0</v>
      </c>
      <c r="E112" s="2193"/>
      <c r="F112" s="2837"/>
      <c r="G112" s="2838"/>
      <c r="H112" s="2289" t="s">
        <v>1938</v>
      </c>
      <c r="I112" s="2295">
        <f ca="1">D116</f>
        <v>12769</v>
      </c>
    </row>
    <row r="113" spans="1:26" ht="15.75">
      <c r="A113" s="2855" t="s">
        <v>1945</v>
      </c>
      <c r="B113" s="2856"/>
      <c r="C113" s="2292" t="str">
        <f>C111</f>
        <v>总额（元）</v>
      </c>
      <c r="D113" s="637">
        <f>C38</f>
        <v>0</v>
      </c>
      <c r="E113" s="2193"/>
      <c r="F113" s="2835" t="str">
        <f>IF(项目基本情况!F5="已注销及未注销","4.抵押担保权已注销时的房地产抵押价值",IF(项目基本情况!F5="已注销","3.抵押担保权已注销时的房地产抵押价值","——"))</f>
        <v>——</v>
      </c>
      <c r="G113" s="2836"/>
      <c r="H113" s="2329" t="str">
        <f>C117</f>
        <v>总价（元）</v>
      </c>
      <c r="I113" s="1862" t="str">
        <f>IF(F113="——","——",I103-I108-I109)</f>
        <v>——</v>
      </c>
    </row>
    <row r="114" spans="1:26" ht="15">
      <c r="A114" s="2855" t="s">
        <v>1947</v>
      </c>
      <c r="B114" s="2856"/>
      <c r="C114" s="2292" t="str">
        <f>C111</f>
        <v>总额（元）</v>
      </c>
      <c r="D114" s="637">
        <f>C39</f>
        <v>0</v>
      </c>
      <c r="E114" s="2193"/>
      <c r="F114" s="2837"/>
      <c r="G114" s="2838"/>
      <c r="H114" s="2289" t="s">
        <v>1938</v>
      </c>
      <c r="I114" s="1050" t="str">
        <f>D118</f>
        <v>——</v>
      </c>
    </row>
    <row r="115" spans="1:26" ht="15.75">
      <c r="A115" s="2894" t="str">
        <f>IF(项目基本情况!F5="已注销","——","3.房地产抵押价值")</f>
        <v>3.房地产抵押价值</v>
      </c>
      <c r="B115" s="2895"/>
      <c r="C115" s="2289" t="str">
        <f>B102</f>
        <v>总价（元）</v>
      </c>
      <c r="D115" s="1051">
        <f ca="1">IF(A115="——","——",D109-D111)</f>
        <v>36839535</v>
      </c>
      <c r="E115" s="2193"/>
      <c r="F115" s="2835" t="str">
        <f>IF(项目基本情况!G5="抵押净值",IF(OR(项目基本情况!F5="已注销",项目基本情况!F5="房地产抵押价值"),"4.抵押净值","5.抵押净值"),"——")</f>
        <v>——</v>
      </c>
      <c r="G115" s="2836"/>
      <c r="H115" s="2289" t="str">
        <f>C119</f>
        <v>总价（元）</v>
      </c>
      <c r="I115" s="1862" t="str">
        <f>IF(F115="——","——",N60)</f>
        <v>——</v>
      </c>
    </row>
    <row r="116" spans="1:26" ht="15.75" thickBot="1">
      <c r="A116" s="2894"/>
      <c r="B116" s="2895"/>
      <c r="C116" s="2289" t="s">
        <v>2000</v>
      </c>
      <c r="D116" s="1052">
        <f ca="1">ROUND(IF(D115=D109,D110,IF(H19="元",D115/B124,D115*10000/B124)),0)</f>
        <v>12769</v>
      </c>
      <c r="E116" s="2193"/>
      <c r="F116" s="2928"/>
      <c r="G116" s="2929"/>
      <c r="H116" s="2297" t="s">
        <v>2000</v>
      </c>
      <c r="I116" s="1864" t="str">
        <f ca="1">D120</f>
        <v>——</v>
      </c>
    </row>
    <row r="117" spans="1:26" ht="15.75">
      <c r="A117" s="2894" t="str">
        <f>IF(项目基本情况!F5="已注销及未注销","4.抵押担保权已注销时的房地产抵押价值",IF(项目基本情况!F5="已注销","3.抵押担保权已注销时的房地产抵押价值","——"))</f>
        <v>——</v>
      </c>
      <c r="B117" s="2895"/>
      <c r="C117" s="2289" t="str">
        <f>B102</f>
        <v>总价（元）</v>
      </c>
      <c r="D117" s="1051" t="str">
        <f>IF(A117="——","——",D109-D113-D114)</f>
        <v>——</v>
      </c>
      <c r="E117" s="2193"/>
      <c r="F117" s="2831"/>
      <c r="G117" s="2831"/>
      <c r="H117" s="2873"/>
      <c r="I117" s="2873"/>
      <c r="N117" s="55"/>
      <c r="O117" s="55"/>
    </row>
    <row r="118" spans="1:26" s="1845" customFormat="1" ht="15">
      <c r="A118" s="2894"/>
      <c r="B118" s="2895"/>
      <c r="C118" s="2289" t="s">
        <v>2000</v>
      </c>
      <c r="D118" s="1052" t="str">
        <f>IF(A117="——","——",IF(H19="元",ROUND(D117/B124,0),ROUND(D117*10000/B124,0)))</f>
        <v>——</v>
      </c>
      <c r="E118" s="2193"/>
      <c r="F118" s="2956" t="str">
        <f>IF(B32="总价","（以上估价结果中楼面单价为总价除以建筑面积得出）","（以上估价结果中总价为楼面单价乘以建筑面积得出）")</f>
        <v>（以上估价结果中总价为楼面单价乘以建筑面积得出）</v>
      </c>
      <c r="G118" s="2956"/>
      <c r="H118" s="2956"/>
      <c r="I118" s="2956"/>
      <c r="J118" s="798"/>
      <c r="K118" s="798"/>
      <c r="L118" s="798"/>
      <c r="M118" s="798"/>
      <c r="N118" s="55"/>
      <c r="O118" s="55"/>
      <c r="P118" s="798"/>
      <c r="Q118" s="798"/>
      <c r="R118" s="798"/>
      <c r="S118" s="798"/>
      <c r="T118" s="798"/>
      <c r="U118" s="798"/>
      <c r="V118" s="798"/>
      <c r="W118" s="798"/>
      <c r="X118" s="798"/>
      <c r="Y118" s="798"/>
      <c r="Z118" s="798"/>
    </row>
    <row r="119" spans="1:26" s="1845" customFormat="1" ht="15">
      <c r="A119" s="2894" t="str">
        <f>IF(项目基本情况!G5="抵押净值",IF(OR(项目基本情况!F5="已注销",项目基本情况!F5="房地产抵押价值"),"4.抵押净值","5.抵押净值"),"——")</f>
        <v>——</v>
      </c>
      <c r="B119" s="2895"/>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5"/>
      <c r="B120" s="2936"/>
      <c r="C120" s="2297" t="s">
        <v>2000</v>
      </c>
      <c r="D120" s="1053" t="str">
        <f ca="1">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874" t="s">
        <v>2001</v>
      </c>
      <c r="B121" s="2875"/>
      <c r="C121" s="2875"/>
      <c r="D121" s="2875"/>
      <c r="E121" s="2875"/>
      <c r="F121" s="2875"/>
      <c r="G121" s="2875"/>
      <c r="H121" s="2875"/>
      <c r="I121" s="287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6" t="s">
        <v>1949</v>
      </c>
      <c r="B122" s="2844" t="s">
        <v>2002</v>
      </c>
      <c r="C122" s="2844" t="s">
        <v>2003</v>
      </c>
      <c r="D122" s="2851" t="s">
        <v>1952</v>
      </c>
      <c r="E122" s="2852"/>
      <c r="F122" s="2842" t="s">
        <v>2004</v>
      </c>
      <c r="G122" s="2842"/>
      <c r="H122" s="2842" t="s">
        <v>1953</v>
      </c>
      <c r="I122" s="284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6"/>
      <c r="B123" s="2845"/>
      <c r="C123" s="2845"/>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北京市房地产</v>
      </c>
      <c r="B124" s="1887">
        <f>典型户型修正!B25</f>
        <v>2885.1000000000004</v>
      </c>
      <c r="C124" s="400"/>
      <c r="D124" s="1887">
        <f>C35</f>
        <v>0</v>
      </c>
      <c r="E124" s="1887">
        <f>ROUND(IF(H19="元",D124/B124,D124*10000/B124),0)</f>
        <v>0</v>
      </c>
      <c r="F124" s="1887">
        <f>C36</f>
        <v>0</v>
      </c>
      <c r="G124" s="1887">
        <f>ROUND(IF(H19="元",F124/B124,F124*10000/B124),0)</f>
        <v>0</v>
      </c>
      <c r="H124" s="1887">
        <f ca="1">C33</f>
        <v>36839535</v>
      </c>
      <c r="I124" s="637">
        <f ca="1">C34</f>
        <v>12769</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6" t="s">
        <v>1957</v>
      </c>
      <c r="B125" s="2842"/>
      <c r="C125" s="2842"/>
      <c r="D125" s="2878" t="str">
        <f>IF(H19="元",NUMBERSTRING(INT(D124),2)&amp;"元整",NUMBERSTRING(INT(D124*10000),2)&amp;"元整")</f>
        <v>零元整</v>
      </c>
      <c r="E125" s="2879"/>
      <c r="F125" s="2878" t="str">
        <f>IF(H19="元",NUMBERSTRING(INT(F124),2)&amp;"元整",NUMBERSTRING(INT(F124*10000),2)&amp;"元整")</f>
        <v>零元整</v>
      </c>
      <c r="G125" s="2879"/>
      <c r="H125" s="2878" t="str">
        <f ca="1">IF(H19="元",NUMBERSTRING(INT(H124),2)&amp;"元整",NUMBERSTRING(INT(H124*10000),2)&amp;"元整")</f>
        <v>叁仟陆佰捌拾叁万玖仟伍佰叁拾伍元整</v>
      </c>
      <c r="I125" s="294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0" t="str">
        <f>IF(项目基本情况!D5="房地产市场价值","——",MID(A111,3,LEN(A111)-2))</f>
        <v>——</v>
      </c>
      <c r="B126" s="2881"/>
      <c r="C126" s="2882"/>
      <c r="D126" s="2871">
        <f>I106</f>
        <v>0</v>
      </c>
      <c r="E126" s="2881"/>
      <c r="F126" s="2881"/>
      <c r="G126" s="2881"/>
      <c r="H126" s="2881"/>
      <c r="I126" s="293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3" t="s">
        <v>1957</v>
      </c>
      <c r="B127" s="2884"/>
      <c r="C127" s="2885"/>
      <c r="D127" s="2931">
        <f>H110</f>
        <v>0</v>
      </c>
      <c r="E127" s="2932"/>
      <c r="F127" s="2932"/>
      <c r="G127" s="2932"/>
      <c r="H127" s="2932"/>
      <c r="I127" s="293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9" t="str">
        <f>IF(项目基本情况!D5="房地产市场价值","——",MID(A115,3,LEN(A115)-2))</f>
        <v>——</v>
      </c>
      <c r="B128" s="2870"/>
      <c r="C128" s="2870"/>
      <c r="D128" s="2871">
        <f ca="1">I111</f>
        <v>36839535</v>
      </c>
      <c r="E128" s="2881"/>
      <c r="F128" s="2881"/>
      <c r="G128" s="2881"/>
      <c r="H128" s="2881"/>
      <c r="I128" s="293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6" t="s">
        <v>1957</v>
      </c>
      <c r="B129" s="2842"/>
      <c r="C129" s="2842"/>
      <c r="D129" s="2931">
        <f ca="1">I112</f>
        <v>12769</v>
      </c>
      <c r="E129" s="2932"/>
      <c r="F129" s="2932"/>
      <c r="G129" s="2932"/>
      <c r="H129" s="2932"/>
      <c r="I129" s="293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9" t="str">
        <f>IF(项目基本情况!D5="房地产市场价值","——",MID(A117,3,LEN(A117)-2))</f>
        <v>——</v>
      </c>
      <c r="B130" s="2870"/>
      <c r="C130" s="2870"/>
      <c r="D130" s="2826" t="str">
        <f>I113</f>
        <v>——</v>
      </c>
      <c r="E130" s="2827"/>
      <c r="F130" s="2827"/>
      <c r="G130" s="2827"/>
      <c r="H130" s="2827"/>
      <c r="I130" s="282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6" t="s">
        <v>1957</v>
      </c>
      <c r="B131" s="2842"/>
      <c r="C131" s="2926"/>
      <c r="D131" s="2872" t="str">
        <f>I114</f>
        <v>——</v>
      </c>
      <c r="E131" s="2872"/>
      <c r="F131" s="2872"/>
      <c r="G131" s="2872"/>
      <c r="H131" s="2872"/>
      <c r="I131" s="287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9" t="str">
        <f>IF(项目基本情况!D5="房地产市场价值","——",MID(F115,3,LEN(F115)-2))</f>
        <v>——</v>
      </c>
      <c r="B132" s="2870"/>
      <c r="C132" s="2871"/>
      <c r="D132" s="2934" t="str">
        <f>I115</f>
        <v>——</v>
      </c>
      <c r="E132" s="2934"/>
      <c r="F132" s="2934"/>
      <c r="G132" s="2934"/>
      <c r="H132" s="2934"/>
      <c r="I132" s="293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39" t="s">
        <v>1957</v>
      </c>
      <c r="B133" s="2940"/>
      <c r="C133" s="2940"/>
      <c r="D133" s="2944">
        <f>H117</f>
        <v>0</v>
      </c>
      <c r="E133" s="2945"/>
      <c r="F133" s="2945"/>
      <c r="G133" s="2945"/>
      <c r="H133" s="2945"/>
      <c r="I133" s="29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24" t="str">
        <f>IF(B32="总价","（以上估价结果中楼面单价为总价除以建筑面积得出）","（以上估价结果中总价为楼面单价乘以建筑面积得出）")</f>
        <v>（以上估价结果中总价为楼面单价乘以建筑面积得出）</v>
      </c>
      <c r="B135" s="2924"/>
      <c r="C135" s="2924"/>
      <c r="D135" s="2924"/>
      <c r="E135" s="2924"/>
      <c r="F135" s="2924"/>
      <c r="G135" s="2924"/>
      <c r="H135" s="2924"/>
      <c r="I135" s="292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1958</v>
      </c>
      <c r="B136" s="2299"/>
      <c r="C136" s="2300" t="s">
        <v>1959</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1960</v>
      </c>
      <c r="G142" s="2312"/>
      <c r="H142" s="2312"/>
      <c r="I142" s="2313"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2215649</v>
      </c>
      <c r="C2" s="1969" t="str">
        <f>'数据-取费表'!B3</f>
        <v>元</v>
      </c>
      <c r="D2" s="1211"/>
      <c r="E2" s="1211"/>
      <c r="F2" s="1211"/>
      <c r="G2" s="1211"/>
      <c r="H2" s="1211"/>
      <c r="I2" s="1211"/>
      <c r="J2" s="1211"/>
      <c r="K2" s="1211"/>
    </row>
    <row r="3" spans="1:33" s="223" customFormat="1" ht="18" customHeight="1" thickBot="1">
      <c r="A3" s="167" t="s">
        <v>1304</v>
      </c>
      <c r="B3" s="168">
        <f ca="1">ROUND(C32/IF(C1="仅计算典型户型",'数据-取费表'!E5,'数据-取费表'!B5),0)</f>
        <v>24215</v>
      </c>
      <c r="C3" s="1969" t="s">
        <v>1305</v>
      </c>
      <c r="D3" s="1211"/>
      <c r="E3" s="1211"/>
      <c r="F3" s="1211"/>
      <c r="G3" s="1211"/>
      <c r="H3" s="1211"/>
      <c r="I3" s="1211"/>
      <c r="J3" s="1211"/>
      <c r="K3" s="1211"/>
    </row>
    <row r="4" spans="1:33" s="227" customFormat="1" ht="16.5" customHeight="1">
      <c r="A4" s="224" t="s">
        <v>1306</v>
      </c>
      <c r="B4" s="225"/>
      <c r="C4" s="1451">
        <f>SUM(C8:K8)</f>
        <v>3202500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91.5</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3202500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211365</v>
      </c>
      <c r="D11" s="248"/>
      <c r="E11" s="70"/>
      <c r="F11" s="249">
        <f>1-'数据-取费表'!E20</f>
        <v>0</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6341</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10568</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91.5</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3170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231444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91.5</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14640</v>
      </c>
      <c r="D19" s="248">
        <f>IF('数据-取费表'!B10="住宅",IF(C1="仅计算典型户型",'数据-取费表'!E5,'数据-取费表'!B5),0)</f>
        <v>91.5</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231444</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4629</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3.0499999999999999E-2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5.4000000000000006E-2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47215</v>
      </c>
      <c r="D28" s="267">
        <f>C29</f>
        <v>0.20610000000000001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0.20610000000000001</v>
      </c>
      <c r="D29" s="277"/>
      <c r="E29" s="278"/>
      <c r="F29" s="287"/>
      <c r="G29" s="231" t="s">
        <v>1359</v>
      </c>
      <c r="H29" s="254"/>
      <c r="I29" s="254"/>
      <c r="J29" s="254"/>
      <c r="K29" s="255"/>
    </row>
    <row r="30" spans="1:33" s="288" customFormat="1" ht="13.5" customHeight="1">
      <c r="A30" s="1307" t="s">
        <v>1360</v>
      </c>
      <c r="B30" s="286" t="s">
        <v>1361</v>
      </c>
      <c r="C30" s="289">
        <f>ROUND((C21+C22+C23)*F28,0)</f>
        <v>47215</v>
      </c>
      <c r="D30" s="277"/>
      <c r="E30" s="290"/>
      <c r="F30" s="287"/>
      <c r="G30" s="231"/>
      <c r="H30" s="254"/>
      <c r="I30" s="254"/>
      <c r="J30" s="254"/>
      <c r="K30" s="255"/>
    </row>
    <row r="31" spans="1:33" s="266" customFormat="1" ht="13.5" customHeight="1" thickBot="1">
      <c r="A31" s="1971" t="s">
        <v>1362</v>
      </c>
      <c r="B31" s="261" t="s">
        <v>1363</v>
      </c>
      <c r="C31" s="291">
        <f>ROUND(C4*F31/(1+'数据-取费表'!F30),0)</f>
        <v>179340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2215649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49" sqref="J4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-67022</v>
      </c>
      <c r="C2" s="2334"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-732</v>
      </c>
      <c r="C3" s="2334"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0</v>
      </c>
      <c r="D5" s="2335" t="s">
        <v>2105</v>
      </c>
      <c r="E5" s="1214"/>
      <c r="F5" s="1383"/>
      <c r="G5" s="1238"/>
      <c r="H5" s="316">
        <v>1</v>
      </c>
      <c r="I5" s="317" t="s">
        <v>2104</v>
      </c>
      <c r="J5" s="318">
        <f ca="1">J6+J10+J12</f>
        <v>0</v>
      </c>
      <c r="K5" s="2335" t="s">
        <v>2105</v>
      </c>
      <c r="L5" s="1214"/>
      <c r="M5" s="1383"/>
    </row>
    <row r="6" spans="1:37" ht="18" customHeight="1">
      <c r="A6" s="1384" t="s">
        <v>2106</v>
      </c>
      <c r="B6" s="2023" t="s">
        <v>2107</v>
      </c>
      <c r="C6" s="318">
        <f>ROUND(F6*F8*F7*(1-F9),0)</f>
        <v>0</v>
      </c>
      <c r="D6" s="80" t="s">
        <v>2798</v>
      </c>
      <c r="E6" s="319" t="s">
        <v>2108</v>
      </c>
      <c r="F6" s="320">
        <f>'数据-取费表'!B29</f>
        <v>0</v>
      </c>
      <c r="G6" s="1238"/>
      <c r="H6" s="1384" t="s">
        <v>2106</v>
      </c>
      <c r="I6" s="2023" t="s">
        <v>2107</v>
      </c>
      <c r="J6" s="318">
        <f>ROUND(M6*M8*M7*(1-M9),0)</f>
        <v>0</v>
      </c>
      <c r="K6" s="80" t="s">
        <v>2798</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91.5</v>
      </c>
      <c r="G7" s="1238"/>
      <c r="H7" s="321"/>
      <c r="I7" s="322"/>
      <c r="J7" s="323"/>
      <c r="K7" s="324"/>
      <c r="L7" s="319" t="s">
        <v>2109</v>
      </c>
      <c r="M7" s="320">
        <f>IF('数据-取费表'!B41="",IF(D1="仅计算典型户型",'数据-取费表'!E5,'数据-取费表'!B5),'数据-取费表'!B41)</f>
        <v>91.5</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v>
      </c>
      <c r="G9" s="1238"/>
      <c r="H9" s="321"/>
      <c r="I9" s="322"/>
      <c r="J9" s="1386"/>
      <c r="K9" s="95"/>
      <c r="L9" s="330" t="s">
        <v>2112</v>
      </c>
      <c r="M9" s="329">
        <f>'数据-取费表'!B38</f>
        <v>0</v>
      </c>
    </row>
    <row r="10" spans="1:37" ht="18" customHeight="1">
      <c r="A10" s="1384" t="s">
        <v>2113</v>
      </c>
      <c r="B10" s="2336" t="s">
        <v>2114</v>
      </c>
      <c r="C10" s="1385">
        <f ca="1">ROUND(IF(F10="押一",C6/12*F11,IF(F10="押二",C6/12*2*F11,IF(F10="押三",C6/12*3*F11,C11*F11))),0)</f>
        <v>0</v>
      </c>
      <c r="D10" s="2337" t="s">
        <v>2806</v>
      </c>
      <c r="E10" s="330" t="s">
        <v>2115</v>
      </c>
      <c r="F10" s="2338" t="s">
        <v>2116</v>
      </c>
      <c r="G10" s="1238"/>
      <c r="H10" s="1384" t="s">
        <v>2113</v>
      </c>
      <c r="I10" s="2336" t="s">
        <v>2114</v>
      </c>
      <c r="J10" s="1385">
        <f ca="1">ROUND(IF(M10="押一",J6/12*M11,IF(M10="押二",J6/12*2*M11,IF(M10="押三",J6/12*3*M11,J11*M11))),0)</f>
        <v>0</v>
      </c>
      <c r="K10" s="80" t="s">
        <v>2806</v>
      </c>
      <c r="L10" s="330" t="s">
        <v>2115</v>
      </c>
      <c r="M10" s="2338"/>
    </row>
    <row r="11" spans="1:37" s="341" customFormat="1" ht="18" customHeight="1">
      <c r="A11" s="348"/>
      <c r="B11" s="2339" t="s">
        <v>2117</v>
      </c>
      <c r="C11" s="1418"/>
      <c r="D11" s="324"/>
      <c r="E11" s="330" t="s">
        <v>2118</v>
      </c>
      <c r="F11" s="331">
        <f ca="1">'数据-取费表'!B30</f>
        <v>2.2499999999999999E-2</v>
      </c>
      <c r="G11" s="1239"/>
      <c r="H11" s="325"/>
      <c r="I11" s="2339" t="s">
        <v>2119</v>
      </c>
      <c r="J11" s="1418"/>
      <c r="K11" s="324"/>
      <c r="L11" s="330" t="s">
        <v>2118</v>
      </c>
      <c r="M11" s="331">
        <f ca="1">'数据-取费表'!B30</f>
        <v>2.2499999999999999E-2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0" t="s">
        <v>2121</v>
      </c>
      <c r="C12" s="1425"/>
      <c r="D12" s="2341"/>
      <c r="E12" s="1431"/>
      <c r="F12" s="1426"/>
      <c r="G12" s="1238"/>
      <c r="H12" s="1424" t="s">
        <v>2120</v>
      </c>
      <c r="I12" s="2340" t="s">
        <v>2121</v>
      </c>
      <c r="J12" s="1425"/>
      <c r="K12" s="1441"/>
      <c r="L12" s="1431"/>
      <c r="M12" s="1442"/>
    </row>
    <row r="13" spans="1:37" s="341" customFormat="1" ht="18" customHeight="1" thickTop="1">
      <c r="A13" s="1420">
        <v>2</v>
      </c>
      <c r="B13" s="1421" t="s">
        <v>2122</v>
      </c>
      <c r="C13" s="327">
        <f ca="1">ROUND(C29*F13,0)</f>
        <v>342934</v>
      </c>
      <c r="D13" s="1422" t="s">
        <v>2123</v>
      </c>
      <c r="E13" s="1422" t="s">
        <v>2124</v>
      </c>
      <c r="F13" s="1423">
        <f>'数据-取费表'!E20</f>
        <v>1</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211365</v>
      </c>
      <c r="D14" s="1888" t="s">
        <v>2127</v>
      </c>
      <c r="E14" s="1889"/>
      <c r="F14" s="979"/>
      <c r="G14" s="1239"/>
      <c r="H14" s="337" t="s">
        <v>2106</v>
      </c>
      <c r="I14" s="319" t="s">
        <v>2128</v>
      </c>
      <c r="J14" s="14">
        <f ca="1">C29</f>
        <v>342934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6341</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10568</v>
      </c>
      <c r="D16" s="319" t="s">
        <v>2131</v>
      </c>
      <c r="E16" s="319" t="s">
        <v>2132</v>
      </c>
      <c r="F16" s="342">
        <f>IF('数据-取费表'!B10="住宅",'数据-取费表'!E22,0)</f>
        <v>0.05</v>
      </c>
      <c r="G16" s="1239"/>
      <c r="H16" s="1420" t="s">
        <v>14</v>
      </c>
      <c r="I16" s="1421" t="s">
        <v>2137</v>
      </c>
      <c r="J16" s="327">
        <f ca="1">ROUND(J17+J22+J23+J24,0)</f>
        <v>2881</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18300</v>
      </c>
      <c r="D17" s="319" t="s">
        <v>2141</v>
      </c>
      <c r="E17" s="319" t="s">
        <v>2142</v>
      </c>
      <c r="F17" s="16">
        <f>'数据-取费表'!E23</f>
        <v>200</v>
      </c>
      <c r="G17" s="1239"/>
      <c r="H17" s="337" t="s">
        <v>2143</v>
      </c>
      <c r="I17" s="319" t="s">
        <v>2144</v>
      </c>
      <c r="J17" s="14">
        <f ca="1">ROUND(IF(项目基本情况!B7="自然人",J5*M17,J18+J19+J20),0)</f>
        <v>2881</v>
      </c>
      <c r="K17" s="1888" t="s">
        <v>2145</v>
      </c>
      <c r="L17" s="1893" t="s">
        <v>2146</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3170</v>
      </c>
      <c r="D18" s="319" t="s">
        <v>2131</v>
      </c>
      <c r="E18" s="319" t="s">
        <v>2132</v>
      </c>
      <c r="F18" s="342">
        <f>'数据-取费表'!E24</f>
        <v>1.4999999999999999E-2</v>
      </c>
      <c r="G18" s="1238"/>
      <c r="H18" s="337" t="s">
        <v>2149</v>
      </c>
      <c r="I18" s="319" t="s">
        <v>2150</v>
      </c>
      <c r="J18" s="14">
        <f ca="1">IF(项目基本情况!B7="自然人","——",ROUND(J5*M18/(1+'数据-取费表'!F30),0))</f>
        <v>0</v>
      </c>
      <c r="K18" s="1893" t="s">
        <v>2151</v>
      </c>
      <c r="L18" s="319" t="s">
        <v>2132</v>
      </c>
      <c r="M18" s="342">
        <f>'数据-取费表'!E29</f>
        <v>5.6000000000000001E-2</v>
      </c>
    </row>
    <row r="19" spans="1:37" s="341" customFormat="1" ht="18" customHeight="1">
      <c r="A19" s="337" t="s">
        <v>2143</v>
      </c>
      <c r="B19" s="319" t="s">
        <v>2152</v>
      </c>
      <c r="C19" s="14">
        <f>SUM(C14:C18)</f>
        <v>249744</v>
      </c>
      <c r="D19" s="56" t="s">
        <v>2153</v>
      </c>
      <c r="E19" s="1898"/>
      <c r="F19" s="16"/>
      <c r="G19" s="1239"/>
      <c r="H19" s="337" t="s">
        <v>2129</v>
      </c>
      <c r="I19" s="319" t="s">
        <v>2154</v>
      </c>
      <c r="J19" s="14">
        <f ca="1">IF(项目基本情况!B7="自然人","——",IF(K19="按租金收入计税",ROUND(J5*M19,1),ROUND(C29*M19*0.7,1)))</f>
        <v>2880.6</v>
      </c>
      <c r="K19" s="2013"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4995</v>
      </c>
      <c r="D20" s="344" t="s">
        <v>2157</v>
      </c>
      <c r="E20" s="319" t="s">
        <v>2158</v>
      </c>
      <c r="F20" s="342">
        <f>'数据-取费表'!E25</f>
        <v>0.02</v>
      </c>
      <c r="G20" s="1239"/>
      <c r="H20" s="337" t="s">
        <v>2135</v>
      </c>
      <c r="I20" s="80" t="s">
        <v>2159</v>
      </c>
      <c r="J20" s="15">
        <f>IF(项目基本情况!B7="自然人","——",ROUND(M20*M21,0))</f>
        <v>0</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0.01</v>
      </c>
      <c r="D21" s="344" t="s">
        <v>2164</v>
      </c>
      <c r="E21" s="319" t="s">
        <v>2165</v>
      </c>
      <c r="F21" s="342">
        <f>'数据-取费表'!E26</f>
        <v>0.01</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0</v>
      </c>
      <c r="K22" s="1893" t="s">
        <v>2170</v>
      </c>
      <c r="L22" s="319" t="s">
        <v>2132</v>
      </c>
      <c r="M22" s="350">
        <f>'数据-取费表'!B44</f>
        <v>0</v>
      </c>
    </row>
    <row r="23" spans="1:37" ht="18" customHeight="1">
      <c r="A23" s="337" t="s">
        <v>2149</v>
      </c>
      <c r="B23" s="319" t="s">
        <v>2171</v>
      </c>
      <c r="C23" s="14">
        <f ca="1">IF('数据-取费表'!B23&lt;=1,ROUND(C19*F24*F23/2,0)+ROUND(C20*F24*F23/2,0),ROUND(C19*(POWER((1+F24),F23/2)-1),0)+ROUND(C20*(POWER((1+F24),F23/2)-1),0))</f>
        <v>13756</v>
      </c>
      <c r="D23" s="2007"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3" t="s">
        <v>2174</v>
      </c>
      <c r="L23" s="319" t="s">
        <v>2175</v>
      </c>
      <c r="M23" s="351">
        <f>'数据-取费表'!B45</f>
        <v>0</v>
      </c>
    </row>
    <row r="24" spans="1:37" s="341" customFormat="1" ht="18" customHeight="1" thickBot="1">
      <c r="A24" s="337" t="s">
        <v>2176</v>
      </c>
      <c r="B24" s="319" t="s">
        <v>2177</v>
      </c>
      <c r="C24" s="14">
        <f ca="1">ROUND(IF('数据-取费表'!B23&lt;=1,F21*F24*F23/2,F21*(POWER((1+F24),F23/2)-1)),4)</f>
        <v>5.0000000000000001E-4</v>
      </c>
      <c r="D24" s="2007" t="str">
        <f>IF(F23&lt;=1,"销售费用×利率×(建设周期÷2)","销售费用×((1+利率)^(建设周期÷2)-1)")</f>
        <v>销售费用×((1+利率)^(建设周期÷2)-1)</v>
      </c>
      <c r="E24" s="319" t="s">
        <v>2178</v>
      </c>
      <c r="F24" s="352">
        <f ca="1">'数据-取费表'!E27</f>
        <v>5.4000000000000006E-2</v>
      </c>
      <c r="G24" s="1239"/>
      <c r="H24" s="1430" t="s">
        <v>2167</v>
      </c>
      <c r="I24" s="1431" t="s">
        <v>2156</v>
      </c>
      <c r="J24" s="1432">
        <f ca="1">ROUND(J5*M24,0)</f>
        <v>0</v>
      </c>
      <c r="K24" s="1433" t="s">
        <v>2179</v>
      </c>
      <c r="L24" s="1431" t="s">
        <v>2175</v>
      </c>
      <c r="M24" s="1426">
        <f>'数据-取费表'!B46</f>
        <v>0</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-2881</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50948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5.6000000000000001E-2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342934</v>
      </c>
      <c r="D29" s="1433"/>
      <c r="E29" s="1431"/>
      <c r="F29" s="1434"/>
      <c r="G29" s="791"/>
      <c r="H29" s="356" t="s">
        <v>24</v>
      </c>
      <c r="I29" s="357" t="s">
        <v>2202</v>
      </c>
      <c r="J29" s="358">
        <f ca="1">ROUND(J26/(1+F40)^F41,0)</f>
        <v>0</v>
      </c>
      <c r="K29" s="359" t="s">
        <v>2203</v>
      </c>
      <c r="L29" s="360"/>
      <c r="M29" s="361">
        <f>IF(D1="仅计算典型户型",'数据-取费表'!E5,'数据-取费表'!B5)</f>
        <v>91.5</v>
      </c>
    </row>
    <row r="30" spans="1:37" ht="18" customHeight="1" thickTop="1">
      <c r="A30" s="1420" t="s">
        <v>14</v>
      </c>
      <c r="B30" s="1421" t="s">
        <v>2204</v>
      </c>
      <c r="C30" s="327">
        <f ca="1">ROUND(C31+C36+C37+C38,0)</f>
        <v>2881</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2880.6</v>
      </c>
      <c r="D31" s="1888" t="s">
        <v>2206</v>
      </c>
      <c r="E31" s="1893"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0</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2880.6</v>
      </c>
      <c r="D33" s="2013"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f>IF(项目基本情况!B7="自然人","——",ROUND(F34*F35,0))</f>
        <v>0</v>
      </c>
      <c r="D34" s="346" t="s">
        <v>2160</v>
      </c>
      <c r="E34" s="319" t="s">
        <v>2161</v>
      </c>
      <c r="F34" s="347">
        <f>'数据-取费表'!E40</f>
        <v>0</v>
      </c>
      <c r="G34" s="791"/>
      <c r="H34" s="1218"/>
      <c r="I34" s="365" t="s">
        <v>2211</v>
      </c>
      <c r="J34" s="366">
        <f ca="1">ROUND(C13*J35,0)</f>
        <v>24005</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7.0000000000000007E-2</v>
      </c>
      <c r="K35" s="1231"/>
      <c r="L35" s="1230"/>
      <c r="M35" s="1230"/>
    </row>
    <row r="36" spans="1:18" ht="18" customHeight="1">
      <c r="A36" s="1387" t="s">
        <v>2113</v>
      </c>
      <c r="B36" s="319" t="s">
        <v>2213</v>
      </c>
      <c r="C36" s="14">
        <f ca="1">ROUND(C29*F36,0)</f>
        <v>0</v>
      </c>
      <c r="D36" s="1893" t="s">
        <v>2214</v>
      </c>
      <c r="E36" s="319" t="s">
        <v>2158</v>
      </c>
      <c r="F36" s="350">
        <f>'数据-取费表'!B44</f>
        <v>0</v>
      </c>
      <c r="G36" s="791"/>
      <c r="H36" s="1230"/>
      <c r="I36" s="369" t="s">
        <v>2215</v>
      </c>
      <c r="J36" s="370"/>
      <c r="K36" s="1234"/>
      <c r="L36" s="1230"/>
      <c r="M36" s="1230"/>
    </row>
    <row r="37" spans="1:18" ht="18" customHeight="1">
      <c r="A37" s="337" t="s">
        <v>2162</v>
      </c>
      <c r="B37" s="319" t="s">
        <v>2173</v>
      </c>
      <c r="C37" s="14">
        <f ca="1">ROUND(C13*F37,0)</f>
        <v>0</v>
      </c>
      <c r="D37" s="1893" t="s">
        <v>2174</v>
      </c>
      <c r="E37" s="319" t="s">
        <v>2175</v>
      </c>
      <c r="F37" s="351">
        <f>'数据-取费表'!B45</f>
        <v>0</v>
      </c>
      <c r="G37" s="791"/>
      <c r="H37" s="1230"/>
      <c r="I37" s="216" t="s">
        <v>2216</v>
      </c>
      <c r="J37" s="371"/>
      <c r="K37" s="1234"/>
      <c r="L37" s="1230"/>
      <c r="M37" s="1230"/>
    </row>
    <row r="38" spans="1:18" ht="18" customHeight="1" thickBot="1">
      <c r="A38" s="1430" t="s">
        <v>2167</v>
      </c>
      <c r="B38" s="1431" t="s">
        <v>2156</v>
      </c>
      <c r="C38" s="1432">
        <f ca="1">ROUND(C5*F38,0)</f>
        <v>0</v>
      </c>
      <c r="D38" s="1433" t="s">
        <v>2179</v>
      </c>
      <c r="E38" s="1431" t="s">
        <v>2175</v>
      </c>
      <c r="F38" s="1426">
        <f>'数据-取费表'!B46</f>
        <v>0</v>
      </c>
      <c r="G38" s="791"/>
      <c r="H38" s="1230"/>
      <c r="I38" s="365" t="s">
        <v>2217</v>
      </c>
      <c r="J38" s="220">
        <f ca="1">ROUND(J34/C39,3)</f>
        <v>-8.3320000000000007</v>
      </c>
      <c r="K38" s="1235"/>
      <c r="L38" s="1230"/>
      <c r="M38" s="1230"/>
    </row>
    <row r="39" spans="1:18" ht="18" customHeight="1" thickTop="1">
      <c r="A39" s="1420" t="s">
        <v>22</v>
      </c>
      <c r="B39" s="1435" t="s">
        <v>2218</v>
      </c>
      <c r="C39" s="327">
        <f ca="1">C5-C30</f>
        <v>-2881</v>
      </c>
      <c r="D39" s="1436" t="s">
        <v>2219</v>
      </c>
      <c r="E39" s="1437"/>
      <c r="F39" s="1438"/>
      <c r="G39" s="791"/>
      <c r="H39" s="1230"/>
      <c r="I39" s="365" t="s">
        <v>2220</v>
      </c>
      <c r="J39" s="220">
        <f ca="1">1-J38</f>
        <v>9.3320000000000007</v>
      </c>
      <c r="K39" s="1235"/>
      <c r="L39" s="1230"/>
      <c r="M39" s="1230"/>
    </row>
    <row r="40" spans="1:18" s="791" customFormat="1" ht="18" customHeight="1">
      <c r="A40" s="316" t="s">
        <v>23</v>
      </c>
      <c r="B40" s="317" t="s">
        <v>2221</v>
      </c>
      <c r="C40" s="318">
        <f ca="1">ROUND(C39*(1-((1+F42)/(1+F40))^F41)/(F40-F42),0)</f>
        <v>-67022</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2811</v>
      </c>
      <c r="F41" s="355">
        <f>IF('数据-取费表'!B28="租赁期内按合同租金",'数据-取费表'!B34,IF(E41="收益年期(n)",'数据-取费表'!B33,'数据-取费表'!B13))</f>
        <v>68</v>
      </c>
      <c r="H41" s="1237"/>
      <c r="I41" s="219" t="s">
        <v>2094</v>
      </c>
      <c r="J41" s="220">
        <f ca="1">ROUND(C13/C40,3)</f>
        <v>-5.117</v>
      </c>
      <c r="K41" s="1234"/>
      <c r="L41" s="1237"/>
      <c r="M41" s="1237"/>
      <c r="Q41" s="795"/>
    </row>
    <row r="42" spans="1:18" s="791" customFormat="1" ht="18" customHeight="1">
      <c r="A42" s="325"/>
      <c r="B42" s="326"/>
      <c r="C42" s="327"/>
      <c r="D42" s="349"/>
      <c r="E42" s="319" t="s">
        <v>2199</v>
      </c>
      <c r="F42" s="329">
        <f>'数据-取费表'!B31</f>
        <v>0</v>
      </c>
      <c r="H42" s="1237"/>
      <c r="I42" s="219" t="s">
        <v>2095</v>
      </c>
      <c r="J42" s="221">
        <f ca="1">1-J41</f>
        <v>6.117</v>
      </c>
      <c r="K42" s="1234"/>
      <c r="L42" s="1237"/>
      <c r="M42" s="1237"/>
      <c r="Q42" s="795"/>
    </row>
    <row r="43" spans="1:18" s="791" customFormat="1" ht="18" customHeight="1" thickBot="1">
      <c r="A43" s="356" t="s">
        <v>24</v>
      </c>
      <c r="B43" s="357" t="s">
        <v>2224</v>
      </c>
      <c r="C43" s="358">
        <f ca="1">ROUND(C40/F43,0)</f>
        <v>-732</v>
      </c>
      <c r="D43" s="359" t="s">
        <v>2225</v>
      </c>
      <c r="E43" s="360" t="s">
        <v>2226</v>
      </c>
      <c r="F43" s="361">
        <f>IF(D1="仅计算典型户型",'数据-取费表'!E5,'数据-取费表'!B5)</f>
        <v>91.5</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-67022</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2" t="s">
        <v>2236</v>
      </c>
      <c r="C47" s="1303">
        <f ca="1">IF(C2="元",C69-C40,ROUND((C69-C40)/10000,0))</f>
        <v>0</v>
      </c>
      <c r="D47" s="2343" t="str">
        <f>C2</f>
        <v>元</v>
      </c>
      <c r="E47" s="776"/>
      <c r="F47" s="776"/>
      <c r="I47" s="2344" t="s">
        <v>2237</v>
      </c>
      <c r="J47" s="1343"/>
      <c r="K47" s="1344"/>
      <c r="L47" s="1357">
        <f>IF(M48="住宅",0,IF(L49&gt;J52,L61,J61))</f>
        <v>0</v>
      </c>
      <c r="O47" s="1371" t="s">
        <v>959</v>
      </c>
      <c r="P47" s="1368" t="s">
        <v>2238</v>
      </c>
      <c r="Q47" s="1369">
        <f ca="1">C29</f>
        <v>342934</v>
      </c>
      <c r="R47" s="1370" t="s">
        <v>2233</v>
      </c>
    </row>
    <row r="48" spans="1:18" s="791" customFormat="1" ht="15.75" thickBot="1">
      <c r="A48" s="312" t="s">
        <v>2239</v>
      </c>
      <c r="B48" s="313" t="s">
        <v>2240</v>
      </c>
      <c r="C48" s="313" t="s">
        <v>2241</v>
      </c>
      <c r="D48" s="313" t="s">
        <v>2242</v>
      </c>
      <c r="E48" s="1297" t="s">
        <v>2243</v>
      </c>
      <c r="F48" s="1298"/>
      <c r="I48" s="2345" t="s">
        <v>2244</v>
      </c>
      <c r="J48" s="2346"/>
      <c r="K48" s="2347"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48" t="s">
        <v>2248</v>
      </c>
      <c r="J49" s="2349"/>
      <c r="K49" s="2350" t="s">
        <v>2249</v>
      </c>
      <c r="L49" s="1128">
        <f>'数据-取费表'!B13</f>
        <v>70</v>
      </c>
      <c r="O49" s="1371" t="s">
        <v>961</v>
      </c>
      <c r="P49" s="1368" t="s">
        <v>2250</v>
      </c>
      <c r="Q49" s="1372">
        <f>J53</f>
        <v>0</v>
      </c>
      <c r="R49" s="1370"/>
    </row>
    <row r="50" spans="1:18" s="791" customFormat="1" ht="15.75" thickBot="1">
      <c r="A50" s="345" t="s">
        <v>2106</v>
      </c>
      <c r="B50" s="2023" t="s">
        <v>2251</v>
      </c>
      <c r="C50" s="318">
        <f>ROUND(F50*F52*F51*(1-F53),0)</f>
        <v>0</v>
      </c>
      <c r="D50" s="93" t="s">
        <v>2799</v>
      </c>
      <c r="E50" s="2351" t="s">
        <v>2252</v>
      </c>
      <c r="F50" s="1299"/>
      <c r="I50" s="2348" t="s">
        <v>2253</v>
      </c>
      <c r="J50" s="1128">
        <f>'数据-取费表'!B26</f>
        <v>2009</v>
      </c>
      <c r="K50" s="2352" t="s">
        <v>2254</v>
      </c>
      <c r="L50" s="1346"/>
      <c r="O50" s="1371" t="s">
        <v>962</v>
      </c>
      <c r="P50" s="1368" t="s">
        <v>2255</v>
      </c>
      <c r="Q50" s="1369">
        <f>J54</f>
        <v>68</v>
      </c>
      <c r="R50" s="1370" t="s">
        <v>2256</v>
      </c>
    </row>
    <row r="51" spans="1:18" s="791" customFormat="1" ht="15.75" thickBot="1">
      <c r="A51" s="321"/>
      <c r="B51" s="322"/>
      <c r="C51" s="323"/>
      <c r="D51" s="324"/>
      <c r="E51" s="339" t="s">
        <v>2109</v>
      </c>
      <c r="F51" s="1296">
        <f>F7</f>
        <v>91.5</v>
      </c>
      <c r="I51" s="2348" t="s">
        <v>2257</v>
      </c>
      <c r="J51" s="1347">
        <f>SUMPRODUCT((I64:I66=J48)*(J63:L63=J49)*(J64:L66))</f>
        <v>0</v>
      </c>
      <c r="K51" s="2352" t="s">
        <v>2258</v>
      </c>
      <c r="L51" s="1346"/>
      <c r="O51" s="1367" t="s">
        <v>963</v>
      </c>
      <c r="P51" s="1368" t="str">
        <f>IF(C2="元","收益价值(元)","收益价值(万元)")</f>
        <v>收益价值(元)</v>
      </c>
      <c r="Q51" s="1369">
        <f ca="1">ROUND(IF(C2="元",Q45+Q46,(Q45+Q46)/10000),0)</f>
        <v>-67022</v>
      </c>
      <c r="R51" s="1370" t="s">
        <v>964</v>
      </c>
    </row>
    <row r="52" spans="1:18" s="791" customFormat="1" ht="16.5" thickBot="1">
      <c r="A52" s="321"/>
      <c r="B52" s="322"/>
      <c r="C52" s="323"/>
      <c r="D52" s="324"/>
      <c r="E52" s="319" t="s">
        <v>2111</v>
      </c>
      <c r="F52" s="320">
        <f>F8</f>
        <v>12</v>
      </c>
      <c r="I52" s="2353" t="s">
        <v>2259</v>
      </c>
      <c r="J52" s="1348">
        <f>IF(J50="",J51,J50+J51-YEAR('数据-取费表'!B2))</f>
        <v>0</v>
      </c>
      <c r="K52" s="2354" t="s">
        <v>2260</v>
      </c>
      <c r="L52" s="1349">
        <f ca="1">ROUND(-PV('数据-取费表'!B15,L49,(C40-C13*J35)),0)</f>
        <v>-2651029</v>
      </c>
      <c r="O52" s="1361" t="s">
        <v>2261</v>
      </c>
      <c r="P52" s="1362"/>
      <c r="Q52" s="1358"/>
      <c r="R52" s="1362"/>
    </row>
    <row r="53" spans="1:18" s="791" customFormat="1" ht="15.75" thickBot="1">
      <c r="A53" s="325"/>
      <c r="B53" s="326"/>
      <c r="C53" s="327"/>
      <c r="D53" s="328"/>
      <c r="E53" s="319" t="s">
        <v>2112</v>
      </c>
      <c r="F53" s="1356"/>
      <c r="I53" s="2355" t="s">
        <v>2262</v>
      </c>
      <c r="J53" s="1350"/>
      <c r="K53" s="2355" t="s">
        <v>2263</v>
      </c>
      <c r="L53" s="1350"/>
      <c r="O53" s="1363" t="s">
        <v>2228</v>
      </c>
      <c r="P53" s="1364" t="s">
        <v>2229</v>
      </c>
      <c r="Q53" s="1365" t="s">
        <v>2230</v>
      </c>
      <c r="R53" s="1366" t="s">
        <v>2231</v>
      </c>
    </row>
    <row r="54" spans="1:18" s="791" customFormat="1" ht="29.25" customHeight="1" thickBot="1">
      <c r="A54" s="1384" t="s">
        <v>2113</v>
      </c>
      <c r="B54" s="2336" t="s">
        <v>2114</v>
      </c>
      <c r="C54" s="1385">
        <f ca="1">ROUND(IF(F54="押一",C50/12*F11,IF(F54="押二",C50/12*2*F11,IF(F54="押三",C50/12*3*F11,C55*F11))),0)</f>
        <v>0</v>
      </c>
      <c r="D54" s="2337" t="s">
        <v>2807</v>
      </c>
      <c r="E54" s="330" t="s">
        <v>2115</v>
      </c>
      <c r="F54" s="2338"/>
      <c r="I54" s="2731" t="s">
        <v>2812</v>
      </c>
      <c r="J54" s="1351">
        <f>IF(M48="住宅",IF(E1="——",MAX(J52,L49),IF(E1="在建（套用方法）",MAX(J52,L49-'数据-取费表'!B25),MAX(J52,L49-'数据-取费表'!B21))),IF(E1="——",MIN(J52,L49),IF(E1="在建（套用方法）",MIN(J52,L49-'数据-取费表'!B25),IF(E1="土地（套用方法）",MIN(J52,L49-'数据-取费表'!B21)))))</f>
        <v>68</v>
      </c>
      <c r="K54" s="2962" t="s">
        <v>2797</v>
      </c>
      <c r="L54" s="2963"/>
      <c r="O54" s="1367" t="s">
        <v>957</v>
      </c>
      <c r="P54" s="1368" t="s">
        <v>2232</v>
      </c>
      <c r="Q54" s="1369">
        <f ca="1">C40+J29</f>
        <v>-67022</v>
      </c>
      <c r="R54" s="1370" t="s">
        <v>2233</v>
      </c>
    </row>
    <row r="55" spans="1:18" s="791" customFormat="1" ht="20.25" thickBot="1">
      <c r="A55" s="1384"/>
      <c r="B55" s="2356" t="s">
        <v>2119</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2264</v>
      </c>
      <c r="Q55" s="1369">
        <f>L61</f>
        <v>0</v>
      </c>
      <c r="R55" s="1370" t="s">
        <v>2265</v>
      </c>
    </row>
    <row r="56" spans="1:18" s="791" customFormat="1" ht="20.25" thickBot="1">
      <c r="A56" s="1424" t="s">
        <v>2120</v>
      </c>
      <c r="B56" s="2340" t="s">
        <v>2121</v>
      </c>
      <c r="C56" s="1425"/>
      <c r="D56" s="1441"/>
      <c r="E56" s="2359"/>
      <c r="F56" s="1501"/>
      <c r="I56" s="2360" t="s">
        <v>2266</v>
      </c>
      <c r="J56" s="1871" t="e">
        <f>ROUND(IF(J48="钢混",J58/J51,1-(1-2%)*(J51-J58)/J51),3)</f>
        <v>#VALUE!</v>
      </c>
      <c r="K56" s="2361"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342934</v>
      </c>
      <c r="D57" s="1294"/>
      <c r="E57" s="1295"/>
      <c r="F57" s="1302"/>
      <c r="I57" s="2362" t="s">
        <v>2269</v>
      </c>
      <c r="J57" s="1355"/>
      <c r="K57" s="2348" t="s">
        <v>2270</v>
      </c>
      <c r="L57" s="1128">
        <f>IF(L49&lt;J52,"——",L49-J52)</f>
        <v>70</v>
      </c>
      <c r="O57" s="1371" t="s">
        <v>960</v>
      </c>
      <c r="P57" s="1368" t="s">
        <v>2271</v>
      </c>
      <c r="Q57" s="1372">
        <f>L53</f>
        <v>0</v>
      </c>
      <c r="R57" s="1370"/>
    </row>
    <row r="58" spans="1:18" s="791" customFormat="1" ht="29.25" thickBot="1">
      <c r="A58" s="1301"/>
      <c r="B58" s="319" t="s">
        <v>2201</v>
      </c>
      <c r="C58" s="188">
        <f ca="1">C29</f>
        <v>342934</v>
      </c>
      <c r="D58" s="1294"/>
      <c r="E58" s="1295"/>
      <c r="F58" s="1302"/>
      <c r="I58" s="2363" t="s">
        <v>2272</v>
      </c>
      <c r="J58" s="1354" t="str">
        <f>IF(OR(M48="住宅",J52&lt;L49,J57="是"),"——",J52-L49)</f>
        <v>——</v>
      </c>
      <c r="K58" s="2348" t="s">
        <v>2273</v>
      </c>
      <c r="L58" s="1128">
        <f ca="1">IF(L49&lt;J52,"——",IF(L56="比较法",L50,IF(L56="基准地价",L51,L52)))</f>
        <v>-2651029</v>
      </c>
      <c r="O58" s="1371" t="s">
        <v>961</v>
      </c>
      <c r="P58" s="1368" t="s">
        <v>2274</v>
      </c>
      <c r="Q58" s="1369" t="e">
        <f>L59</f>
        <v>#DIV/0!</v>
      </c>
      <c r="R58" s="1370" t="s">
        <v>2275</v>
      </c>
    </row>
    <row r="59" spans="1:18" s="791" customFormat="1" ht="29.25" thickBot="1">
      <c r="A59" s="332" t="s">
        <v>14</v>
      </c>
      <c r="B59" s="333" t="s">
        <v>2204</v>
      </c>
      <c r="C59" s="334">
        <f ca="1">ROUND(C60+C65+C66+C67,0)</f>
        <v>2881</v>
      </c>
      <c r="D59" s="12" t="s">
        <v>2205</v>
      </c>
      <c r="E59" s="1898"/>
      <c r="F59" s="16"/>
      <c r="I59" s="2363" t="s">
        <v>2276</v>
      </c>
      <c r="J59" s="1870" t="e">
        <f>IF(J56&lt;0.4,0.4,J56)</f>
        <v>#VALUE!</v>
      </c>
      <c r="K59" s="2354" t="s">
        <v>2277</v>
      </c>
      <c r="L59" s="1128" t="e">
        <f>ROUND(POWER(1+L53,L48-L49)*(POWER(1+L53,L49)-1)/(POWER(1+L53,L48)-1),4)</f>
        <v>#DIV/0!</v>
      </c>
      <c r="O59" s="1371" t="s">
        <v>962</v>
      </c>
      <c r="P59" s="1368" t="str">
        <f>K60</f>
        <v>建设期及建筑物耐用年限下的土地年期修正系数Kn</v>
      </c>
      <c r="Q59" s="1369" t="e">
        <f>L60</f>
        <v>#DIV/0!</v>
      </c>
      <c r="R59" s="1370" t="s">
        <v>2278</v>
      </c>
    </row>
    <row r="60" spans="1:18" s="791" customFormat="1" ht="29.25" thickBot="1">
      <c r="A60" s="337" t="s">
        <v>15</v>
      </c>
      <c r="B60" s="319" t="s">
        <v>2144</v>
      </c>
      <c r="C60" s="14">
        <f ca="1">ROUND(IF(项目基本情况!B7="自然人",C49*F60,C61+C62+C63),1)</f>
        <v>2880.6</v>
      </c>
      <c r="D60" s="1888" t="s">
        <v>2206</v>
      </c>
      <c r="E60" s="1893" t="s">
        <v>2207</v>
      </c>
      <c r="F60" s="343" t="str">
        <f>IF(项目基本情况!B7="企业","",IF('数据-取费表'!B10="住宅",5%,IF(F50*F51*F52/12/(1+'数据-取费表'!F30)&gt;20000,12%,7%)))</f>
        <v/>
      </c>
      <c r="I60" s="2363" t="s">
        <v>2279</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-67022</v>
      </c>
      <c r="R60" s="1370" t="s">
        <v>964</v>
      </c>
    </row>
    <row r="61" spans="1:18" s="791" customFormat="1" ht="16.5" thickBot="1">
      <c r="A61" s="337" t="s">
        <v>16</v>
      </c>
      <c r="B61" s="319" t="s">
        <v>2208</v>
      </c>
      <c r="C61" s="14">
        <f ca="1">IF(项目基本情况!B7="自然人","——",ROUND(C49*F61/(1+'数据-取费表'!F30),0))</f>
        <v>0</v>
      </c>
      <c r="D61" s="1893" t="s">
        <v>2209</v>
      </c>
      <c r="E61" s="319" t="s">
        <v>2158</v>
      </c>
      <c r="F61" s="352">
        <f t="shared" ref="F61:F67" si="0">F32</f>
        <v>5.6000000000000001E-2</v>
      </c>
      <c r="I61" s="2364" t="s">
        <v>2280</v>
      </c>
      <c r="J61" s="1353" t="str">
        <f>IF(OR(M48="住宅",J52&lt;L49,J57="是"),"0",ROUND(J60/(1+J53)^J54,0))</f>
        <v>0</v>
      </c>
      <c r="K61" s="2365" t="s">
        <v>2281</v>
      </c>
      <c r="L61" s="1353">
        <f>IF(OR(M48="住宅",L49&lt;J52),0,ROUND(L58*(L59/L60-1),0))</f>
        <v>0</v>
      </c>
      <c r="O61" s="1361" t="s">
        <v>2282</v>
      </c>
      <c r="P61" s="1362"/>
      <c r="Q61" s="1358"/>
      <c r="R61" s="1362"/>
    </row>
    <row r="62" spans="1:18" s="791" customFormat="1" ht="15.75" thickBot="1">
      <c r="A62" s="337" t="s">
        <v>17</v>
      </c>
      <c r="B62" s="319" t="s">
        <v>2283</v>
      </c>
      <c r="C62" s="14">
        <f ca="1">IF(项目基本情况!B7="自然人","——",IF(D62="按租金收入计税",ROUND(C49*F62,1),IF(D62="按房产原值计税",ROUND(C58*F62*0.7,1),'数据-取费表'!B43)))</f>
        <v>2880.6</v>
      </c>
      <c r="D62" s="2013"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f>IF(项目基本情况!B7="自然人","——",ROUND(F63*F64,0))</f>
        <v>0</v>
      </c>
      <c r="D63" s="346" t="s">
        <v>2285</v>
      </c>
      <c r="E63" s="319" t="s">
        <v>2286</v>
      </c>
      <c r="F63" s="347">
        <f t="shared" si="0"/>
        <v>0</v>
      </c>
      <c r="I63" s="2366" t="s">
        <v>2287</v>
      </c>
      <c r="J63" s="1874" t="s">
        <v>2288</v>
      </c>
      <c r="K63" s="1874" t="s">
        <v>2289</v>
      </c>
      <c r="L63" s="1874" t="s">
        <v>2290</v>
      </c>
      <c r="M63" s="1873" t="s">
        <v>2291</v>
      </c>
      <c r="O63" s="1367" t="s">
        <v>957</v>
      </c>
      <c r="P63" s="1368" t="s">
        <v>2232</v>
      </c>
      <c r="Q63" s="1369">
        <f ca="1">C40+J29</f>
        <v>-67022</v>
      </c>
      <c r="R63" s="1370" t="s">
        <v>2233</v>
      </c>
    </row>
    <row r="64" spans="1:18" s="791" customFormat="1" ht="20.25" thickBot="1">
      <c r="A64" s="348"/>
      <c r="B64" s="328"/>
      <c r="C64" s="19"/>
      <c r="D64" s="349"/>
      <c r="E64" s="319" t="s">
        <v>2292</v>
      </c>
      <c r="F64" s="320">
        <f t="shared" si="0"/>
        <v>0</v>
      </c>
      <c r="I64" s="2366"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0</v>
      </c>
      <c r="D65" s="1893" t="s">
        <v>2214</v>
      </c>
      <c r="E65" s="319" t="s">
        <v>2158</v>
      </c>
      <c r="F65" s="350">
        <f t="shared" si="0"/>
        <v>0</v>
      </c>
      <c r="I65" s="2366" t="s">
        <v>2294</v>
      </c>
      <c r="J65" s="1874">
        <v>50</v>
      </c>
      <c r="K65" s="1874">
        <v>35</v>
      </c>
      <c r="L65" s="1874">
        <v>60</v>
      </c>
      <c r="M65" s="1873">
        <v>0</v>
      </c>
      <c r="O65" s="1371" t="s">
        <v>959</v>
      </c>
      <c r="P65" s="1368" t="s">
        <v>2268</v>
      </c>
      <c r="Q65" s="1373">
        <f ca="1">L52</f>
        <v>-2651029</v>
      </c>
      <c r="R65" s="1374" t="s">
        <v>2295</v>
      </c>
    </row>
    <row r="66" spans="1:18" s="791" customFormat="1" ht="20.25" thickBot="1">
      <c r="A66" s="337" t="s">
        <v>20</v>
      </c>
      <c r="B66" s="319" t="s">
        <v>2173</v>
      </c>
      <c r="C66" s="14">
        <f ca="1">ROUND(C57*F66,0)</f>
        <v>0</v>
      </c>
      <c r="D66" s="1893" t="s">
        <v>2174</v>
      </c>
      <c r="E66" s="319" t="s">
        <v>2175</v>
      </c>
      <c r="F66" s="351">
        <f t="shared" si="0"/>
        <v>0</v>
      </c>
      <c r="I66" s="2366" t="s">
        <v>2296</v>
      </c>
      <c r="J66" s="1874">
        <v>40</v>
      </c>
      <c r="K66" s="1874">
        <v>30</v>
      </c>
      <c r="L66" s="1874">
        <v>50</v>
      </c>
      <c r="M66" s="1872">
        <v>0.02</v>
      </c>
      <c r="O66" s="1371" t="s">
        <v>960</v>
      </c>
      <c r="P66" s="1375" t="s">
        <v>2297</v>
      </c>
      <c r="Q66" s="1369">
        <f ca="1">ROUND(Q67-Q68*Q69,0)</f>
        <v>-26886</v>
      </c>
      <c r="R66" s="1370"/>
    </row>
    <row r="67" spans="1:18" s="791" customFormat="1" ht="15.75" thickBot="1">
      <c r="A67" s="337" t="s">
        <v>21</v>
      </c>
      <c r="B67" s="319" t="s">
        <v>2156</v>
      </c>
      <c r="C67" s="14">
        <f ca="1">ROUND(C49*F67,0)</f>
        <v>0</v>
      </c>
      <c r="D67" s="1893" t="s">
        <v>2179</v>
      </c>
      <c r="E67" s="319" t="s">
        <v>2175</v>
      </c>
      <c r="F67" s="329">
        <f t="shared" si="0"/>
        <v>0</v>
      </c>
      <c r="O67" s="1371" t="s">
        <v>965</v>
      </c>
      <c r="P67" s="1375" t="s">
        <v>2298</v>
      </c>
      <c r="Q67" s="1369">
        <f ca="1">C39</f>
        <v>-2881</v>
      </c>
      <c r="R67" s="1370" t="s">
        <v>2233</v>
      </c>
    </row>
    <row r="68" spans="1:18" ht="15.75" thickBot="1">
      <c r="A68" s="332" t="s">
        <v>22</v>
      </c>
      <c r="B68" s="89" t="s">
        <v>2183</v>
      </c>
      <c r="C68" s="334">
        <f ca="1">C49-C59</f>
        <v>-2881</v>
      </c>
      <c r="D68" s="1888" t="s">
        <v>2184</v>
      </c>
      <c r="E68" s="1892"/>
      <c r="F68" s="353"/>
      <c r="H68" s="791"/>
      <c r="I68" s="791"/>
      <c r="J68" s="791"/>
      <c r="K68" s="791"/>
      <c r="L68" s="791"/>
      <c r="M68" s="791"/>
      <c r="O68" s="1371" t="s">
        <v>966</v>
      </c>
      <c r="P68" s="1375" t="s">
        <v>2299</v>
      </c>
      <c r="Q68" s="1369">
        <f ca="1">C13</f>
        <v>342934</v>
      </c>
      <c r="R68" s="1370" t="s">
        <v>2233</v>
      </c>
    </row>
    <row r="69" spans="1:18" ht="15.75" thickBot="1">
      <c r="A69" s="316" t="s">
        <v>23</v>
      </c>
      <c r="B69" s="317" t="s">
        <v>2221</v>
      </c>
      <c r="C69" s="318">
        <f ca="1">ROUND(C68*(1-((1+F71)/(1+F69))^F70)/(F69-F71),0)</f>
        <v>-67022</v>
      </c>
      <c r="D69" s="346" t="s">
        <v>2189</v>
      </c>
      <c r="E69" s="319" t="s">
        <v>2190</v>
      </c>
      <c r="F69" s="329">
        <f>F40</f>
        <v>0.04</v>
      </c>
      <c r="H69" s="791"/>
      <c r="I69" s="791"/>
      <c r="J69" s="791"/>
      <c r="K69" s="791"/>
      <c r="L69" s="791"/>
      <c r="M69" s="791"/>
      <c r="O69" s="1371" t="s">
        <v>967</v>
      </c>
      <c r="P69" s="1375" t="s">
        <v>2300</v>
      </c>
      <c r="Q69" s="1372">
        <f>J35</f>
        <v>7.0000000000000007E-2</v>
      </c>
      <c r="R69" s="1370"/>
    </row>
    <row r="70" spans="1:18" ht="15.75" thickBot="1">
      <c r="A70" s="321"/>
      <c r="B70" s="322"/>
      <c r="C70" s="323"/>
      <c r="D70" s="354" t="s">
        <v>2223</v>
      </c>
      <c r="E70" s="319" t="s">
        <v>2195</v>
      </c>
      <c r="F70" s="355">
        <f>F41</f>
        <v>68</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-732</v>
      </c>
      <c r="D72" s="359" t="s">
        <v>2225</v>
      </c>
      <c r="E72" s="360" t="s">
        <v>2226</v>
      </c>
      <c r="F72" s="361">
        <f>F43</f>
        <v>91.5</v>
      </c>
      <c r="O72" s="1371" t="s">
        <v>968</v>
      </c>
      <c r="P72" s="1368" t="str">
        <f>K60</f>
        <v>建设期及建筑物耐用年限下的土地年期修正系数Kn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-67022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49" sqref="J49"/>
    </sheetView>
  </sheetViews>
  <sheetFormatPr defaultRowHeight="13.5"/>
  <cols>
    <col min="1" max="1" width="10.5" customWidth="1"/>
    <col min="2" max="2" width="12.875" customWidth="1"/>
    <col min="3" max="3" width="8.75" customWidth="1"/>
  </cols>
  <sheetData>
    <row r="1" spans="1:9" ht="14.25">
      <c r="A1" s="2964" t="s">
        <v>1024</v>
      </c>
      <c r="B1" s="2965"/>
      <c r="C1" s="2966"/>
      <c r="D1" s="2967">
        <f>SUM(I10,I15,I20,I21,I23)</f>
        <v>0</v>
      </c>
      <c r="E1" s="2967"/>
      <c r="F1" s="2967"/>
      <c r="G1" s="2967"/>
      <c r="H1" s="2967"/>
      <c r="I1" s="2968"/>
    </row>
    <row r="2" spans="1:9">
      <c r="A2" s="2969" t="s">
        <v>1025</v>
      </c>
      <c r="B2" s="2970" t="s">
        <v>974</v>
      </c>
      <c r="C2" s="2970"/>
      <c r="D2" s="1389" t="s">
        <v>975</v>
      </c>
      <c r="E2" s="1389" t="s">
        <v>976</v>
      </c>
      <c r="F2" s="1389" t="s">
        <v>977</v>
      </c>
      <c r="G2" s="1389" t="s">
        <v>978</v>
      </c>
      <c r="H2" s="1389" t="s">
        <v>979</v>
      </c>
      <c r="I2" s="1390" t="s">
        <v>980</v>
      </c>
    </row>
    <row r="3" spans="1:9">
      <c r="A3" s="2969"/>
      <c r="B3" s="2970" t="s">
        <v>981</v>
      </c>
      <c r="C3" s="2970"/>
      <c r="D3" s="1391"/>
      <c r="E3" s="1389"/>
      <c r="F3" s="1392"/>
      <c r="G3" s="1392"/>
      <c r="H3" s="1393"/>
      <c r="I3" s="1394">
        <f>ROUND(D3*E3*F3*G3*H3/10000,0)</f>
        <v>0</v>
      </c>
    </row>
    <row r="4" spans="1:9">
      <c r="A4" s="2969"/>
      <c r="B4" s="2970" t="s">
        <v>982</v>
      </c>
      <c r="C4" s="2970"/>
      <c r="D4" s="1391"/>
      <c r="E4" s="1389"/>
      <c r="F4" s="1392"/>
      <c r="G4" s="1392"/>
      <c r="H4" s="1393"/>
      <c r="I4" s="1394">
        <f t="shared" ref="I4:I9" si="0">ROUND(D4*E4*F4*G4*H4/10000,0)</f>
        <v>0</v>
      </c>
    </row>
    <row r="5" spans="1:9">
      <c r="A5" s="2969"/>
      <c r="B5" s="2970" t="s">
        <v>983</v>
      </c>
      <c r="C5" s="2970"/>
      <c r="D5" s="1391"/>
      <c r="E5" s="1389"/>
      <c r="F5" s="1392"/>
      <c r="G5" s="1392"/>
      <c r="H5" s="1393"/>
      <c r="I5" s="1394">
        <f t="shared" si="0"/>
        <v>0</v>
      </c>
    </row>
    <row r="6" spans="1:9">
      <c r="A6" s="2969"/>
      <c r="B6" s="2970" t="s">
        <v>984</v>
      </c>
      <c r="C6" s="2970"/>
      <c r="D6" s="1391"/>
      <c r="E6" s="1389"/>
      <c r="F6" s="1392"/>
      <c r="G6" s="1392"/>
      <c r="H6" s="1393"/>
      <c r="I6" s="1394">
        <f t="shared" si="0"/>
        <v>0</v>
      </c>
    </row>
    <row r="7" spans="1:9">
      <c r="A7" s="2969"/>
      <c r="B7" s="2970" t="s">
        <v>985</v>
      </c>
      <c r="C7" s="2970"/>
      <c r="D7" s="1391"/>
      <c r="E7" s="1389"/>
      <c r="F7" s="1392"/>
      <c r="G7" s="1392"/>
      <c r="H7" s="1393"/>
      <c r="I7" s="1394">
        <f t="shared" si="0"/>
        <v>0</v>
      </c>
    </row>
    <row r="8" spans="1:9">
      <c r="A8" s="2969"/>
      <c r="B8" s="2970" t="s">
        <v>986</v>
      </c>
      <c r="C8" s="2970"/>
      <c r="D8" s="1391"/>
      <c r="E8" s="1389"/>
      <c r="F8" s="1392"/>
      <c r="G8" s="1392"/>
      <c r="H8" s="1393"/>
      <c r="I8" s="1394">
        <f t="shared" si="0"/>
        <v>0</v>
      </c>
    </row>
    <row r="9" spans="1:9">
      <c r="A9" s="2969"/>
      <c r="B9" s="2970" t="s">
        <v>987</v>
      </c>
      <c r="C9" s="2970"/>
      <c r="D9" s="1391"/>
      <c r="E9" s="1389"/>
      <c r="F9" s="1392"/>
      <c r="G9" s="1392"/>
      <c r="H9" s="1393"/>
      <c r="I9" s="1394">
        <f t="shared" si="0"/>
        <v>0</v>
      </c>
    </row>
    <row r="10" spans="1:9">
      <c r="A10" s="2969"/>
      <c r="B10" s="2971" t="s">
        <v>988</v>
      </c>
      <c r="C10" s="2971"/>
      <c r="D10" s="1395">
        <v>527</v>
      </c>
      <c r="E10" s="1395" t="e">
        <f>ROUND(D1*10000/D10/H9,0)</f>
        <v>#DIV/0!</v>
      </c>
      <c r="F10" s="1396"/>
      <c r="G10" s="1396"/>
      <c r="H10" s="1397"/>
      <c r="I10" s="1398">
        <f>SUM(I3:I9)</f>
        <v>0</v>
      </c>
    </row>
    <row r="11" spans="1:9" ht="14.25">
      <c r="A11" s="2969" t="s">
        <v>1026</v>
      </c>
      <c r="B11" s="2970" t="s">
        <v>989</v>
      </c>
      <c r="C11" s="2970"/>
      <c r="D11" s="1391" t="s">
        <v>990</v>
      </c>
      <c r="E11" s="1391" t="s">
        <v>991</v>
      </c>
      <c r="F11" s="1392" t="s">
        <v>992</v>
      </c>
      <c r="G11" s="1392" t="s">
        <v>979</v>
      </c>
      <c r="H11" s="1399" t="s">
        <v>993</v>
      </c>
      <c r="I11" s="1390" t="s">
        <v>980</v>
      </c>
    </row>
    <row r="12" spans="1:9">
      <c r="A12" s="2969"/>
      <c r="B12" s="2970" t="s">
        <v>994</v>
      </c>
      <c r="C12" s="2970"/>
      <c r="D12" s="1391"/>
      <c r="E12" s="1391"/>
      <c r="F12" s="1392"/>
      <c r="G12" s="1393"/>
      <c r="H12" s="1400"/>
      <c r="I12" s="1390">
        <f>ROUND(D12*E12*F12*G12/10000,0)</f>
        <v>0</v>
      </c>
    </row>
    <row r="13" spans="1:9">
      <c r="A13" s="2969"/>
      <c r="B13" s="2970" t="s">
        <v>995</v>
      </c>
      <c r="C13" s="2970"/>
      <c r="D13" s="1391"/>
      <c r="E13" s="1391"/>
      <c r="F13" s="1392"/>
      <c r="G13" s="1393"/>
      <c r="H13" s="1400"/>
      <c r="I13" s="1390">
        <f>ROUND(D13*E13*F13*G13/10000,0)</f>
        <v>0</v>
      </c>
    </row>
    <row r="14" spans="1:9">
      <c r="A14" s="2969"/>
      <c r="B14" s="2970" t="s">
        <v>996</v>
      </c>
      <c r="C14" s="2970"/>
      <c r="D14" s="1391"/>
      <c r="E14" s="1391"/>
      <c r="F14" s="1392"/>
      <c r="G14" s="1393"/>
      <c r="H14" s="1400"/>
      <c r="I14" s="1390">
        <f>ROUND(D14*E14*F14*G14/10000,0)</f>
        <v>0</v>
      </c>
    </row>
    <row r="15" spans="1:9">
      <c r="A15" s="2969"/>
      <c r="B15" s="2971" t="s">
        <v>988</v>
      </c>
      <c r="C15" s="2971"/>
      <c r="D15" s="1395"/>
      <c r="E15" s="1395">
        <f>SUM(E12:E14)</f>
        <v>0</v>
      </c>
      <c r="F15" s="1396"/>
      <c r="G15" s="1393"/>
      <c r="H15" s="1400"/>
      <c r="I15" s="1401">
        <f>SUM(I12:I14)</f>
        <v>0</v>
      </c>
    </row>
    <row r="16" spans="1:9" ht="24">
      <c r="A16" s="2969" t="s">
        <v>1027</v>
      </c>
      <c r="B16" s="2970" t="s">
        <v>997</v>
      </c>
      <c r="C16" s="2970"/>
      <c r="D16" s="1391" t="s">
        <v>975</v>
      </c>
      <c r="E16" s="1402" t="s">
        <v>998</v>
      </c>
      <c r="F16" s="1392" t="s">
        <v>999</v>
      </c>
      <c r="G16" s="1393" t="s">
        <v>979</v>
      </c>
      <c r="H16" s="1399" t="s">
        <v>993</v>
      </c>
      <c r="I16" s="1390" t="s">
        <v>980</v>
      </c>
    </row>
    <row r="17" spans="1:9" ht="14.25">
      <c r="A17" s="2969"/>
      <c r="B17" s="2970" t="s">
        <v>1000</v>
      </c>
      <c r="C17" s="2970"/>
      <c r="D17" s="1391"/>
      <c r="E17" s="1391"/>
      <c r="F17" s="1392"/>
      <c r="G17" s="1393"/>
      <c r="H17" s="1403"/>
      <c r="I17" s="1404">
        <f>ROUND(D17*E17*F17*G17/10000,0)</f>
        <v>0</v>
      </c>
    </row>
    <row r="18" spans="1:9" ht="14.25">
      <c r="A18" s="2969"/>
      <c r="B18" s="2970" t="s">
        <v>1001</v>
      </c>
      <c r="C18" s="2970"/>
      <c r="D18" s="1391"/>
      <c r="E18" s="1391"/>
      <c r="F18" s="1392"/>
      <c r="G18" s="1393"/>
      <c r="H18" s="1403"/>
      <c r="I18" s="1404">
        <f>ROUND(D18*E18*F18*G18/10000,0)</f>
        <v>0</v>
      </c>
    </row>
    <row r="19" spans="1:9" ht="14.25">
      <c r="A19" s="2969"/>
      <c r="B19" s="2970" t="s">
        <v>1002</v>
      </c>
      <c r="C19" s="2970"/>
      <c r="D19" s="1391"/>
      <c r="E19" s="1391"/>
      <c r="F19" s="1392"/>
      <c r="G19" s="1393"/>
      <c r="H19" s="1403"/>
      <c r="I19" s="1404">
        <f>ROUND(D19*E19*F19*G19/10000,0)</f>
        <v>0</v>
      </c>
    </row>
    <row r="20" spans="1:9">
      <c r="A20" s="2969"/>
      <c r="B20" s="2971" t="s">
        <v>988</v>
      </c>
      <c r="C20" s="2971"/>
      <c r="D20" s="1395">
        <f>SUM(D17:D19)</f>
        <v>0</v>
      </c>
      <c r="E20" s="1395"/>
      <c r="F20" s="1396"/>
      <c r="G20" s="1393"/>
      <c r="H20" s="1400"/>
      <c r="I20" s="1401">
        <f>SUM(I17:I19)</f>
        <v>0</v>
      </c>
    </row>
    <row r="21" spans="1:9">
      <c r="A21" s="2969" t="s">
        <v>1028</v>
      </c>
      <c r="B21" s="2973"/>
      <c r="C21" s="2973"/>
      <c r="D21" s="2973"/>
      <c r="E21" s="2973"/>
      <c r="F21" s="2973"/>
      <c r="G21" s="2973"/>
      <c r="H21" s="1405">
        <v>0.1</v>
      </c>
      <c r="I21" s="1398">
        <f>ROUND(I10*H21,0)</f>
        <v>0</v>
      </c>
    </row>
    <row r="22" spans="1:9" ht="14.25">
      <c r="A22" s="2974" t="s">
        <v>1029</v>
      </c>
      <c r="B22" s="2975"/>
      <c r="C22" s="2976"/>
      <c r="D22" s="1406" t="s">
        <v>1003</v>
      </c>
      <c r="E22" s="1406" t="s">
        <v>1004</v>
      </c>
      <c r="F22" s="1407" t="s">
        <v>979</v>
      </c>
      <c r="G22" s="1407" t="s">
        <v>1005</v>
      </c>
      <c r="H22" s="1399" t="s">
        <v>993</v>
      </c>
      <c r="I22" s="1390" t="s">
        <v>980</v>
      </c>
    </row>
    <row r="23" spans="1:9" ht="14.25" thickBot="1">
      <c r="A23" s="2977"/>
      <c r="B23" s="2978"/>
      <c r="C23" s="2979"/>
      <c r="D23" s="1408"/>
      <c r="E23" s="1408"/>
      <c r="F23" s="1408"/>
      <c r="G23" s="1409"/>
      <c r="H23" s="1410"/>
      <c r="I23" s="1411">
        <f>ROUND(E23*D23*F23*(1-G23)/10000,0)</f>
        <v>0</v>
      </c>
    </row>
    <row r="26" spans="1:9">
      <c r="A26" s="1412" t="s">
        <v>1006</v>
      </c>
      <c r="B26" s="1412"/>
      <c r="C26" s="1412"/>
      <c r="D26" s="1412"/>
      <c r="E26" s="2980">
        <f>C27-C30-C31-C32</f>
        <v>0</v>
      </c>
      <c r="F26" s="2980"/>
      <c r="G26" s="2980"/>
      <c r="H26" s="1829" t="s">
        <v>1219</v>
      </c>
    </row>
    <row r="27" spans="1:9">
      <c r="A27" s="1413">
        <v>1</v>
      </c>
      <c r="B27" s="1414" t="s">
        <v>1007</v>
      </c>
      <c r="C27" s="1414">
        <f>C28+C29</f>
        <v>0</v>
      </c>
      <c r="D27" s="1414"/>
      <c r="E27" s="2981"/>
      <c r="F27" s="2981"/>
      <c r="G27" s="2981"/>
    </row>
    <row r="28" spans="1:9">
      <c r="A28" s="1415" t="s">
        <v>1008</v>
      </c>
      <c r="B28" s="1414" t="s">
        <v>1009</v>
      </c>
      <c r="C28" s="1414"/>
      <c r="D28" s="1414"/>
      <c r="E28" s="2981"/>
      <c r="F28" s="2981"/>
      <c r="G28" s="298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2"/>
      <c r="F32" s="2972"/>
      <c r="G32" s="2972"/>
    </row>
    <row r="33" spans="1:7" hidden="1">
      <c r="A33" s="2982" t="s">
        <v>1018</v>
      </c>
      <c r="B33" s="2983"/>
      <c r="C33" s="2983"/>
      <c r="D33" s="2984"/>
      <c r="E33" s="2980"/>
      <c r="F33" s="2980"/>
      <c r="G33" s="2980"/>
    </row>
    <row r="34" spans="1:7" hidden="1">
      <c r="A34" s="1417">
        <v>1</v>
      </c>
      <c r="B34" s="1414" t="s">
        <v>1019</v>
      </c>
      <c r="C34" s="1414"/>
      <c r="D34" s="1414"/>
      <c r="E34" s="2981"/>
      <c r="F34" s="2981"/>
      <c r="G34" s="2981"/>
    </row>
    <row r="35" spans="1:7" hidden="1">
      <c r="A35" s="1417">
        <v>2</v>
      </c>
      <c r="B35" s="1414" t="s">
        <v>1020</v>
      </c>
      <c r="C35" s="1414"/>
      <c r="D35" s="1414"/>
      <c r="E35" s="2981"/>
      <c r="F35" s="2981"/>
      <c r="G35" s="2981"/>
    </row>
    <row r="36" spans="1:7" hidden="1">
      <c r="A36" s="1417">
        <v>3</v>
      </c>
      <c r="B36" s="1414" t="s">
        <v>1021</v>
      </c>
      <c r="C36" s="1414"/>
      <c r="D36" s="1414"/>
      <c r="E36" s="2981"/>
      <c r="F36" s="2981"/>
      <c r="G36" s="2981"/>
    </row>
    <row r="37" spans="1:7" hidden="1">
      <c r="A37" s="1417">
        <v>4</v>
      </c>
      <c r="B37" s="1414" t="s">
        <v>1022</v>
      </c>
      <c r="C37" s="1414"/>
      <c r="D37" s="1414"/>
      <c r="E37" s="2981"/>
      <c r="F37" s="2981"/>
      <c r="G37" s="2981"/>
    </row>
    <row r="38" spans="1:7" hidden="1">
      <c r="A38" s="2982" t="s">
        <v>1023</v>
      </c>
      <c r="B38" s="2983"/>
      <c r="C38" s="2983"/>
      <c r="D38" s="2984"/>
      <c r="E38" s="2980"/>
      <c r="F38" s="2980"/>
      <c r="G38" s="298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总参谋部和平村退休干部住房建设工程指挥部</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J49" sqref="J49"/>
      <selection pane="bottomLeft" activeCell="T8" sqref="T8"/>
    </sheetView>
  </sheetViews>
  <sheetFormatPr defaultRowHeight="12.75"/>
  <cols>
    <col min="1" max="1" width="12.375" style="55" customWidth="1"/>
    <col min="2" max="2" width="9.25" style="17" customWidth="1"/>
    <col min="3" max="3" width="5" style="17" customWidth="1"/>
    <col min="4" max="4" width="9" style="17"/>
    <col min="5" max="5" width="6.62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 ca="1">B23</f>
        <v>36839535</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f ca="1">B24</f>
        <v>12769</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2988" t="s">
        <v>2306</v>
      </c>
      <c r="D4" s="2989"/>
      <c r="E4" s="2989"/>
      <c r="F4" s="2989"/>
      <c r="G4" s="2989"/>
      <c r="H4" s="2989"/>
      <c r="I4" s="2989"/>
      <c r="J4" s="2989"/>
      <c r="K4" s="2989"/>
      <c r="L4" s="2989"/>
      <c r="M4" s="2989"/>
      <c r="N4" s="2989"/>
      <c r="O4" s="2989"/>
      <c r="P4" s="2989"/>
      <c r="Q4" s="2989"/>
      <c r="R4" s="2989"/>
      <c r="S4" s="2990"/>
      <c r="T4" s="678" t="s">
        <v>2307</v>
      </c>
      <c r="U4" s="1312"/>
      <c r="V4" s="1312"/>
      <c r="X4" s="1312"/>
      <c r="Y4" s="1312"/>
    </row>
    <row r="5" spans="1:44" s="692" customFormat="1">
      <c r="A5" s="1322"/>
      <c r="B5" s="687" t="s">
        <v>2308</v>
      </c>
      <c r="C5" s="688" t="str">
        <f t="shared" ref="C5:L5" si="0">C6&amp;"(含)"&amp;"-"&amp;D6</f>
        <v>0(含)-90</v>
      </c>
      <c r="D5" s="689" t="str">
        <f t="shared" si="0"/>
        <v>90(含)-120</v>
      </c>
      <c r="E5" s="689" t="str">
        <f t="shared" si="0"/>
        <v>120(含)-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90</v>
      </c>
      <c r="E6" s="695">
        <v>120</v>
      </c>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100</v>
      </c>
      <c r="D7" s="1165">
        <v>98</v>
      </c>
      <c r="E7" s="1165">
        <v>96</v>
      </c>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3720" t="s">
        <v>3615</v>
      </c>
      <c r="C8" s="1168">
        <v>28</v>
      </c>
      <c r="D8" s="1169">
        <v>27</v>
      </c>
      <c r="E8" s="1169">
        <v>26</v>
      </c>
      <c r="F8" s="1169"/>
      <c r="G8" s="1169"/>
      <c r="H8" s="1169"/>
      <c r="I8" s="1169"/>
      <c r="J8" s="1169"/>
      <c r="K8" s="1169"/>
      <c r="L8" s="1170"/>
      <c r="M8" s="1171"/>
      <c r="N8" s="1171"/>
      <c r="O8" s="1169"/>
      <c r="P8" s="1169"/>
      <c r="Q8" s="1169"/>
      <c r="R8" s="1169"/>
      <c r="S8" s="1201"/>
      <c r="T8" s="1172">
        <v>0.2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99.8</v>
      </c>
      <c r="E9" s="1160">
        <f t="shared" si="7"/>
        <v>99.6</v>
      </c>
      <c r="F9" s="1160">
        <f t="shared" si="7"/>
        <v>99.399999999999991</v>
      </c>
      <c r="G9" s="1160">
        <f t="shared" si="7"/>
        <v>99.199999999999989</v>
      </c>
      <c r="H9" s="1160">
        <f t="shared" si="7"/>
        <v>98.999999999999986</v>
      </c>
      <c r="I9" s="1160">
        <f t="shared" si="7"/>
        <v>98.799999999999983</v>
      </c>
      <c r="J9" s="1160">
        <f t="shared" si="7"/>
        <v>98.59999999999998</v>
      </c>
      <c r="K9" s="1160">
        <f t="shared" si="7"/>
        <v>98.399999999999977</v>
      </c>
      <c r="L9" s="1160">
        <f t="shared" si="7"/>
        <v>98.199999999999974</v>
      </c>
      <c r="M9" s="1161">
        <f t="shared" si="7"/>
        <v>97.999999999999972</v>
      </c>
      <c r="N9" s="1161">
        <f t="shared" si="7"/>
        <v>97.799999999999969</v>
      </c>
      <c r="O9" s="1160">
        <f t="shared" si="7"/>
        <v>97.599999999999966</v>
      </c>
      <c r="P9" s="1160">
        <f t="shared" si="7"/>
        <v>97.399999999999963</v>
      </c>
      <c r="Q9" s="1160">
        <f t="shared" si="7"/>
        <v>97.19999999999996</v>
      </c>
      <c r="R9" s="1160">
        <f t="shared" si="7"/>
        <v>96.999999999999957</v>
      </c>
      <c r="S9" s="1202">
        <f t="shared" si="7"/>
        <v>96.799999999999955</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3722" t="s">
        <v>3616</v>
      </c>
      <c r="C10" s="3723" t="s">
        <v>3619</v>
      </c>
      <c r="D10" s="3724" t="s">
        <v>3621</v>
      </c>
      <c r="E10" s="3724" t="s">
        <v>3617</v>
      </c>
      <c r="F10" s="3724"/>
      <c r="G10" s="3724" t="s">
        <v>3622</v>
      </c>
      <c r="H10" s="3724" t="s">
        <v>3624</v>
      </c>
      <c r="I10" s="3724" t="s">
        <v>3626</v>
      </c>
      <c r="J10" s="3724" t="s">
        <v>3628</v>
      </c>
      <c r="K10" s="1154"/>
      <c r="L10" s="1154"/>
      <c r="M10" s="1156"/>
      <c r="N10" s="1147"/>
      <c r="O10" s="1149"/>
      <c r="P10" s="1150"/>
      <c r="Q10" s="1151"/>
      <c r="R10" s="1152"/>
      <c r="S10" s="1203"/>
      <c r="T10" s="700">
        <v>0.5</v>
      </c>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99.5</v>
      </c>
      <c r="E11" s="1160">
        <f t="shared" si="8"/>
        <v>99</v>
      </c>
      <c r="F11" s="1160">
        <f t="shared" si="8"/>
        <v>98.5</v>
      </c>
      <c r="G11" s="1160">
        <f t="shared" si="8"/>
        <v>98</v>
      </c>
      <c r="H11" s="1160">
        <f t="shared" si="8"/>
        <v>97.5</v>
      </c>
      <c r="I11" s="1160">
        <f t="shared" si="8"/>
        <v>97</v>
      </c>
      <c r="J11" s="1160">
        <f t="shared" si="8"/>
        <v>96.5</v>
      </c>
      <c r="K11" s="1160">
        <f t="shared" si="8"/>
        <v>96</v>
      </c>
      <c r="L11" s="1160">
        <f t="shared" si="8"/>
        <v>95.5</v>
      </c>
      <c r="M11" s="1161">
        <f t="shared" si="8"/>
        <v>95</v>
      </c>
      <c r="N11" s="1161">
        <f t="shared" ref="N11:S11" si="9">M11-$T$10</f>
        <v>94.5</v>
      </c>
      <c r="O11" s="1160">
        <f t="shared" si="9"/>
        <v>94</v>
      </c>
      <c r="P11" s="1160">
        <f t="shared" si="9"/>
        <v>93.5</v>
      </c>
      <c r="Q11" s="1160">
        <f t="shared" si="9"/>
        <v>93</v>
      </c>
      <c r="R11" s="1160">
        <f t="shared" si="9"/>
        <v>92.5</v>
      </c>
      <c r="S11" s="1202">
        <f t="shared" si="9"/>
        <v>92</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 ca="1">IF(F23="——",IF(C23="万元",T25,S25),IF(C23="万元",T25-H23,S25-H23))</f>
        <v>36839535</v>
      </c>
      <c r="C23" s="2370" t="str">
        <f>'数据-取费表'!B3</f>
        <v>元</v>
      </c>
      <c r="D23" s="84"/>
      <c r="E23" s="84"/>
      <c r="F23" s="2371" t="s">
        <v>1253</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2317</v>
      </c>
      <c r="B24" s="308">
        <f ca="1">R25</f>
        <v>12769</v>
      </c>
      <c r="C24" s="1144"/>
      <c r="D24" s="84"/>
      <c r="E24" s="84"/>
      <c r="F24" s="84"/>
      <c r="G24" s="84"/>
      <c r="H24" s="84"/>
      <c r="I24" s="84"/>
      <c r="J24" s="84"/>
      <c r="K24" s="84"/>
      <c r="L24" s="84"/>
      <c r="M24" s="84"/>
      <c r="N24" s="84"/>
      <c r="O24" s="84"/>
      <c r="P24" s="84"/>
      <c r="Q24" s="84"/>
      <c r="R24" s="769"/>
      <c r="S24" s="14" t="s">
        <v>2318</v>
      </c>
      <c r="T24" s="1897" t="s">
        <v>2319</v>
      </c>
      <c r="U24" s="2373" t="s">
        <v>2320</v>
      </c>
      <c r="V24" s="1342"/>
      <c r="W24" s="2374" t="s">
        <v>2321</v>
      </c>
      <c r="X24" s="2373" t="s">
        <v>2322</v>
      </c>
      <c r="Y24" s="1342"/>
      <c r="Z24" s="2375" t="s">
        <v>2321</v>
      </c>
    </row>
    <row r="25" spans="1:45">
      <c r="A25" s="334" t="s">
        <v>2323</v>
      </c>
      <c r="B25" s="14">
        <f>SUM(B27:B10000)</f>
        <v>2885.1000000000004</v>
      </c>
      <c r="C25" s="2985" t="s">
        <v>45</v>
      </c>
      <c r="D25" s="2986"/>
      <c r="E25" s="2986"/>
      <c r="F25" s="2986"/>
      <c r="G25" s="2986"/>
      <c r="H25" s="2986"/>
      <c r="I25" s="2986"/>
      <c r="J25" s="2986"/>
      <c r="K25" s="2986"/>
      <c r="L25" s="2986"/>
      <c r="M25" s="2986"/>
      <c r="N25" s="2986"/>
      <c r="O25" s="2986"/>
      <c r="P25" s="2986"/>
      <c r="Q25" s="2987"/>
      <c r="R25" s="703">
        <f ca="1">IF(C23="万元",ROUND(T25*10000/B25,0),ROUND(S25/B25,0))</f>
        <v>12769</v>
      </c>
      <c r="S25" s="14">
        <f ca="1">SUM(S27:S10000)</f>
        <v>36839535</v>
      </c>
      <c r="T25" s="14">
        <f ca="1">SUM(T27:T10000)</f>
        <v>3684</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楼层</v>
      </c>
      <c r="E26" s="10" t="s">
        <v>2326</v>
      </c>
      <c r="F26" s="10" t="str">
        <f>B10</f>
        <v>朝向</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7" t="s">
        <v>2330</v>
      </c>
      <c r="W26" s="2378" t="s">
        <v>2331</v>
      </c>
      <c r="X26" s="1883"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2602</v>
      </c>
      <c r="B27" s="706">
        <f>'数据-取费表'!E5</f>
        <v>91.5</v>
      </c>
      <c r="C27" s="706">
        <v>1</v>
      </c>
      <c r="D27" s="707">
        <v>26</v>
      </c>
      <c r="E27" s="706">
        <v>1</v>
      </c>
      <c r="F27" s="707" t="s">
        <v>3288</v>
      </c>
      <c r="G27" s="706">
        <v>1</v>
      </c>
      <c r="H27" s="707"/>
      <c r="I27" s="706">
        <v>1</v>
      </c>
      <c r="J27" s="707"/>
      <c r="K27" s="706">
        <v>1</v>
      </c>
      <c r="L27" s="707"/>
      <c r="M27" s="706">
        <v>1</v>
      </c>
      <c r="N27" s="707"/>
      <c r="O27" s="706">
        <v>1</v>
      </c>
      <c r="P27" s="707"/>
      <c r="Q27" s="706">
        <v>1</v>
      </c>
      <c r="R27" s="1192">
        <f ca="1">结果表!G20</f>
        <v>12712</v>
      </c>
      <c r="S27" s="706">
        <f ca="1">ROUND(R27*B27,0)</f>
        <v>1163148</v>
      </c>
      <c r="T27" s="706">
        <f ca="1">ROUND(R27*B27/10000,0)</f>
        <v>116</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2601</v>
      </c>
      <c r="B28" s="24">
        <v>116.3</v>
      </c>
      <c r="C28" s="14">
        <f t="shared" ref="C28:C91" si="14">IF(B28="",1,(LOOKUP(B28,$6:$6,$7:$7)-LOOKUP($B$27,$6:$6,$7:$7)+100)/100)</f>
        <v>1</v>
      </c>
      <c r="D28" s="707">
        <v>26</v>
      </c>
      <c r="E28" s="3721">
        <f t="shared" ref="E28:E91" si="15">(SUMIF($8:$8,D28,$9:$9)-SUMIF($8:$8,$D$27,$9:$9)+100)/100</f>
        <v>1</v>
      </c>
      <c r="F28" s="707" t="s">
        <v>3623</v>
      </c>
      <c r="G28" s="14">
        <f t="shared" ref="G28:G91" si="16">(SUMIF($10:$10,F28,$11:$11)-SUMIF($10:$10,$F$27,$11:$11)+100)/100</f>
        <v>0.995</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12648</v>
      </c>
      <c r="S28" s="334">
        <f ca="1">ROUND(R28*B28,0)</f>
        <v>1470962</v>
      </c>
      <c r="T28" s="1182">
        <f ca="1">ROUND(R28*B28/10000,0)</f>
        <v>147</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v>2603</v>
      </c>
      <c r="B29" s="24">
        <v>94.5</v>
      </c>
      <c r="C29" s="14">
        <f t="shared" si="14"/>
        <v>1</v>
      </c>
      <c r="D29" s="707">
        <v>26</v>
      </c>
      <c r="E29" s="14">
        <f t="shared" si="15"/>
        <v>1</v>
      </c>
      <c r="F29" s="707" t="s">
        <v>3288</v>
      </c>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ca="1" si="26">IF(B29="",0,ROUND($R$27*C29*E29*G29*I29*K29*M29*O29*Q29,0))</f>
        <v>12712</v>
      </c>
      <c r="S29" s="334">
        <f t="shared" ref="S29:S92" ca="1" si="27">ROUND(R29*B29,0)</f>
        <v>1201284</v>
      </c>
      <c r="T29" s="1182">
        <f t="shared" ref="T29:T92" ca="1" si="28">ROUND(R29*B29/10000,0)</f>
        <v>120</v>
      </c>
      <c r="U29" s="1314">
        <f t="shared" si="22"/>
        <v>0</v>
      </c>
      <c r="V29" s="1314">
        <f t="shared" si="23"/>
        <v>0</v>
      </c>
      <c r="W29" s="1311"/>
      <c r="X29" s="1314">
        <f t="shared" si="24"/>
        <v>0</v>
      </c>
      <c r="Y29" s="1314">
        <f t="shared" si="25"/>
        <v>0</v>
      </c>
      <c r="Z29" s="1311"/>
    </row>
    <row r="30" spans="1:45">
      <c r="A30" s="75">
        <v>2604</v>
      </c>
      <c r="B30" s="24">
        <v>93.4</v>
      </c>
      <c r="C30" s="14">
        <f t="shared" si="14"/>
        <v>1</v>
      </c>
      <c r="D30" s="707">
        <v>26</v>
      </c>
      <c r="E30" s="14">
        <f t="shared" si="15"/>
        <v>1</v>
      </c>
      <c r="F30" s="707" t="s">
        <v>3618</v>
      </c>
      <c r="G30" s="14">
        <f t="shared" si="16"/>
        <v>1.02</v>
      </c>
      <c r="H30" s="707"/>
      <c r="I30" s="14">
        <f t="shared" si="17"/>
        <v>1</v>
      </c>
      <c r="J30" s="707"/>
      <c r="K30" s="14">
        <f t="shared" si="18"/>
        <v>1</v>
      </c>
      <c r="L30" s="707"/>
      <c r="M30" s="14">
        <f t="shared" si="19"/>
        <v>1</v>
      </c>
      <c r="N30" s="707"/>
      <c r="O30" s="14">
        <f t="shared" si="20"/>
        <v>1</v>
      </c>
      <c r="P30" s="707"/>
      <c r="Q30" s="14">
        <f t="shared" si="21"/>
        <v>1</v>
      </c>
      <c r="R30" s="703">
        <f t="shared" ca="1" si="26"/>
        <v>12966</v>
      </c>
      <c r="S30" s="334">
        <f t="shared" ca="1" si="27"/>
        <v>1211024</v>
      </c>
      <c r="T30" s="1182">
        <f t="shared" ca="1" si="28"/>
        <v>121</v>
      </c>
      <c r="U30" s="1314">
        <f t="shared" si="22"/>
        <v>0</v>
      </c>
      <c r="V30" s="1314">
        <f t="shared" si="23"/>
        <v>0</v>
      </c>
      <c r="W30" s="1311"/>
      <c r="X30" s="1314">
        <f t="shared" si="24"/>
        <v>0</v>
      </c>
      <c r="Y30" s="1314">
        <f t="shared" si="25"/>
        <v>0</v>
      </c>
      <c r="Z30" s="1311"/>
    </row>
    <row r="31" spans="1:45">
      <c r="A31" s="75">
        <v>2605</v>
      </c>
      <c r="B31" s="24">
        <v>91.1</v>
      </c>
      <c r="C31" s="14">
        <f t="shared" si="14"/>
        <v>1</v>
      </c>
      <c r="D31" s="707">
        <v>26</v>
      </c>
      <c r="E31" s="14">
        <f t="shared" si="15"/>
        <v>1</v>
      </c>
      <c r="F31" s="707" t="s">
        <v>3286</v>
      </c>
      <c r="G31" s="14">
        <f t="shared" si="16"/>
        <v>1.01</v>
      </c>
      <c r="H31" s="707"/>
      <c r="I31" s="14">
        <f t="shared" si="17"/>
        <v>1</v>
      </c>
      <c r="J31" s="707"/>
      <c r="K31" s="14">
        <f t="shared" si="18"/>
        <v>1</v>
      </c>
      <c r="L31" s="707"/>
      <c r="M31" s="14">
        <f t="shared" si="19"/>
        <v>1</v>
      </c>
      <c r="N31" s="707"/>
      <c r="O31" s="14">
        <f t="shared" si="20"/>
        <v>1</v>
      </c>
      <c r="P31" s="707"/>
      <c r="Q31" s="14">
        <f t="shared" si="21"/>
        <v>1</v>
      </c>
      <c r="R31" s="703">
        <f t="shared" ca="1" si="26"/>
        <v>12839</v>
      </c>
      <c r="S31" s="334">
        <f t="shared" ca="1" si="27"/>
        <v>1169633</v>
      </c>
      <c r="T31" s="1182">
        <f t="shared" ca="1" si="28"/>
        <v>117</v>
      </c>
      <c r="U31" s="1314">
        <f t="shared" si="22"/>
        <v>0</v>
      </c>
      <c r="V31" s="1314">
        <f t="shared" si="23"/>
        <v>0</v>
      </c>
      <c r="W31" s="1311"/>
      <c r="X31" s="1314">
        <f t="shared" si="24"/>
        <v>0</v>
      </c>
      <c r="Y31" s="1314">
        <f t="shared" si="25"/>
        <v>0</v>
      </c>
      <c r="Z31" s="1311"/>
    </row>
    <row r="32" spans="1:45">
      <c r="A32" s="75">
        <v>2606</v>
      </c>
      <c r="B32" s="24">
        <v>79.2</v>
      </c>
      <c r="C32" s="14">
        <f t="shared" si="14"/>
        <v>1.02</v>
      </c>
      <c r="D32" s="707">
        <v>26</v>
      </c>
      <c r="E32" s="14">
        <f t="shared" si="15"/>
        <v>1</v>
      </c>
      <c r="F32" s="707" t="s">
        <v>3286</v>
      </c>
      <c r="G32" s="14">
        <f t="shared" si="16"/>
        <v>1.01</v>
      </c>
      <c r="H32" s="707"/>
      <c r="I32" s="14">
        <f t="shared" si="17"/>
        <v>1</v>
      </c>
      <c r="J32" s="707"/>
      <c r="K32" s="14">
        <f t="shared" si="18"/>
        <v>1</v>
      </c>
      <c r="L32" s="707"/>
      <c r="M32" s="14">
        <f t="shared" si="19"/>
        <v>1</v>
      </c>
      <c r="N32" s="707"/>
      <c r="O32" s="14">
        <f t="shared" si="20"/>
        <v>1</v>
      </c>
      <c r="P32" s="707"/>
      <c r="Q32" s="14">
        <f t="shared" si="21"/>
        <v>1</v>
      </c>
      <c r="R32" s="703">
        <f t="shared" ca="1" si="26"/>
        <v>13096</v>
      </c>
      <c r="S32" s="334">
        <f t="shared" ca="1" si="27"/>
        <v>1037203</v>
      </c>
      <c r="T32" s="1182">
        <f t="shared" ca="1" si="28"/>
        <v>104</v>
      </c>
      <c r="U32" s="1314">
        <f t="shared" si="22"/>
        <v>0</v>
      </c>
      <c r="V32" s="1314">
        <f t="shared" si="23"/>
        <v>0</v>
      </c>
      <c r="W32" s="1311"/>
      <c r="X32" s="1314">
        <f t="shared" si="24"/>
        <v>0</v>
      </c>
      <c r="Y32" s="1314">
        <f t="shared" si="25"/>
        <v>0</v>
      </c>
      <c r="Z32" s="1311"/>
    </row>
    <row r="33" spans="1:26">
      <c r="A33" s="75">
        <v>2607</v>
      </c>
      <c r="B33" s="24">
        <v>93.4</v>
      </c>
      <c r="C33" s="14">
        <f t="shared" si="14"/>
        <v>1</v>
      </c>
      <c r="D33" s="707">
        <v>26</v>
      </c>
      <c r="E33" s="14">
        <f t="shared" si="15"/>
        <v>1</v>
      </c>
      <c r="F33" s="707" t="s">
        <v>3620</v>
      </c>
      <c r="G33" s="14">
        <f t="shared" si="16"/>
        <v>1.0149999999999999</v>
      </c>
      <c r="H33" s="707"/>
      <c r="I33" s="14">
        <f t="shared" si="17"/>
        <v>1</v>
      </c>
      <c r="J33" s="707"/>
      <c r="K33" s="14">
        <f t="shared" si="18"/>
        <v>1</v>
      </c>
      <c r="L33" s="707"/>
      <c r="M33" s="14">
        <f t="shared" si="19"/>
        <v>1</v>
      </c>
      <c r="N33" s="707"/>
      <c r="O33" s="14">
        <f t="shared" si="20"/>
        <v>1</v>
      </c>
      <c r="P33" s="707"/>
      <c r="Q33" s="14">
        <f t="shared" si="21"/>
        <v>1</v>
      </c>
      <c r="R33" s="703">
        <f t="shared" ca="1" si="26"/>
        <v>12903</v>
      </c>
      <c r="S33" s="334">
        <f t="shared" ca="1" si="27"/>
        <v>1205140</v>
      </c>
      <c r="T33" s="1182">
        <f t="shared" ca="1" si="28"/>
        <v>121</v>
      </c>
      <c r="U33" s="1314">
        <f t="shared" si="22"/>
        <v>0</v>
      </c>
      <c r="V33" s="1314">
        <f t="shared" si="23"/>
        <v>0</v>
      </c>
      <c r="W33" s="1311"/>
      <c r="X33" s="1314">
        <f t="shared" si="24"/>
        <v>0</v>
      </c>
      <c r="Y33" s="1314">
        <f t="shared" si="25"/>
        <v>0</v>
      </c>
      <c r="Z33" s="1311"/>
    </row>
    <row r="34" spans="1:26">
      <c r="A34" s="75">
        <v>2608</v>
      </c>
      <c r="B34" s="24">
        <v>94.5</v>
      </c>
      <c r="C34" s="14">
        <f t="shared" si="14"/>
        <v>1</v>
      </c>
      <c r="D34" s="707">
        <v>26</v>
      </c>
      <c r="E34" s="14">
        <f t="shared" si="15"/>
        <v>1</v>
      </c>
      <c r="F34" s="707" t="s">
        <v>3625</v>
      </c>
      <c r="G34" s="14">
        <f t="shared" si="16"/>
        <v>0.99</v>
      </c>
      <c r="H34" s="707"/>
      <c r="I34" s="14">
        <f t="shared" si="17"/>
        <v>1</v>
      </c>
      <c r="J34" s="707"/>
      <c r="K34" s="14">
        <f t="shared" si="18"/>
        <v>1</v>
      </c>
      <c r="L34" s="707"/>
      <c r="M34" s="14">
        <f t="shared" si="19"/>
        <v>1</v>
      </c>
      <c r="N34" s="707"/>
      <c r="O34" s="14">
        <f t="shared" si="20"/>
        <v>1</v>
      </c>
      <c r="P34" s="707"/>
      <c r="Q34" s="14">
        <f t="shared" si="21"/>
        <v>1</v>
      </c>
      <c r="R34" s="703">
        <f t="shared" ca="1" si="26"/>
        <v>12585</v>
      </c>
      <c r="S34" s="334">
        <f t="shared" ca="1" si="27"/>
        <v>1189283</v>
      </c>
      <c r="T34" s="1182">
        <f t="shared" ca="1" si="28"/>
        <v>119</v>
      </c>
      <c r="U34" s="1314">
        <f t="shared" si="22"/>
        <v>0</v>
      </c>
      <c r="V34" s="1314">
        <f t="shared" si="23"/>
        <v>0</v>
      </c>
      <c r="W34" s="1311"/>
      <c r="X34" s="1314">
        <f t="shared" si="24"/>
        <v>0</v>
      </c>
      <c r="Y34" s="1314">
        <f t="shared" si="25"/>
        <v>0</v>
      </c>
      <c r="Z34" s="1311"/>
    </row>
    <row r="35" spans="1:26">
      <c r="A35" s="75">
        <v>2609</v>
      </c>
      <c r="B35" s="24">
        <v>91.5</v>
      </c>
      <c r="C35" s="14">
        <f t="shared" si="14"/>
        <v>1</v>
      </c>
      <c r="D35" s="707">
        <v>26</v>
      </c>
      <c r="E35" s="14">
        <f t="shared" si="15"/>
        <v>1</v>
      </c>
      <c r="F35" s="707" t="s">
        <v>3625</v>
      </c>
      <c r="G35" s="14">
        <f t="shared" si="16"/>
        <v>0.99</v>
      </c>
      <c r="H35" s="707"/>
      <c r="I35" s="14">
        <f t="shared" si="17"/>
        <v>1</v>
      </c>
      <c r="J35" s="707"/>
      <c r="K35" s="14">
        <f t="shared" si="18"/>
        <v>1</v>
      </c>
      <c r="L35" s="707"/>
      <c r="M35" s="14">
        <f t="shared" si="19"/>
        <v>1</v>
      </c>
      <c r="N35" s="707"/>
      <c r="O35" s="14">
        <f t="shared" si="20"/>
        <v>1</v>
      </c>
      <c r="P35" s="707"/>
      <c r="Q35" s="14">
        <f t="shared" si="21"/>
        <v>1</v>
      </c>
      <c r="R35" s="703">
        <f t="shared" ca="1" si="26"/>
        <v>12585</v>
      </c>
      <c r="S35" s="334">
        <f t="shared" ca="1" si="27"/>
        <v>1151528</v>
      </c>
      <c r="T35" s="1182">
        <f t="shared" ca="1" si="28"/>
        <v>115</v>
      </c>
      <c r="U35" s="1314">
        <f t="shared" si="22"/>
        <v>0</v>
      </c>
      <c r="V35" s="1314">
        <f t="shared" si="23"/>
        <v>0</v>
      </c>
      <c r="W35" s="1311"/>
      <c r="X35" s="1314">
        <f t="shared" si="24"/>
        <v>0</v>
      </c>
      <c r="Y35" s="1314">
        <f t="shared" si="25"/>
        <v>0</v>
      </c>
      <c r="Z35" s="1311"/>
    </row>
    <row r="36" spans="1:26">
      <c r="A36" s="75">
        <v>2610</v>
      </c>
      <c r="B36" s="24">
        <v>116.3</v>
      </c>
      <c r="C36" s="14">
        <f t="shared" si="14"/>
        <v>1</v>
      </c>
      <c r="D36" s="707">
        <v>26</v>
      </c>
      <c r="E36" s="14">
        <f t="shared" si="15"/>
        <v>1</v>
      </c>
      <c r="F36" s="707" t="s">
        <v>3627</v>
      </c>
      <c r="G36" s="14">
        <f t="shared" si="16"/>
        <v>0.98499999999999999</v>
      </c>
      <c r="H36" s="707"/>
      <c r="I36" s="14">
        <f t="shared" si="17"/>
        <v>1</v>
      </c>
      <c r="J36" s="707"/>
      <c r="K36" s="14">
        <f t="shared" si="18"/>
        <v>1</v>
      </c>
      <c r="L36" s="707"/>
      <c r="M36" s="14">
        <f t="shared" si="19"/>
        <v>1</v>
      </c>
      <c r="N36" s="707"/>
      <c r="O36" s="14">
        <f t="shared" si="20"/>
        <v>1</v>
      </c>
      <c r="P36" s="707"/>
      <c r="Q36" s="14">
        <f t="shared" si="21"/>
        <v>1</v>
      </c>
      <c r="R36" s="703">
        <f t="shared" ca="1" si="26"/>
        <v>12521</v>
      </c>
      <c r="S36" s="334">
        <f t="shared" ca="1" si="27"/>
        <v>1456192</v>
      </c>
      <c r="T36" s="1182">
        <f t="shared" ca="1" si="28"/>
        <v>146</v>
      </c>
      <c r="U36" s="1314">
        <f t="shared" si="22"/>
        <v>0</v>
      </c>
      <c r="V36" s="1314">
        <f t="shared" si="23"/>
        <v>0</v>
      </c>
      <c r="W36" s="1311"/>
      <c r="X36" s="1314">
        <f t="shared" si="24"/>
        <v>0</v>
      </c>
      <c r="Y36" s="1314">
        <f t="shared" si="25"/>
        <v>0</v>
      </c>
      <c r="Z36" s="1311"/>
    </row>
    <row r="37" spans="1:26">
      <c r="A37" s="75">
        <v>2702</v>
      </c>
      <c r="B37" s="24">
        <v>91.5</v>
      </c>
      <c r="C37" s="14">
        <f t="shared" si="14"/>
        <v>1</v>
      </c>
      <c r="D37" s="707">
        <v>27</v>
      </c>
      <c r="E37" s="3725">
        <f t="shared" si="15"/>
        <v>1.002</v>
      </c>
      <c r="F37" s="707" t="s">
        <v>3288</v>
      </c>
      <c r="G37" s="14">
        <f t="shared" si="16"/>
        <v>1</v>
      </c>
      <c r="H37" s="707"/>
      <c r="I37" s="14">
        <f t="shared" si="17"/>
        <v>1</v>
      </c>
      <c r="J37" s="707"/>
      <c r="K37" s="14">
        <f t="shared" si="18"/>
        <v>1</v>
      </c>
      <c r="L37" s="707"/>
      <c r="M37" s="14">
        <f t="shared" si="19"/>
        <v>1</v>
      </c>
      <c r="N37" s="707"/>
      <c r="O37" s="14">
        <f t="shared" si="20"/>
        <v>1</v>
      </c>
      <c r="P37" s="707"/>
      <c r="Q37" s="14">
        <f t="shared" si="21"/>
        <v>1</v>
      </c>
      <c r="R37" s="703">
        <f t="shared" ca="1" si="26"/>
        <v>12737</v>
      </c>
      <c r="S37" s="334">
        <f t="shared" ca="1" si="27"/>
        <v>1165436</v>
      </c>
      <c r="T37" s="1182">
        <f t="shared" ca="1" si="28"/>
        <v>117</v>
      </c>
      <c r="U37" s="1314">
        <f t="shared" si="22"/>
        <v>0</v>
      </c>
      <c r="V37" s="1314">
        <f t="shared" si="23"/>
        <v>0</v>
      </c>
      <c r="W37" s="1311"/>
      <c r="X37" s="1314">
        <f t="shared" si="24"/>
        <v>0</v>
      </c>
      <c r="Y37" s="1314">
        <f t="shared" si="25"/>
        <v>0</v>
      </c>
      <c r="Z37" s="1311"/>
    </row>
    <row r="38" spans="1:26">
      <c r="A38" s="75">
        <v>2701</v>
      </c>
      <c r="B38" s="24">
        <v>116.3</v>
      </c>
      <c r="C38" s="14">
        <f t="shared" si="14"/>
        <v>1</v>
      </c>
      <c r="D38" s="707">
        <v>27</v>
      </c>
      <c r="E38" s="14">
        <f t="shared" si="15"/>
        <v>1.002</v>
      </c>
      <c r="F38" s="707" t="s">
        <v>3623</v>
      </c>
      <c r="G38" s="14">
        <f t="shared" si="16"/>
        <v>0.995</v>
      </c>
      <c r="H38" s="707"/>
      <c r="I38" s="14">
        <f t="shared" si="17"/>
        <v>1</v>
      </c>
      <c r="J38" s="707"/>
      <c r="K38" s="14">
        <f t="shared" si="18"/>
        <v>1</v>
      </c>
      <c r="L38" s="707"/>
      <c r="M38" s="14">
        <f t="shared" si="19"/>
        <v>1</v>
      </c>
      <c r="N38" s="707"/>
      <c r="O38" s="14">
        <f t="shared" si="20"/>
        <v>1</v>
      </c>
      <c r="P38" s="707"/>
      <c r="Q38" s="14">
        <f t="shared" si="21"/>
        <v>1</v>
      </c>
      <c r="R38" s="703">
        <f t="shared" ca="1" si="26"/>
        <v>12674</v>
      </c>
      <c r="S38" s="334">
        <f t="shared" ca="1" si="27"/>
        <v>1473986</v>
      </c>
      <c r="T38" s="1182">
        <f t="shared" ca="1" si="28"/>
        <v>147</v>
      </c>
      <c r="U38" s="1314">
        <f t="shared" si="22"/>
        <v>0</v>
      </c>
      <c r="V38" s="1314">
        <f t="shared" si="23"/>
        <v>0</v>
      </c>
      <c r="W38" s="1311"/>
      <c r="X38" s="1314">
        <f t="shared" si="24"/>
        <v>0</v>
      </c>
      <c r="Y38" s="1314">
        <f t="shared" si="25"/>
        <v>0</v>
      </c>
      <c r="Z38" s="1311"/>
    </row>
    <row r="39" spans="1:26">
      <c r="A39" s="75">
        <v>2703</v>
      </c>
      <c r="B39" s="24">
        <v>94.5</v>
      </c>
      <c r="C39" s="14">
        <f t="shared" si="14"/>
        <v>1</v>
      </c>
      <c r="D39" s="707">
        <v>27</v>
      </c>
      <c r="E39" s="14">
        <f t="shared" si="15"/>
        <v>1.002</v>
      </c>
      <c r="F39" s="707" t="s">
        <v>3288</v>
      </c>
      <c r="G39" s="14">
        <f t="shared" si="16"/>
        <v>1</v>
      </c>
      <c r="H39" s="707"/>
      <c r="I39" s="14">
        <f t="shared" si="17"/>
        <v>1</v>
      </c>
      <c r="J39" s="707"/>
      <c r="K39" s="14">
        <f t="shared" si="18"/>
        <v>1</v>
      </c>
      <c r="L39" s="707"/>
      <c r="M39" s="14">
        <f t="shared" si="19"/>
        <v>1</v>
      </c>
      <c r="N39" s="707"/>
      <c r="O39" s="14">
        <f t="shared" si="20"/>
        <v>1</v>
      </c>
      <c r="P39" s="707"/>
      <c r="Q39" s="14">
        <f t="shared" si="21"/>
        <v>1</v>
      </c>
      <c r="R39" s="703">
        <f t="shared" ca="1" si="26"/>
        <v>12737</v>
      </c>
      <c r="S39" s="334">
        <f t="shared" ca="1" si="27"/>
        <v>1203647</v>
      </c>
      <c r="T39" s="1182">
        <f t="shared" ca="1" si="28"/>
        <v>120</v>
      </c>
      <c r="U39" s="1314">
        <f t="shared" si="22"/>
        <v>0</v>
      </c>
      <c r="V39" s="1314">
        <f t="shared" si="23"/>
        <v>0</v>
      </c>
      <c r="W39" s="1311"/>
      <c r="X39" s="1314">
        <f t="shared" si="24"/>
        <v>0</v>
      </c>
      <c r="Y39" s="1314">
        <f t="shared" si="25"/>
        <v>0</v>
      </c>
      <c r="Z39" s="1311"/>
    </row>
    <row r="40" spans="1:26">
      <c r="A40" s="75">
        <v>2704</v>
      </c>
      <c r="B40" s="24">
        <v>93.4</v>
      </c>
      <c r="C40" s="14">
        <f t="shared" si="14"/>
        <v>1</v>
      </c>
      <c r="D40" s="707">
        <v>27</v>
      </c>
      <c r="E40" s="14">
        <f t="shared" si="15"/>
        <v>1.002</v>
      </c>
      <c r="F40" s="707" t="s">
        <v>3618</v>
      </c>
      <c r="G40" s="14">
        <f t="shared" si="16"/>
        <v>1.02</v>
      </c>
      <c r="H40" s="707"/>
      <c r="I40" s="14">
        <f t="shared" si="17"/>
        <v>1</v>
      </c>
      <c r="J40" s="707"/>
      <c r="K40" s="14">
        <f t="shared" si="18"/>
        <v>1</v>
      </c>
      <c r="L40" s="707"/>
      <c r="M40" s="14">
        <f t="shared" si="19"/>
        <v>1</v>
      </c>
      <c r="N40" s="707"/>
      <c r="O40" s="14">
        <f t="shared" si="20"/>
        <v>1</v>
      </c>
      <c r="P40" s="707"/>
      <c r="Q40" s="14">
        <f t="shared" si="21"/>
        <v>1</v>
      </c>
      <c r="R40" s="703">
        <f t="shared" ca="1" si="26"/>
        <v>12992</v>
      </c>
      <c r="S40" s="334">
        <f t="shared" ca="1" si="27"/>
        <v>1213453</v>
      </c>
      <c r="T40" s="1182">
        <f t="shared" ca="1" si="28"/>
        <v>121</v>
      </c>
      <c r="U40" s="1314">
        <f t="shared" si="22"/>
        <v>0</v>
      </c>
      <c r="V40" s="1314">
        <f t="shared" si="23"/>
        <v>0</v>
      </c>
      <c r="W40" s="1311"/>
      <c r="X40" s="1314">
        <f t="shared" si="24"/>
        <v>0</v>
      </c>
      <c r="Y40" s="1314">
        <f t="shared" si="25"/>
        <v>0</v>
      </c>
      <c r="Z40" s="1311"/>
    </row>
    <row r="41" spans="1:26">
      <c r="A41" s="75">
        <v>2705</v>
      </c>
      <c r="B41" s="24">
        <v>91.1</v>
      </c>
      <c r="C41" s="14">
        <f t="shared" si="14"/>
        <v>1</v>
      </c>
      <c r="D41" s="707">
        <v>27</v>
      </c>
      <c r="E41" s="3721">
        <f t="shared" si="15"/>
        <v>1.002</v>
      </c>
      <c r="F41" s="707" t="s">
        <v>3286</v>
      </c>
      <c r="G41" s="14">
        <f t="shared" si="16"/>
        <v>1.01</v>
      </c>
      <c r="H41" s="707"/>
      <c r="I41" s="14">
        <f t="shared" si="17"/>
        <v>1</v>
      </c>
      <c r="J41" s="707"/>
      <c r="K41" s="14">
        <f t="shared" si="18"/>
        <v>1</v>
      </c>
      <c r="L41" s="707"/>
      <c r="M41" s="14">
        <f t="shared" si="19"/>
        <v>1</v>
      </c>
      <c r="N41" s="707"/>
      <c r="O41" s="14">
        <f t="shared" si="20"/>
        <v>1</v>
      </c>
      <c r="P41" s="707"/>
      <c r="Q41" s="14">
        <f t="shared" si="21"/>
        <v>1</v>
      </c>
      <c r="R41" s="703">
        <f t="shared" ca="1" si="26"/>
        <v>12865</v>
      </c>
      <c r="S41" s="334">
        <f t="shared" ca="1" si="27"/>
        <v>1172002</v>
      </c>
      <c r="T41" s="1182">
        <f t="shared" ca="1" si="28"/>
        <v>117</v>
      </c>
      <c r="U41" s="1314">
        <f t="shared" si="22"/>
        <v>0</v>
      </c>
      <c r="V41" s="1314">
        <f t="shared" si="23"/>
        <v>0</v>
      </c>
      <c r="W41" s="1311"/>
      <c r="X41" s="1314">
        <f t="shared" si="24"/>
        <v>0</v>
      </c>
      <c r="Y41" s="1314">
        <f t="shared" si="25"/>
        <v>0</v>
      </c>
      <c r="Z41" s="1311"/>
    </row>
    <row r="42" spans="1:26">
      <c r="A42" s="75">
        <v>2706</v>
      </c>
      <c r="B42" s="24">
        <v>79.2</v>
      </c>
      <c r="C42" s="14">
        <f t="shared" si="14"/>
        <v>1.02</v>
      </c>
      <c r="D42" s="707">
        <v>27</v>
      </c>
      <c r="E42" s="14">
        <f t="shared" si="15"/>
        <v>1.002</v>
      </c>
      <c r="F42" s="707" t="s">
        <v>3286</v>
      </c>
      <c r="G42" s="14">
        <f t="shared" si="16"/>
        <v>1.01</v>
      </c>
      <c r="H42" s="707"/>
      <c r="I42" s="14">
        <f t="shared" si="17"/>
        <v>1</v>
      </c>
      <c r="J42" s="707"/>
      <c r="K42" s="14">
        <f t="shared" si="18"/>
        <v>1</v>
      </c>
      <c r="L42" s="707"/>
      <c r="M42" s="14">
        <f t="shared" si="19"/>
        <v>1</v>
      </c>
      <c r="N42" s="707"/>
      <c r="O42" s="14">
        <f t="shared" si="20"/>
        <v>1</v>
      </c>
      <c r="P42" s="707"/>
      <c r="Q42" s="14">
        <f t="shared" si="21"/>
        <v>1</v>
      </c>
      <c r="R42" s="703">
        <f t="shared" ca="1" si="26"/>
        <v>13122</v>
      </c>
      <c r="S42" s="334">
        <f t="shared" ca="1" si="27"/>
        <v>1039262</v>
      </c>
      <c r="T42" s="1182">
        <f t="shared" ca="1" si="28"/>
        <v>104</v>
      </c>
      <c r="U42" s="1314">
        <f t="shared" si="22"/>
        <v>0</v>
      </c>
      <c r="V42" s="1314">
        <f t="shared" si="23"/>
        <v>0</v>
      </c>
      <c r="W42" s="1311"/>
      <c r="X42" s="1314">
        <f t="shared" si="24"/>
        <v>0</v>
      </c>
      <c r="Y42" s="1314">
        <f t="shared" si="25"/>
        <v>0</v>
      </c>
      <c r="Z42" s="1311"/>
    </row>
    <row r="43" spans="1:26">
      <c r="A43" s="75">
        <v>2707</v>
      </c>
      <c r="B43" s="24">
        <v>93.4</v>
      </c>
      <c r="C43" s="14">
        <f t="shared" si="14"/>
        <v>1</v>
      </c>
      <c r="D43" s="707">
        <v>27</v>
      </c>
      <c r="E43" s="14">
        <f t="shared" si="15"/>
        <v>1.002</v>
      </c>
      <c r="F43" s="707" t="s">
        <v>3620</v>
      </c>
      <c r="G43" s="14">
        <f t="shared" si="16"/>
        <v>1.0149999999999999</v>
      </c>
      <c r="H43" s="707"/>
      <c r="I43" s="14">
        <f t="shared" si="17"/>
        <v>1</v>
      </c>
      <c r="J43" s="707"/>
      <c r="K43" s="14">
        <f t="shared" si="18"/>
        <v>1</v>
      </c>
      <c r="L43" s="707"/>
      <c r="M43" s="14">
        <f t="shared" si="19"/>
        <v>1</v>
      </c>
      <c r="N43" s="707"/>
      <c r="O43" s="14">
        <f t="shared" si="20"/>
        <v>1</v>
      </c>
      <c r="P43" s="707"/>
      <c r="Q43" s="14">
        <f t="shared" si="21"/>
        <v>1</v>
      </c>
      <c r="R43" s="703">
        <f t="shared" ca="1" si="26"/>
        <v>12928</v>
      </c>
      <c r="S43" s="334">
        <f t="shared" ca="1" si="27"/>
        <v>1207475</v>
      </c>
      <c r="T43" s="1182">
        <f t="shared" ca="1" si="28"/>
        <v>121</v>
      </c>
      <c r="U43" s="1314">
        <f t="shared" si="22"/>
        <v>0</v>
      </c>
      <c r="V43" s="1314">
        <f t="shared" si="23"/>
        <v>0</v>
      </c>
      <c r="W43" s="1311"/>
      <c r="X43" s="1314">
        <f t="shared" si="24"/>
        <v>0</v>
      </c>
      <c r="Y43" s="1314">
        <f t="shared" si="25"/>
        <v>0</v>
      </c>
      <c r="Z43" s="1311"/>
    </row>
    <row r="44" spans="1:26">
      <c r="A44" s="75">
        <v>2708</v>
      </c>
      <c r="B44" s="24">
        <v>94.5</v>
      </c>
      <c r="C44" s="14">
        <f t="shared" si="14"/>
        <v>1</v>
      </c>
      <c r="D44" s="707">
        <v>27</v>
      </c>
      <c r="E44" s="14">
        <f t="shared" si="15"/>
        <v>1.002</v>
      </c>
      <c r="F44" s="707" t="s">
        <v>3625</v>
      </c>
      <c r="G44" s="14">
        <f t="shared" si="16"/>
        <v>0.99</v>
      </c>
      <c r="H44" s="707"/>
      <c r="I44" s="14">
        <f t="shared" si="17"/>
        <v>1</v>
      </c>
      <c r="J44" s="707"/>
      <c r="K44" s="14">
        <f t="shared" si="18"/>
        <v>1</v>
      </c>
      <c r="L44" s="707"/>
      <c r="M44" s="14">
        <f t="shared" si="19"/>
        <v>1</v>
      </c>
      <c r="N44" s="707"/>
      <c r="O44" s="14">
        <f t="shared" si="20"/>
        <v>1</v>
      </c>
      <c r="P44" s="707"/>
      <c r="Q44" s="14">
        <f t="shared" si="21"/>
        <v>1</v>
      </c>
      <c r="R44" s="703">
        <f t="shared" ca="1" si="26"/>
        <v>12610</v>
      </c>
      <c r="S44" s="334">
        <f t="shared" ca="1" si="27"/>
        <v>1191645</v>
      </c>
      <c r="T44" s="1182">
        <f t="shared" ca="1" si="28"/>
        <v>119</v>
      </c>
      <c r="U44" s="1314">
        <f t="shared" si="22"/>
        <v>0</v>
      </c>
      <c r="V44" s="1314">
        <f t="shared" si="23"/>
        <v>0</v>
      </c>
      <c r="W44" s="1311"/>
      <c r="X44" s="1314">
        <f t="shared" si="24"/>
        <v>0</v>
      </c>
      <c r="Y44" s="1314">
        <f t="shared" si="25"/>
        <v>0</v>
      </c>
      <c r="Z44" s="1311"/>
    </row>
    <row r="45" spans="1:26">
      <c r="A45" s="75">
        <v>2709</v>
      </c>
      <c r="B45" s="24">
        <v>91.5</v>
      </c>
      <c r="C45" s="14">
        <f t="shared" si="14"/>
        <v>1</v>
      </c>
      <c r="D45" s="707">
        <v>27</v>
      </c>
      <c r="E45" s="14">
        <f t="shared" si="15"/>
        <v>1.002</v>
      </c>
      <c r="F45" s="707" t="s">
        <v>3625</v>
      </c>
      <c r="G45" s="14">
        <f t="shared" si="16"/>
        <v>0.99</v>
      </c>
      <c r="H45" s="707"/>
      <c r="I45" s="14">
        <f t="shared" si="17"/>
        <v>1</v>
      </c>
      <c r="J45" s="707"/>
      <c r="K45" s="14">
        <f t="shared" si="18"/>
        <v>1</v>
      </c>
      <c r="L45" s="707"/>
      <c r="M45" s="14">
        <f t="shared" si="19"/>
        <v>1</v>
      </c>
      <c r="N45" s="707"/>
      <c r="O45" s="14">
        <f t="shared" si="20"/>
        <v>1</v>
      </c>
      <c r="P45" s="707"/>
      <c r="Q45" s="14">
        <f t="shared" si="21"/>
        <v>1</v>
      </c>
      <c r="R45" s="703">
        <f t="shared" ca="1" si="26"/>
        <v>12610</v>
      </c>
      <c r="S45" s="334">
        <f t="shared" ca="1" si="27"/>
        <v>1153815</v>
      </c>
      <c r="T45" s="1182">
        <f t="shared" ca="1" si="28"/>
        <v>115</v>
      </c>
      <c r="U45" s="1314">
        <f t="shared" si="22"/>
        <v>0</v>
      </c>
      <c r="V45" s="1314">
        <f t="shared" si="23"/>
        <v>0</v>
      </c>
      <c r="W45" s="1311"/>
      <c r="X45" s="1314">
        <f t="shared" si="24"/>
        <v>0</v>
      </c>
      <c r="Y45" s="1314">
        <f t="shared" si="25"/>
        <v>0</v>
      </c>
      <c r="Z45" s="1311"/>
    </row>
    <row r="46" spans="1:26">
      <c r="A46" s="75">
        <v>2710</v>
      </c>
      <c r="B46" s="24">
        <v>116.3</v>
      </c>
      <c r="C46" s="14">
        <f t="shared" si="14"/>
        <v>1</v>
      </c>
      <c r="D46" s="707">
        <v>27</v>
      </c>
      <c r="E46" s="14">
        <f t="shared" si="15"/>
        <v>1.002</v>
      </c>
      <c r="F46" s="707" t="s">
        <v>3627</v>
      </c>
      <c r="G46" s="14">
        <f t="shared" si="16"/>
        <v>0.98499999999999999</v>
      </c>
      <c r="H46" s="707"/>
      <c r="I46" s="14">
        <f t="shared" si="17"/>
        <v>1</v>
      </c>
      <c r="J46" s="707"/>
      <c r="K46" s="14">
        <f t="shared" si="18"/>
        <v>1</v>
      </c>
      <c r="L46" s="707"/>
      <c r="M46" s="14">
        <f t="shared" si="19"/>
        <v>1</v>
      </c>
      <c r="N46" s="707"/>
      <c r="O46" s="14">
        <f t="shared" si="20"/>
        <v>1</v>
      </c>
      <c r="P46" s="707"/>
      <c r="Q46" s="14">
        <f t="shared" si="21"/>
        <v>1</v>
      </c>
      <c r="R46" s="703">
        <f t="shared" ca="1" si="26"/>
        <v>12546</v>
      </c>
      <c r="S46" s="334">
        <f t="shared" ca="1" si="27"/>
        <v>1459100</v>
      </c>
      <c r="T46" s="1182">
        <f t="shared" ca="1" si="28"/>
        <v>146</v>
      </c>
      <c r="U46" s="1314">
        <f t="shared" si="22"/>
        <v>0</v>
      </c>
      <c r="V46" s="1314">
        <f t="shared" si="23"/>
        <v>0</v>
      </c>
      <c r="W46" s="1311"/>
      <c r="X46" s="1314">
        <f t="shared" si="24"/>
        <v>0</v>
      </c>
      <c r="Y46" s="1314">
        <f t="shared" si="25"/>
        <v>0</v>
      </c>
      <c r="Z46" s="1311"/>
    </row>
    <row r="47" spans="1:26">
      <c r="A47" s="75">
        <v>2802</v>
      </c>
      <c r="B47" s="24">
        <v>91.5</v>
      </c>
      <c r="C47" s="14">
        <f t="shared" si="14"/>
        <v>1</v>
      </c>
      <c r="D47" s="707">
        <v>28</v>
      </c>
      <c r="E47" s="14">
        <f t="shared" si="15"/>
        <v>1.004</v>
      </c>
      <c r="F47" s="707" t="s">
        <v>3288</v>
      </c>
      <c r="G47" s="14">
        <f t="shared" si="16"/>
        <v>1</v>
      </c>
      <c r="H47" s="707"/>
      <c r="I47" s="14">
        <f t="shared" si="17"/>
        <v>1</v>
      </c>
      <c r="J47" s="707"/>
      <c r="K47" s="14">
        <f t="shared" si="18"/>
        <v>1</v>
      </c>
      <c r="L47" s="707"/>
      <c r="M47" s="14">
        <f t="shared" si="19"/>
        <v>1</v>
      </c>
      <c r="N47" s="707"/>
      <c r="O47" s="14">
        <f t="shared" si="20"/>
        <v>1</v>
      </c>
      <c r="P47" s="707"/>
      <c r="Q47" s="14">
        <f t="shared" si="21"/>
        <v>1</v>
      </c>
      <c r="R47" s="703">
        <f t="shared" ca="1" si="26"/>
        <v>12763</v>
      </c>
      <c r="S47" s="334">
        <f t="shared" ca="1" si="27"/>
        <v>1167815</v>
      </c>
      <c r="T47" s="1182">
        <f t="shared" ca="1" si="28"/>
        <v>117</v>
      </c>
      <c r="U47" s="1314">
        <f t="shared" si="22"/>
        <v>0</v>
      </c>
      <c r="V47" s="1314">
        <f t="shared" si="23"/>
        <v>0</v>
      </c>
      <c r="W47" s="1311"/>
      <c r="X47" s="1314">
        <f t="shared" si="24"/>
        <v>0</v>
      </c>
      <c r="Y47" s="1314">
        <f t="shared" si="25"/>
        <v>0</v>
      </c>
      <c r="Z47" s="1311"/>
    </row>
    <row r="48" spans="1:26">
      <c r="A48" s="75">
        <v>2801</v>
      </c>
      <c r="B48" s="24">
        <v>116.3</v>
      </c>
      <c r="C48" s="14">
        <f t="shared" si="14"/>
        <v>1</v>
      </c>
      <c r="D48" s="707">
        <v>28</v>
      </c>
      <c r="E48" s="14">
        <f t="shared" si="15"/>
        <v>1.004</v>
      </c>
      <c r="F48" s="707" t="s">
        <v>3623</v>
      </c>
      <c r="G48" s="14">
        <f t="shared" si="16"/>
        <v>0.995</v>
      </c>
      <c r="H48" s="707"/>
      <c r="I48" s="14">
        <f t="shared" si="17"/>
        <v>1</v>
      </c>
      <c r="J48" s="707"/>
      <c r="K48" s="14">
        <f t="shared" si="18"/>
        <v>1</v>
      </c>
      <c r="L48" s="707"/>
      <c r="M48" s="14">
        <f t="shared" si="19"/>
        <v>1</v>
      </c>
      <c r="N48" s="707"/>
      <c r="O48" s="14">
        <f t="shared" si="20"/>
        <v>1</v>
      </c>
      <c r="P48" s="707"/>
      <c r="Q48" s="14">
        <f t="shared" si="21"/>
        <v>1</v>
      </c>
      <c r="R48" s="703">
        <f t="shared" ca="1" si="26"/>
        <v>12699</v>
      </c>
      <c r="S48" s="334">
        <f t="shared" ca="1" si="27"/>
        <v>1476894</v>
      </c>
      <c r="T48" s="1182">
        <f t="shared" ca="1" si="28"/>
        <v>148</v>
      </c>
      <c r="U48" s="1314">
        <f t="shared" si="22"/>
        <v>0</v>
      </c>
      <c r="V48" s="1314">
        <f t="shared" si="23"/>
        <v>0</v>
      </c>
      <c r="W48" s="1311"/>
      <c r="X48" s="1314">
        <f t="shared" si="24"/>
        <v>0</v>
      </c>
      <c r="Y48" s="1314">
        <f t="shared" si="25"/>
        <v>0</v>
      </c>
      <c r="Z48" s="1311"/>
    </row>
    <row r="49" spans="1:26">
      <c r="A49" s="75">
        <v>2803</v>
      </c>
      <c r="B49" s="24">
        <v>94.5</v>
      </c>
      <c r="C49" s="14">
        <f t="shared" si="14"/>
        <v>1</v>
      </c>
      <c r="D49" s="707">
        <v>28</v>
      </c>
      <c r="E49" s="14">
        <f t="shared" si="15"/>
        <v>1.004</v>
      </c>
      <c r="F49" s="707" t="s">
        <v>3288</v>
      </c>
      <c r="G49" s="14">
        <f t="shared" si="16"/>
        <v>1</v>
      </c>
      <c r="H49" s="707"/>
      <c r="I49" s="14">
        <f t="shared" si="17"/>
        <v>1</v>
      </c>
      <c r="J49" s="707"/>
      <c r="K49" s="14">
        <f t="shared" si="18"/>
        <v>1</v>
      </c>
      <c r="L49" s="707"/>
      <c r="M49" s="14">
        <f t="shared" si="19"/>
        <v>1</v>
      </c>
      <c r="N49" s="707"/>
      <c r="O49" s="14">
        <f t="shared" si="20"/>
        <v>1</v>
      </c>
      <c r="P49" s="707"/>
      <c r="Q49" s="14">
        <f t="shared" si="21"/>
        <v>1</v>
      </c>
      <c r="R49" s="703">
        <f t="shared" ca="1" si="26"/>
        <v>12763</v>
      </c>
      <c r="S49" s="334">
        <f t="shared" ca="1" si="27"/>
        <v>1206104</v>
      </c>
      <c r="T49" s="1182">
        <f t="shared" ca="1" si="28"/>
        <v>121</v>
      </c>
      <c r="U49" s="1314">
        <f t="shared" si="22"/>
        <v>0</v>
      </c>
      <c r="V49" s="1314">
        <f t="shared" si="23"/>
        <v>0</v>
      </c>
      <c r="W49" s="1311"/>
      <c r="X49" s="1314">
        <f t="shared" si="24"/>
        <v>0</v>
      </c>
      <c r="Y49" s="1314">
        <f t="shared" si="25"/>
        <v>0</v>
      </c>
      <c r="Z49" s="1311"/>
    </row>
    <row r="50" spans="1:26">
      <c r="A50" s="75">
        <v>2804</v>
      </c>
      <c r="B50" s="24">
        <v>93.4</v>
      </c>
      <c r="C50" s="14">
        <f t="shared" si="14"/>
        <v>1</v>
      </c>
      <c r="D50" s="707">
        <v>28</v>
      </c>
      <c r="E50" s="14">
        <f t="shared" si="15"/>
        <v>1.004</v>
      </c>
      <c r="F50" s="707" t="s">
        <v>3618</v>
      </c>
      <c r="G50" s="14">
        <f t="shared" si="16"/>
        <v>1.02</v>
      </c>
      <c r="H50" s="707"/>
      <c r="I50" s="14">
        <f t="shared" si="17"/>
        <v>1</v>
      </c>
      <c r="J50" s="707"/>
      <c r="K50" s="14">
        <f t="shared" si="18"/>
        <v>1</v>
      </c>
      <c r="L50" s="707"/>
      <c r="M50" s="14">
        <f t="shared" si="19"/>
        <v>1</v>
      </c>
      <c r="N50" s="707"/>
      <c r="O50" s="14">
        <f t="shared" si="20"/>
        <v>1</v>
      </c>
      <c r="P50" s="707"/>
      <c r="Q50" s="14">
        <f t="shared" si="21"/>
        <v>1</v>
      </c>
      <c r="R50" s="703">
        <f t="shared" ca="1" si="26"/>
        <v>13018</v>
      </c>
      <c r="S50" s="334">
        <f t="shared" ca="1" si="27"/>
        <v>1215881</v>
      </c>
      <c r="T50" s="1182">
        <f t="shared" ca="1" si="28"/>
        <v>122</v>
      </c>
      <c r="U50" s="1314">
        <f t="shared" si="22"/>
        <v>0</v>
      </c>
      <c r="V50" s="1314">
        <f t="shared" si="23"/>
        <v>0</v>
      </c>
      <c r="W50" s="1311"/>
      <c r="X50" s="1314">
        <f t="shared" si="24"/>
        <v>0</v>
      </c>
      <c r="Y50" s="1314">
        <f t="shared" si="25"/>
        <v>0</v>
      </c>
      <c r="Z50" s="1311"/>
    </row>
    <row r="51" spans="1:26">
      <c r="A51" s="75">
        <v>2805</v>
      </c>
      <c r="B51" s="24">
        <v>91.1</v>
      </c>
      <c r="C51" s="14">
        <f t="shared" si="14"/>
        <v>1</v>
      </c>
      <c r="D51" s="707">
        <v>28</v>
      </c>
      <c r="E51" s="14">
        <f t="shared" si="15"/>
        <v>1.004</v>
      </c>
      <c r="F51" s="707" t="s">
        <v>3286</v>
      </c>
      <c r="G51" s="14">
        <f t="shared" si="16"/>
        <v>1.01</v>
      </c>
      <c r="H51" s="707"/>
      <c r="I51" s="14">
        <f t="shared" si="17"/>
        <v>1</v>
      </c>
      <c r="J51" s="707"/>
      <c r="K51" s="14">
        <f t="shared" si="18"/>
        <v>1</v>
      </c>
      <c r="L51" s="707"/>
      <c r="M51" s="14">
        <f t="shared" si="19"/>
        <v>1</v>
      </c>
      <c r="N51" s="707"/>
      <c r="O51" s="14">
        <f t="shared" si="20"/>
        <v>1</v>
      </c>
      <c r="P51" s="707"/>
      <c r="Q51" s="14">
        <f t="shared" si="21"/>
        <v>1</v>
      </c>
      <c r="R51" s="703">
        <f t="shared" ca="1" si="26"/>
        <v>12890</v>
      </c>
      <c r="S51" s="334">
        <f t="shared" ca="1" si="27"/>
        <v>1174279</v>
      </c>
      <c r="T51" s="1182">
        <f t="shared" ca="1" si="28"/>
        <v>117</v>
      </c>
      <c r="U51" s="1314">
        <f t="shared" si="22"/>
        <v>0</v>
      </c>
      <c r="V51" s="1314">
        <f t="shared" si="23"/>
        <v>0</v>
      </c>
      <c r="W51" s="1311"/>
      <c r="X51" s="1314">
        <f t="shared" si="24"/>
        <v>0</v>
      </c>
      <c r="Y51" s="1314">
        <f t="shared" si="25"/>
        <v>0</v>
      </c>
      <c r="Z51" s="1311"/>
    </row>
    <row r="52" spans="1:26">
      <c r="A52" s="75">
        <v>2806</v>
      </c>
      <c r="B52" s="24">
        <v>79.2</v>
      </c>
      <c r="C52" s="14">
        <f t="shared" si="14"/>
        <v>1.02</v>
      </c>
      <c r="D52" s="707">
        <v>28</v>
      </c>
      <c r="E52" s="14">
        <f t="shared" si="15"/>
        <v>1.004</v>
      </c>
      <c r="F52" s="707" t="s">
        <v>3286</v>
      </c>
      <c r="G52" s="14">
        <f t="shared" si="16"/>
        <v>1.01</v>
      </c>
      <c r="H52" s="707"/>
      <c r="I52" s="14">
        <f t="shared" si="17"/>
        <v>1</v>
      </c>
      <c r="J52" s="707"/>
      <c r="K52" s="14">
        <f t="shared" si="18"/>
        <v>1</v>
      </c>
      <c r="L52" s="707"/>
      <c r="M52" s="14">
        <f t="shared" si="19"/>
        <v>1</v>
      </c>
      <c r="N52" s="707"/>
      <c r="O52" s="14">
        <f t="shared" si="20"/>
        <v>1</v>
      </c>
      <c r="P52" s="707"/>
      <c r="Q52" s="14">
        <f t="shared" si="21"/>
        <v>1</v>
      </c>
      <c r="R52" s="703">
        <f t="shared" ca="1" si="26"/>
        <v>13148</v>
      </c>
      <c r="S52" s="334">
        <f t="shared" ca="1" si="27"/>
        <v>1041322</v>
      </c>
      <c r="T52" s="1182">
        <f t="shared" ca="1" si="28"/>
        <v>104</v>
      </c>
      <c r="U52" s="1314">
        <f t="shared" si="22"/>
        <v>0</v>
      </c>
      <c r="V52" s="1314">
        <f t="shared" si="23"/>
        <v>0</v>
      </c>
      <c r="W52" s="1311"/>
      <c r="X52" s="1314">
        <f t="shared" si="24"/>
        <v>0</v>
      </c>
      <c r="Y52" s="1314">
        <f t="shared" si="25"/>
        <v>0</v>
      </c>
      <c r="Z52" s="1311"/>
    </row>
    <row r="53" spans="1:26">
      <c r="A53" s="75">
        <v>2807</v>
      </c>
      <c r="B53" s="24">
        <v>93.4</v>
      </c>
      <c r="C53" s="14">
        <f t="shared" si="14"/>
        <v>1</v>
      </c>
      <c r="D53" s="707">
        <v>28</v>
      </c>
      <c r="E53" s="14">
        <f t="shared" si="15"/>
        <v>1.004</v>
      </c>
      <c r="F53" s="707" t="s">
        <v>3620</v>
      </c>
      <c r="G53" s="14">
        <f t="shared" si="16"/>
        <v>1.0149999999999999</v>
      </c>
      <c r="H53" s="707"/>
      <c r="I53" s="14">
        <f t="shared" si="17"/>
        <v>1</v>
      </c>
      <c r="J53" s="707"/>
      <c r="K53" s="14">
        <f t="shared" si="18"/>
        <v>1</v>
      </c>
      <c r="L53" s="707"/>
      <c r="M53" s="14">
        <f t="shared" si="19"/>
        <v>1</v>
      </c>
      <c r="N53" s="707"/>
      <c r="O53" s="14">
        <f t="shared" si="20"/>
        <v>1</v>
      </c>
      <c r="P53" s="707"/>
      <c r="Q53" s="14">
        <f t="shared" si="21"/>
        <v>1</v>
      </c>
      <c r="R53" s="703">
        <f t="shared" ca="1" si="26"/>
        <v>12954</v>
      </c>
      <c r="S53" s="334">
        <f t="shared" ca="1" si="27"/>
        <v>1209904</v>
      </c>
      <c r="T53" s="1182">
        <f t="shared" ca="1" si="28"/>
        <v>121</v>
      </c>
      <c r="U53" s="1314">
        <f t="shared" si="22"/>
        <v>0</v>
      </c>
      <c r="V53" s="1314">
        <f t="shared" si="23"/>
        <v>0</v>
      </c>
      <c r="W53" s="1311"/>
      <c r="X53" s="1314">
        <f t="shared" si="24"/>
        <v>0</v>
      </c>
      <c r="Y53" s="1314">
        <f t="shared" si="25"/>
        <v>0</v>
      </c>
      <c r="Z53" s="1311"/>
    </row>
    <row r="54" spans="1:26">
      <c r="A54" s="75">
        <v>2808</v>
      </c>
      <c r="B54" s="24">
        <v>94.5</v>
      </c>
      <c r="C54" s="14">
        <f t="shared" si="14"/>
        <v>1</v>
      </c>
      <c r="D54" s="707">
        <v>28</v>
      </c>
      <c r="E54" s="14">
        <f t="shared" si="15"/>
        <v>1.004</v>
      </c>
      <c r="F54" s="707" t="s">
        <v>3625</v>
      </c>
      <c r="G54" s="14">
        <f t="shared" si="16"/>
        <v>0.99</v>
      </c>
      <c r="H54" s="707"/>
      <c r="I54" s="14">
        <f t="shared" si="17"/>
        <v>1</v>
      </c>
      <c r="J54" s="707"/>
      <c r="K54" s="14">
        <f t="shared" si="18"/>
        <v>1</v>
      </c>
      <c r="L54" s="707"/>
      <c r="M54" s="14">
        <f t="shared" si="19"/>
        <v>1</v>
      </c>
      <c r="N54" s="707"/>
      <c r="O54" s="14">
        <f t="shared" si="20"/>
        <v>1</v>
      </c>
      <c r="P54" s="707"/>
      <c r="Q54" s="14">
        <f t="shared" si="21"/>
        <v>1</v>
      </c>
      <c r="R54" s="703">
        <f t="shared" ca="1" si="26"/>
        <v>12635</v>
      </c>
      <c r="S54" s="334">
        <f t="shared" ca="1" si="27"/>
        <v>1194008</v>
      </c>
      <c r="T54" s="1182">
        <f t="shared" ca="1" si="28"/>
        <v>119</v>
      </c>
      <c r="U54" s="1314">
        <f t="shared" si="22"/>
        <v>0</v>
      </c>
      <c r="V54" s="1314">
        <f t="shared" si="23"/>
        <v>0</v>
      </c>
      <c r="W54" s="1311"/>
      <c r="X54" s="1314">
        <f t="shared" si="24"/>
        <v>0</v>
      </c>
      <c r="Y54" s="1314">
        <f t="shared" si="25"/>
        <v>0</v>
      </c>
      <c r="Z54" s="1311"/>
    </row>
    <row r="55" spans="1:26">
      <c r="A55" s="75">
        <v>2809</v>
      </c>
      <c r="B55" s="24">
        <v>91.5</v>
      </c>
      <c r="C55" s="14">
        <f t="shared" si="14"/>
        <v>1</v>
      </c>
      <c r="D55" s="707">
        <v>28</v>
      </c>
      <c r="E55" s="14">
        <f t="shared" si="15"/>
        <v>1.004</v>
      </c>
      <c r="F55" s="707" t="s">
        <v>3625</v>
      </c>
      <c r="G55" s="14">
        <f t="shared" si="16"/>
        <v>0.99</v>
      </c>
      <c r="H55" s="707"/>
      <c r="I55" s="14">
        <f t="shared" si="17"/>
        <v>1</v>
      </c>
      <c r="J55" s="707"/>
      <c r="K55" s="14">
        <f t="shared" si="18"/>
        <v>1</v>
      </c>
      <c r="L55" s="707"/>
      <c r="M55" s="14">
        <f t="shared" si="19"/>
        <v>1</v>
      </c>
      <c r="N55" s="707"/>
      <c r="O55" s="14">
        <f t="shared" si="20"/>
        <v>1</v>
      </c>
      <c r="P55" s="707"/>
      <c r="Q55" s="14">
        <f t="shared" si="21"/>
        <v>1</v>
      </c>
      <c r="R55" s="703">
        <f t="shared" ca="1" si="26"/>
        <v>12635</v>
      </c>
      <c r="S55" s="334">
        <f t="shared" ca="1" si="27"/>
        <v>1156103</v>
      </c>
      <c r="T55" s="1182">
        <f t="shared" ca="1" si="28"/>
        <v>116</v>
      </c>
      <c r="U55" s="1314">
        <f t="shared" si="22"/>
        <v>0</v>
      </c>
      <c r="V55" s="1314">
        <f t="shared" si="23"/>
        <v>0</v>
      </c>
      <c r="W55" s="1311"/>
      <c r="X55" s="1314">
        <f t="shared" si="24"/>
        <v>0</v>
      </c>
      <c r="Y55" s="1314">
        <f t="shared" si="25"/>
        <v>0</v>
      </c>
      <c r="Z55" s="1311"/>
    </row>
    <row r="56" spans="1:26">
      <c r="A56" s="75">
        <v>2810</v>
      </c>
      <c r="B56" s="24">
        <v>116.3</v>
      </c>
      <c r="C56" s="14">
        <f t="shared" si="14"/>
        <v>1</v>
      </c>
      <c r="D56" s="707">
        <v>28</v>
      </c>
      <c r="E56" s="14">
        <f t="shared" si="15"/>
        <v>1.004</v>
      </c>
      <c r="F56" s="707" t="s">
        <v>3627</v>
      </c>
      <c r="G56" s="14">
        <f t="shared" si="16"/>
        <v>0.98499999999999999</v>
      </c>
      <c r="H56" s="707"/>
      <c r="I56" s="14">
        <f t="shared" si="17"/>
        <v>1</v>
      </c>
      <c r="J56" s="707"/>
      <c r="K56" s="14">
        <f t="shared" si="18"/>
        <v>1</v>
      </c>
      <c r="L56" s="707"/>
      <c r="M56" s="14">
        <f t="shared" si="19"/>
        <v>1</v>
      </c>
      <c r="N56" s="707"/>
      <c r="O56" s="14">
        <f t="shared" si="20"/>
        <v>1</v>
      </c>
      <c r="P56" s="707"/>
      <c r="Q56" s="14">
        <f t="shared" si="21"/>
        <v>1</v>
      </c>
      <c r="R56" s="703">
        <f t="shared" ca="1" si="26"/>
        <v>12571</v>
      </c>
      <c r="S56" s="334">
        <f t="shared" ca="1" si="27"/>
        <v>1462007</v>
      </c>
      <c r="T56" s="1182">
        <f t="shared" ca="1" si="28"/>
        <v>146</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4.0000000000000565E-3</v>
      </c>
      <c r="F57" s="707"/>
      <c r="G57" s="14">
        <f t="shared" si="16"/>
        <v>0.02</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4.0000000000000565E-3</v>
      </c>
      <c r="F58" s="707"/>
      <c r="G58" s="14">
        <f t="shared" si="16"/>
        <v>0.02</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4.0000000000000565E-3</v>
      </c>
      <c r="F59" s="707"/>
      <c r="G59" s="14">
        <f t="shared" si="16"/>
        <v>0.02</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4.0000000000000565E-3</v>
      </c>
      <c r="F60" s="707"/>
      <c r="G60" s="14">
        <f t="shared" si="16"/>
        <v>0.02</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4.0000000000000565E-3</v>
      </c>
      <c r="F61" s="707"/>
      <c r="G61" s="14">
        <f t="shared" si="16"/>
        <v>0.02</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4.0000000000000565E-3</v>
      </c>
      <c r="F62" s="707"/>
      <c r="G62" s="14">
        <f t="shared" si="16"/>
        <v>0.02</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4.0000000000000565E-3</v>
      </c>
      <c r="F63" s="707"/>
      <c r="G63" s="14">
        <f t="shared" si="16"/>
        <v>0.02</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4.0000000000000565E-3</v>
      </c>
      <c r="F64" s="707"/>
      <c r="G64" s="14">
        <f t="shared" si="16"/>
        <v>0.02</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4.0000000000000565E-3</v>
      </c>
      <c r="F65" s="707"/>
      <c r="G65" s="14">
        <f t="shared" si="16"/>
        <v>0.02</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4.0000000000000565E-3</v>
      </c>
      <c r="F66" s="707"/>
      <c r="G66" s="14">
        <f t="shared" si="16"/>
        <v>0.02</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4.0000000000000565E-3</v>
      </c>
      <c r="F67" s="707"/>
      <c r="G67" s="14">
        <f t="shared" si="16"/>
        <v>0.02</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4.0000000000000565E-3</v>
      </c>
      <c r="F68" s="707"/>
      <c r="G68" s="14">
        <f t="shared" si="16"/>
        <v>0.02</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4.0000000000000565E-3</v>
      </c>
      <c r="F69" s="707"/>
      <c r="G69" s="14">
        <f t="shared" si="16"/>
        <v>0.02</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4.0000000000000565E-3</v>
      </c>
      <c r="F70" s="707"/>
      <c r="G70" s="14">
        <f t="shared" si="16"/>
        <v>0.02</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4.0000000000000565E-3</v>
      </c>
      <c r="F71" s="707"/>
      <c r="G71" s="14">
        <f t="shared" si="16"/>
        <v>0.02</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4.0000000000000565E-3</v>
      </c>
      <c r="F72" s="707"/>
      <c r="G72" s="14">
        <f t="shared" si="16"/>
        <v>0.02</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4.0000000000000565E-3</v>
      </c>
      <c r="F73" s="707"/>
      <c r="G73" s="14">
        <f t="shared" si="16"/>
        <v>0.02</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4.0000000000000565E-3</v>
      </c>
      <c r="F74" s="707"/>
      <c r="G74" s="14">
        <f t="shared" si="16"/>
        <v>0.02</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4.0000000000000565E-3</v>
      </c>
      <c r="F75" s="707"/>
      <c r="G75" s="14">
        <f t="shared" si="16"/>
        <v>0.02</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4.0000000000000565E-3</v>
      </c>
      <c r="F76" s="707"/>
      <c r="G76" s="14">
        <f t="shared" si="16"/>
        <v>0.02</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4.0000000000000565E-3</v>
      </c>
      <c r="F77" s="707"/>
      <c r="G77" s="14">
        <f t="shared" si="16"/>
        <v>0.02</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4.0000000000000565E-3</v>
      </c>
      <c r="F78" s="707"/>
      <c r="G78" s="14">
        <f t="shared" si="16"/>
        <v>0.02</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4.0000000000000565E-3</v>
      </c>
      <c r="F79" s="707"/>
      <c r="G79" s="14">
        <f t="shared" si="16"/>
        <v>0.02</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4.0000000000000565E-3</v>
      </c>
      <c r="F80" s="707"/>
      <c r="G80" s="14">
        <f t="shared" si="16"/>
        <v>0.02</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4.0000000000000565E-3</v>
      </c>
      <c r="F81" s="707"/>
      <c r="G81" s="14">
        <f t="shared" si="16"/>
        <v>0.02</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4.0000000000000565E-3</v>
      </c>
      <c r="F82" s="707"/>
      <c r="G82" s="14">
        <f t="shared" si="16"/>
        <v>0.02</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4.0000000000000565E-3</v>
      </c>
      <c r="F83" s="707"/>
      <c r="G83" s="14">
        <f t="shared" si="16"/>
        <v>0.02</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4.0000000000000565E-3</v>
      </c>
      <c r="F84" s="707"/>
      <c r="G84" s="14">
        <f t="shared" si="16"/>
        <v>0.02</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4.0000000000000565E-3</v>
      </c>
      <c r="F85" s="707"/>
      <c r="G85" s="14">
        <f t="shared" si="16"/>
        <v>0.02</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4.0000000000000565E-3</v>
      </c>
      <c r="F86" s="707"/>
      <c r="G86" s="14">
        <f t="shared" si="16"/>
        <v>0.02</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4.0000000000000565E-3</v>
      </c>
      <c r="F87" s="707"/>
      <c r="G87" s="14">
        <f t="shared" si="16"/>
        <v>0.02</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4.0000000000000565E-3</v>
      </c>
      <c r="F88" s="707"/>
      <c r="G88" s="14">
        <f t="shared" si="16"/>
        <v>0.02</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4.0000000000000565E-3</v>
      </c>
      <c r="F89" s="707"/>
      <c r="G89" s="14">
        <f t="shared" si="16"/>
        <v>0.02</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4.0000000000000565E-3</v>
      </c>
      <c r="F90" s="707"/>
      <c r="G90" s="14">
        <f t="shared" si="16"/>
        <v>0.02</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4.0000000000000565E-3</v>
      </c>
      <c r="F91" s="707"/>
      <c r="G91" s="14">
        <f t="shared" si="16"/>
        <v>0.02</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4.0000000000000565E-3</v>
      </c>
      <c r="F92" s="707"/>
      <c r="G92" s="14">
        <f t="shared" ref="G92:G155" si="31">(SUMIF($10:$10,F92,$11:$11)-SUMIF($10:$10,$F$27,$11:$11)+100)/100</f>
        <v>0.02</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4.0000000000000565E-3</v>
      </c>
      <c r="F93" s="707"/>
      <c r="G93" s="14">
        <f t="shared" si="31"/>
        <v>0.02</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4.0000000000000565E-3</v>
      </c>
      <c r="F94" s="707"/>
      <c r="G94" s="14">
        <f t="shared" si="31"/>
        <v>0.02</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4.0000000000000565E-3</v>
      </c>
      <c r="F95" s="707"/>
      <c r="G95" s="14">
        <f t="shared" si="31"/>
        <v>0.02</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4.0000000000000565E-3</v>
      </c>
      <c r="F96" s="707"/>
      <c r="G96" s="14">
        <f t="shared" si="31"/>
        <v>0.02</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4.0000000000000565E-3</v>
      </c>
      <c r="F97" s="707"/>
      <c r="G97" s="14">
        <f t="shared" si="31"/>
        <v>0.02</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4.0000000000000565E-3</v>
      </c>
      <c r="F98" s="707"/>
      <c r="G98" s="14">
        <f t="shared" si="31"/>
        <v>0.02</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4.0000000000000565E-3</v>
      </c>
      <c r="F99" s="707"/>
      <c r="G99" s="14">
        <f t="shared" si="31"/>
        <v>0.02</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4.0000000000000565E-3</v>
      </c>
      <c r="F100" s="707"/>
      <c r="G100" s="14">
        <f t="shared" si="31"/>
        <v>0.02</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4.0000000000000565E-3</v>
      </c>
      <c r="F101" s="707"/>
      <c r="G101" s="14">
        <f t="shared" si="31"/>
        <v>0.02</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4.0000000000000565E-3</v>
      </c>
      <c r="F102" s="707"/>
      <c r="G102" s="14">
        <f t="shared" si="31"/>
        <v>0.02</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4.0000000000000565E-3</v>
      </c>
      <c r="F103" s="707"/>
      <c r="G103" s="14">
        <f t="shared" si="31"/>
        <v>0.02</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4.0000000000000565E-3</v>
      </c>
      <c r="F104" s="707"/>
      <c r="G104" s="14">
        <f t="shared" si="31"/>
        <v>0.02</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4.0000000000000565E-3</v>
      </c>
      <c r="F105" s="707"/>
      <c r="G105" s="14">
        <f t="shared" si="31"/>
        <v>0.02</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4.0000000000000565E-3</v>
      </c>
      <c r="F106" s="707"/>
      <c r="G106" s="14">
        <f t="shared" si="31"/>
        <v>0.02</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4.0000000000000565E-3</v>
      </c>
      <c r="F107" s="707"/>
      <c r="G107" s="14">
        <f t="shared" si="31"/>
        <v>0.02</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4.0000000000000565E-3</v>
      </c>
      <c r="F108" s="707"/>
      <c r="G108" s="14">
        <f t="shared" si="31"/>
        <v>0.02</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4.0000000000000565E-3</v>
      </c>
      <c r="F109" s="707"/>
      <c r="G109" s="14">
        <f t="shared" si="31"/>
        <v>0.02</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4.0000000000000565E-3</v>
      </c>
      <c r="F110" s="707"/>
      <c r="G110" s="14">
        <f t="shared" si="31"/>
        <v>0.02</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4.0000000000000565E-3</v>
      </c>
      <c r="F111" s="707"/>
      <c r="G111" s="14">
        <f t="shared" si="31"/>
        <v>0.02</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4.0000000000000565E-3</v>
      </c>
      <c r="F112" s="707"/>
      <c r="G112" s="14">
        <f t="shared" si="31"/>
        <v>0.02</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4.0000000000000565E-3</v>
      </c>
      <c r="F113" s="707"/>
      <c r="G113" s="14">
        <f t="shared" si="31"/>
        <v>0.02</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4.0000000000000565E-3</v>
      </c>
      <c r="F114" s="707"/>
      <c r="G114" s="14">
        <f t="shared" si="31"/>
        <v>0.02</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4.0000000000000565E-3</v>
      </c>
      <c r="F115" s="707"/>
      <c r="G115" s="14">
        <f t="shared" si="31"/>
        <v>0.02</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4.0000000000000565E-3</v>
      </c>
      <c r="F116" s="707"/>
      <c r="G116" s="14">
        <f t="shared" si="31"/>
        <v>0.02</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4.0000000000000565E-3</v>
      </c>
      <c r="F117" s="707"/>
      <c r="G117" s="14">
        <f t="shared" si="31"/>
        <v>0.02</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4.0000000000000565E-3</v>
      </c>
      <c r="F118" s="707"/>
      <c r="G118" s="14">
        <f t="shared" si="31"/>
        <v>0.02</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4.0000000000000565E-3</v>
      </c>
      <c r="F119" s="707"/>
      <c r="G119" s="14">
        <f t="shared" si="31"/>
        <v>0.02</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4.0000000000000565E-3</v>
      </c>
      <c r="F120" s="707"/>
      <c r="G120" s="14">
        <f t="shared" si="31"/>
        <v>0.02</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4.0000000000000565E-3</v>
      </c>
      <c r="F121" s="707"/>
      <c r="G121" s="14">
        <f t="shared" si="31"/>
        <v>0.02</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4.0000000000000565E-3</v>
      </c>
      <c r="F122" s="707"/>
      <c r="G122" s="14">
        <f t="shared" si="31"/>
        <v>0.02</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4.0000000000000565E-3</v>
      </c>
      <c r="F123" s="707"/>
      <c r="G123" s="14">
        <f t="shared" si="31"/>
        <v>0.02</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4.0000000000000565E-3</v>
      </c>
      <c r="F124" s="707"/>
      <c r="G124" s="14">
        <f t="shared" si="31"/>
        <v>0.02</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4.0000000000000565E-3</v>
      </c>
      <c r="F125" s="707"/>
      <c r="G125" s="14">
        <f t="shared" si="31"/>
        <v>0.02</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4.0000000000000565E-3</v>
      </c>
      <c r="F126" s="707"/>
      <c r="G126" s="14">
        <f t="shared" si="31"/>
        <v>0.02</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4.0000000000000565E-3</v>
      </c>
      <c r="F127" s="707"/>
      <c r="G127" s="14">
        <f t="shared" si="31"/>
        <v>0.02</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4.0000000000000565E-3</v>
      </c>
      <c r="F128" s="707"/>
      <c r="G128" s="14">
        <f t="shared" si="31"/>
        <v>0.02</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4.0000000000000565E-3</v>
      </c>
      <c r="F129" s="707"/>
      <c r="G129" s="14">
        <f t="shared" si="31"/>
        <v>0.02</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4.0000000000000565E-3</v>
      </c>
      <c r="F130" s="707"/>
      <c r="G130" s="14">
        <f t="shared" si="31"/>
        <v>0.02</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4.0000000000000565E-3</v>
      </c>
      <c r="F131" s="707"/>
      <c r="G131" s="14">
        <f t="shared" si="31"/>
        <v>0.02</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4.0000000000000565E-3</v>
      </c>
      <c r="F132" s="707"/>
      <c r="G132" s="14">
        <f t="shared" si="31"/>
        <v>0.02</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4.0000000000000565E-3</v>
      </c>
      <c r="F133" s="707"/>
      <c r="G133" s="14">
        <f t="shared" si="31"/>
        <v>0.02</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4.0000000000000565E-3</v>
      </c>
      <c r="F134" s="707"/>
      <c r="G134" s="14">
        <f t="shared" si="31"/>
        <v>0.02</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4.0000000000000565E-3</v>
      </c>
      <c r="F135" s="707"/>
      <c r="G135" s="14">
        <f t="shared" si="31"/>
        <v>0.02</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4.0000000000000565E-3</v>
      </c>
      <c r="F136" s="707"/>
      <c r="G136" s="14">
        <f t="shared" si="31"/>
        <v>0.02</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4.0000000000000565E-3</v>
      </c>
      <c r="F137" s="707"/>
      <c r="G137" s="14">
        <f t="shared" si="31"/>
        <v>0.02</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4.0000000000000565E-3</v>
      </c>
      <c r="F138" s="707"/>
      <c r="G138" s="14">
        <f t="shared" si="31"/>
        <v>0.02</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4.0000000000000565E-3</v>
      </c>
      <c r="F139" s="707"/>
      <c r="G139" s="14">
        <f t="shared" si="31"/>
        <v>0.02</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4.0000000000000565E-3</v>
      </c>
      <c r="F140" s="707"/>
      <c r="G140" s="14">
        <f t="shared" si="31"/>
        <v>0.02</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4.0000000000000565E-3</v>
      </c>
      <c r="F141" s="707"/>
      <c r="G141" s="14">
        <f t="shared" si="31"/>
        <v>0.02</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4.0000000000000565E-3</v>
      </c>
      <c r="F142" s="707"/>
      <c r="G142" s="14">
        <f t="shared" si="31"/>
        <v>0.02</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4.0000000000000565E-3</v>
      </c>
      <c r="F143" s="707"/>
      <c r="G143" s="14">
        <f t="shared" si="31"/>
        <v>0.02</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4.0000000000000565E-3</v>
      </c>
      <c r="F144" s="707"/>
      <c r="G144" s="14">
        <f t="shared" si="31"/>
        <v>0.02</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4.0000000000000565E-3</v>
      </c>
      <c r="F145" s="707"/>
      <c r="G145" s="14">
        <f t="shared" si="31"/>
        <v>0.02</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4.0000000000000565E-3</v>
      </c>
      <c r="F146" s="707"/>
      <c r="G146" s="14">
        <f t="shared" si="31"/>
        <v>0.02</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4.0000000000000565E-3</v>
      </c>
      <c r="F147" s="707"/>
      <c r="G147" s="14">
        <f t="shared" si="31"/>
        <v>0.02</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4.0000000000000565E-3</v>
      </c>
      <c r="F148" s="707"/>
      <c r="G148" s="14">
        <f t="shared" si="31"/>
        <v>0.02</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4.0000000000000565E-3</v>
      </c>
      <c r="F149" s="707"/>
      <c r="G149" s="14">
        <f t="shared" si="31"/>
        <v>0.02</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4.0000000000000565E-3</v>
      </c>
      <c r="F150" s="707"/>
      <c r="G150" s="14">
        <f t="shared" si="31"/>
        <v>0.02</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4.0000000000000565E-3</v>
      </c>
      <c r="F151" s="707"/>
      <c r="G151" s="14">
        <f t="shared" si="31"/>
        <v>0.02</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4.0000000000000565E-3</v>
      </c>
      <c r="F152" s="707"/>
      <c r="G152" s="14">
        <f t="shared" si="31"/>
        <v>0.02</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4.0000000000000565E-3</v>
      </c>
      <c r="F153" s="707"/>
      <c r="G153" s="14">
        <f t="shared" si="31"/>
        <v>0.02</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4.0000000000000565E-3</v>
      </c>
      <c r="F154" s="707"/>
      <c r="G154" s="14">
        <f t="shared" si="31"/>
        <v>0.02</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4.0000000000000565E-3</v>
      </c>
      <c r="F155" s="707"/>
      <c r="G155" s="14">
        <f t="shared" si="31"/>
        <v>0.02</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4.0000000000000565E-3</v>
      </c>
      <c r="F156" s="707"/>
      <c r="G156" s="14">
        <f t="shared" ref="G156:G219" si="46">(SUMIF($10:$10,F156,$11:$11)-SUMIF($10:$10,$F$27,$11:$11)+100)/100</f>
        <v>0.02</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4.0000000000000565E-3</v>
      </c>
      <c r="F157" s="707"/>
      <c r="G157" s="14">
        <f t="shared" si="46"/>
        <v>0.02</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4.0000000000000565E-3</v>
      </c>
      <c r="F158" s="707"/>
      <c r="G158" s="14">
        <f t="shared" si="46"/>
        <v>0.02</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4.0000000000000565E-3</v>
      </c>
      <c r="F159" s="707"/>
      <c r="G159" s="14">
        <f t="shared" si="46"/>
        <v>0.02</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4.0000000000000565E-3</v>
      </c>
      <c r="F160" s="707"/>
      <c r="G160" s="14">
        <f t="shared" si="46"/>
        <v>0.02</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4.0000000000000565E-3</v>
      </c>
      <c r="F161" s="707"/>
      <c r="G161" s="14">
        <f t="shared" si="46"/>
        <v>0.02</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4.0000000000000565E-3</v>
      </c>
      <c r="F162" s="707"/>
      <c r="G162" s="14">
        <f t="shared" si="46"/>
        <v>0.02</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4.0000000000000565E-3</v>
      </c>
      <c r="F163" s="707"/>
      <c r="G163" s="14">
        <f t="shared" si="46"/>
        <v>0.02</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4.0000000000000565E-3</v>
      </c>
      <c r="F164" s="707"/>
      <c r="G164" s="14">
        <f t="shared" si="46"/>
        <v>0.02</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4.0000000000000565E-3</v>
      </c>
      <c r="F165" s="707"/>
      <c r="G165" s="14">
        <f t="shared" si="46"/>
        <v>0.02</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4.0000000000000565E-3</v>
      </c>
      <c r="F166" s="707"/>
      <c r="G166" s="14">
        <f t="shared" si="46"/>
        <v>0.02</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4.0000000000000565E-3</v>
      </c>
      <c r="F167" s="707"/>
      <c r="G167" s="14">
        <f t="shared" si="46"/>
        <v>0.02</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4.0000000000000565E-3</v>
      </c>
      <c r="F168" s="707"/>
      <c r="G168" s="14">
        <f t="shared" si="46"/>
        <v>0.02</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4.0000000000000565E-3</v>
      </c>
      <c r="F169" s="707"/>
      <c r="G169" s="14">
        <f t="shared" si="46"/>
        <v>0.02</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4.0000000000000565E-3</v>
      </c>
      <c r="F170" s="707"/>
      <c r="G170" s="14">
        <f t="shared" si="46"/>
        <v>0.02</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4.0000000000000565E-3</v>
      </c>
      <c r="F171" s="707"/>
      <c r="G171" s="14">
        <f t="shared" si="46"/>
        <v>0.02</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4.0000000000000565E-3</v>
      </c>
      <c r="F172" s="707"/>
      <c r="G172" s="14">
        <f t="shared" si="46"/>
        <v>0.02</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4.0000000000000565E-3</v>
      </c>
      <c r="F173" s="707"/>
      <c r="G173" s="14">
        <f t="shared" si="46"/>
        <v>0.02</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4.0000000000000565E-3</v>
      </c>
      <c r="F174" s="707"/>
      <c r="G174" s="14">
        <f t="shared" si="46"/>
        <v>0.02</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4.0000000000000565E-3</v>
      </c>
      <c r="F175" s="707"/>
      <c r="G175" s="14">
        <f t="shared" si="46"/>
        <v>0.02</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4.0000000000000565E-3</v>
      </c>
      <c r="F176" s="707"/>
      <c r="G176" s="14">
        <f t="shared" si="46"/>
        <v>0.02</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4.0000000000000565E-3</v>
      </c>
      <c r="F177" s="707"/>
      <c r="G177" s="14">
        <f t="shared" si="46"/>
        <v>0.02</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4.0000000000000565E-3</v>
      </c>
      <c r="F178" s="707"/>
      <c r="G178" s="14">
        <f t="shared" si="46"/>
        <v>0.02</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4.0000000000000565E-3</v>
      </c>
      <c r="F179" s="707"/>
      <c r="G179" s="14">
        <f t="shared" si="46"/>
        <v>0.02</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4.0000000000000565E-3</v>
      </c>
      <c r="F180" s="707"/>
      <c r="G180" s="14">
        <f t="shared" si="46"/>
        <v>0.02</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4.0000000000000565E-3</v>
      </c>
      <c r="F181" s="707"/>
      <c r="G181" s="14">
        <f t="shared" si="46"/>
        <v>0.02</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4.0000000000000565E-3</v>
      </c>
      <c r="F182" s="707"/>
      <c r="G182" s="14">
        <f t="shared" si="46"/>
        <v>0.02</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4.0000000000000565E-3</v>
      </c>
      <c r="F183" s="707"/>
      <c r="G183" s="14">
        <f t="shared" si="46"/>
        <v>0.02</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4.0000000000000565E-3</v>
      </c>
      <c r="F184" s="707"/>
      <c r="G184" s="14">
        <f t="shared" si="46"/>
        <v>0.02</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4.0000000000000565E-3</v>
      </c>
      <c r="F185" s="707"/>
      <c r="G185" s="14">
        <f t="shared" si="46"/>
        <v>0.02</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4.0000000000000565E-3</v>
      </c>
      <c r="F186" s="707"/>
      <c r="G186" s="14">
        <f t="shared" si="46"/>
        <v>0.02</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4.0000000000000565E-3</v>
      </c>
      <c r="F187" s="707"/>
      <c r="G187" s="14">
        <f t="shared" si="46"/>
        <v>0.02</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4.0000000000000565E-3</v>
      </c>
      <c r="F188" s="707"/>
      <c r="G188" s="14">
        <f t="shared" si="46"/>
        <v>0.02</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4.0000000000000565E-3</v>
      </c>
      <c r="F189" s="707"/>
      <c r="G189" s="14">
        <f t="shared" si="46"/>
        <v>0.02</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4.0000000000000565E-3</v>
      </c>
      <c r="F190" s="707"/>
      <c r="G190" s="14">
        <f t="shared" si="46"/>
        <v>0.02</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4.0000000000000565E-3</v>
      </c>
      <c r="F191" s="707"/>
      <c r="G191" s="14">
        <f t="shared" si="46"/>
        <v>0.02</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4.0000000000000565E-3</v>
      </c>
      <c r="F192" s="707"/>
      <c r="G192" s="14">
        <f t="shared" si="46"/>
        <v>0.02</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4.0000000000000565E-3</v>
      </c>
      <c r="F193" s="707"/>
      <c r="G193" s="14">
        <f t="shared" si="46"/>
        <v>0.02</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4.0000000000000565E-3</v>
      </c>
      <c r="F194" s="707"/>
      <c r="G194" s="14">
        <f t="shared" si="46"/>
        <v>0.02</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4.0000000000000565E-3</v>
      </c>
      <c r="F195" s="707"/>
      <c r="G195" s="14">
        <f t="shared" si="46"/>
        <v>0.02</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4.0000000000000565E-3</v>
      </c>
      <c r="F196" s="707"/>
      <c r="G196" s="14">
        <f t="shared" si="46"/>
        <v>0.02</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4.0000000000000565E-3</v>
      </c>
      <c r="F197" s="707"/>
      <c r="G197" s="14">
        <f t="shared" si="46"/>
        <v>0.02</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4.0000000000000565E-3</v>
      </c>
      <c r="F198" s="707"/>
      <c r="G198" s="14">
        <f t="shared" si="46"/>
        <v>0.02</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4.0000000000000565E-3</v>
      </c>
      <c r="F199" s="707"/>
      <c r="G199" s="14">
        <f t="shared" si="46"/>
        <v>0.02</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4.0000000000000565E-3</v>
      </c>
      <c r="F200" s="707"/>
      <c r="G200" s="14">
        <f t="shared" si="46"/>
        <v>0.02</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4.0000000000000565E-3</v>
      </c>
      <c r="F201" s="707"/>
      <c r="G201" s="14">
        <f t="shared" si="46"/>
        <v>0.02</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4.0000000000000565E-3</v>
      </c>
      <c r="F202" s="707"/>
      <c r="G202" s="14">
        <f t="shared" si="46"/>
        <v>0.02</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4.0000000000000565E-3</v>
      </c>
      <c r="F203" s="707"/>
      <c r="G203" s="14">
        <f t="shared" si="46"/>
        <v>0.02</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4.0000000000000565E-3</v>
      </c>
      <c r="F204" s="707"/>
      <c r="G204" s="14">
        <f t="shared" si="46"/>
        <v>0.02</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4.0000000000000565E-3</v>
      </c>
      <c r="F205" s="707"/>
      <c r="G205" s="14">
        <f t="shared" si="46"/>
        <v>0.02</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4.0000000000000565E-3</v>
      </c>
      <c r="F206" s="707"/>
      <c r="G206" s="14">
        <f t="shared" si="46"/>
        <v>0.02</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4.0000000000000565E-3</v>
      </c>
      <c r="F207" s="707"/>
      <c r="G207" s="14">
        <f t="shared" si="46"/>
        <v>0.02</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4.0000000000000565E-3</v>
      </c>
      <c r="F208" s="707"/>
      <c r="G208" s="14">
        <f t="shared" si="46"/>
        <v>0.02</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4.0000000000000565E-3</v>
      </c>
      <c r="F209" s="707"/>
      <c r="G209" s="14">
        <f t="shared" si="46"/>
        <v>0.02</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4.0000000000000565E-3</v>
      </c>
      <c r="F210" s="707"/>
      <c r="G210" s="14">
        <f t="shared" si="46"/>
        <v>0.02</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4.0000000000000565E-3</v>
      </c>
      <c r="F211" s="707"/>
      <c r="G211" s="14">
        <f t="shared" si="46"/>
        <v>0.02</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4.0000000000000565E-3</v>
      </c>
      <c r="F212" s="707"/>
      <c r="G212" s="14">
        <f t="shared" si="46"/>
        <v>0.02</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4.0000000000000565E-3</v>
      </c>
      <c r="F213" s="707"/>
      <c r="G213" s="14">
        <f t="shared" si="46"/>
        <v>0.02</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4.0000000000000565E-3</v>
      </c>
      <c r="F214" s="707"/>
      <c r="G214" s="14">
        <f t="shared" si="46"/>
        <v>0.02</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4.0000000000000565E-3</v>
      </c>
      <c r="F215" s="707"/>
      <c r="G215" s="14">
        <f t="shared" si="46"/>
        <v>0.02</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4.0000000000000565E-3</v>
      </c>
      <c r="F216" s="707"/>
      <c r="G216" s="14">
        <f t="shared" si="46"/>
        <v>0.02</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4.0000000000000565E-3</v>
      </c>
      <c r="F217" s="707"/>
      <c r="G217" s="14">
        <f t="shared" si="46"/>
        <v>0.02</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4.0000000000000565E-3</v>
      </c>
      <c r="F218" s="707"/>
      <c r="G218" s="14">
        <f t="shared" si="46"/>
        <v>0.02</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4.0000000000000565E-3</v>
      </c>
      <c r="F219" s="707"/>
      <c r="G219" s="14">
        <f t="shared" si="46"/>
        <v>0.02</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4.0000000000000565E-3</v>
      </c>
      <c r="F220" s="707"/>
      <c r="G220" s="14">
        <f t="shared" ref="G220:G283" si="61">(SUMIF($10:$10,F220,$11:$11)-SUMIF($10:$10,$F$27,$11:$11)+100)/100</f>
        <v>0.02</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4.0000000000000565E-3</v>
      </c>
      <c r="F221" s="707"/>
      <c r="G221" s="14">
        <f t="shared" si="61"/>
        <v>0.02</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4.0000000000000565E-3</v>
      </c>
      <c r="F222" s="707"/>
      <c r="G222" s="14">
        <f t="shared" si="61"/>
        <v>0.02</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4.0000000000000565E-3</v>
      </c>
      <c r="F223" s="707"/>
      <c r="G223" s="14">
        <f t="shared" si="61"/>
        <v>0.02</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4.0000000000000565E-3</v>
      </c>
      <c r="F224" s="707"/>
      <c r="G224" s="14">
        <f t="shared" si="61"/>
        <v>0.02</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4.0000000000000565E-3</v>
      </c>
      <c r="F225" s="707"/>
      <c r="G225" s="14">
        <f t="shared" si="61"/>
        <v>0.02</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4.0000000000000565E-3</v>
      </c>
      <c r="F226" s="707"/>
      <c r="G226" s="14">
        <f t="shared" si="61"/>
        <v>0.02</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4.0000000000000565E-3</v>
      </c>
      <c r="F227" s="707"/>
      <c r="G227" s="14">
        <f t="shared" si="61"/>
        <v>0.02</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4.0000000000000565E-3</v>
      </c>
      <c r="F228" s="707"/>
      <c r="G228" s="14">
        <f t="shared" si="61"/>
        <v>0.02</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4.0000000000000565E-3</v>
      </c>
      <c r="F229" s="707"/>
      <c r="G229" s="14">
        <f t="shared" si="61"/>
        <v>0.02</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4.0000000000000565E-3</v>
      </c>
      <c r="F230" s="707"/>
      <c r="G230" s="14">
        <f t="shared" si="61"/>
        <v>0.02</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4.0000000000000565E-3</v>
      </c>
      <c r="F231" s="707"/>
      <c r="G231" s="14">
        <f t="shared" si="61"/>
        <v>0.02</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4.0000000000000565E-3</v>
      </c>
      <c r="F232" s="707"/>
      <c r="G232" s="14">
        <f t="shared" si="61"/>
        <v>0.02</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4.0000000000000565E-3</v>
      </c>
      <c r="F233" s="707"/>
      <c r="G233" s="14">
        <f t="shared" si="61"/>
        <v>0.02</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4.0000000000000565E-3</v>
      </c>
      <c r="F234" s="707"/>
      <c r="G234" s="14">
        <f t="shared" si="61"/>
        <v>0.02</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4.0000000000000565E-3</v>
      </c>
      <c r="F235" s="707"/>
      <c r="G235" s="14">
        <f t="shared" si="61"/>
        <v>0.02</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4.0000000000000565E-3</v>
      </c>
      <c r="F236" s="707"/>
      <c r="G236" s="14">
        <f t="shared" si="61"/>
        <v>0.02</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4.0000000000000565E-3</v>
      </c>
      <c r="F237" s="707"/>
      <c r="G237" s="14">
        <f t="shared" si="61"/>
        <v>0.02</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4.0000000000000565E-3</v>
      </c>
      <c r="F238" s="707"/>
      <c r="G238" s="14">
        <f t="shared" si="61"/>
        <v>0.02</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4.0000000000000565E-3</v>
      </c>
      <c r="F239" s="707"/>
      <c r="G239" s="14">
        <f t="shared" si="61"/>
        <v>0.02</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4.0000000000000565E-3</v>
      </c>
      <c r="F240" s="707"/>
      <c r="G240" s="14">
        <f t="shared" si="61"/>
        <v>0.02</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4.0000000000000565E-3</v>
      </c>
      <c r="F241" s="707"/>
      <c r="G241" s="14">
        <f t="shared" si="61"/>
        <v>0.02</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4.0000000000000565E-3</v>
      </c>
      <c r="F242" s="707"/>
      <c r="G242" s="14">
        <f t="shared" si="61"/>
        <v>0.02</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4.0000000000000565E-3</v>
      </c>
      <c r="F243" s="707"/>
      <c r="G243" s="14">
        <f t="shared" si="61"/>
        <v>0.02</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4.0000000000000565E-3</v>
      </c>
      <c r="F244" s="707"/>
      <c r="G244" s="14">
        <f t="shared" si="61"/>
        <v>0.02</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4.0000000000000565E-3</v>
      </c>
      <c r="F245" s="707"/>
      <c r="G245" s="14">
        <f t="shared" si="61"/>
        <v>0.02</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4.0000000000000565E-3</v>
      </c>
      <c r="F246" s="707"/>
      <c r="G246" s="14">
        <f t="shared" si="61"/>
        <v>0.02</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4.0000000000000565E-3</v>
      </c>
      <c r="F247" s="707"/>
      <c r="G247" s="14">
        <f t="shared" si="61"/>
        <v>0.02</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4.0000000000000565E-3</v>
      </c>
      <c r="F248" s="707"/>
      <c r="G248" s="14">
        <f t="shared" si="61"/>
        <v>0.02</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4.0000000000000565E-3</v>
      </c>
      <c r="F249" s="707"/>
      <c r="G249" s="14">
        <f t="shared" si="61"/>
        <v>0.02</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4.0000000000000565E-3</v>
      </c>
      <c r="F250" s="707"/>
      <c r="G250" s="14">
        <f t="shared" si="61"/>
        <v>0.02</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4.0000000000000565E-3</v>
      </c>
      <c r="F251" s="707"/>
      <c r="G251" s="14">
        <f t="shared" si="61"/>
        <v>0.02</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4.0000000000000565E-3</v>
      </c>
      <c r="F252" s="707"/>
      <c r="G252" s="14">
        <f t="shared" si="61"/>
        <v>0.02</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4.0000000000000565E-3</v>
      </c>
      <c r="F253" s="707"/>
      <c r="G253" s="14">
        <f t="shared" si="61"/>
        <v>0.02</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4.0000000000000565E-3</v>
      </c>
      <c r="F254" s="707"/>
      <c r="G254" s="14">
        <f t="shared" si="61"/>
        <v>0.02</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4.0000000000000565E-3</v>
      </c>
      <c r="F255" s="707"/>
      <c r="G255" s="14">
        <f t="shared" si="61"/>
        <v>0.02</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4.0000000000000565E-3</v>
      </c>
      <c r="F256" s="707"/>
      <c r="G256" s="14">
        <f t="shared" si="61"/>
        <v>0.02</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4.0000000000000565E-3</v>
      </c>
      <c r="F257" s="707"/>
      <c r="G257" s="14">
        <f t="shared" si="61"/>
        <v>0.02</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4.0000000000000565E-3</v>
      </c>
      <c r="F258" s="707"/>
      <c r="G258" s="14">
        <f t="shared" si="61"/>
        <v>0.02</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4.0000000000000565E-3</v>
      </c>
      <c r="F259" s="707"/>
      <c r="G259" s="14">
        <f t="shared" si="61"/>
        <v>0.02</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4.0000000000000565E-3</v>
      </c>
      <c r="F260" s="707"/>
      <c r="G260" s="14">
        <f t="shared" si="61"/>
        <v>0.02</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4.0000000000000565E-3</v>
      </c>
      <c r="F261" s="707"/>
      <c r="G261" s="14">
        <f t="shared" si="61"/>
        <v>0.02</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4.0000000000000565E-3</v>
      </c>
      <c r="F262" s="707"/>
      <c r="G262" s="14">
        <f t="shared" si="61"/>
        <v>0.02</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4.0000000000000565E-3</v>
      </c>
      <c r="F263" s="707"/>
      <c r="G263" s="14">
        <f t="shared" si="61"/>
        <v>0.02</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4.0000000000000565E-3</v>
      </c>
      <c r="F264" s="707"/>
      <c r="G264" s="14">
        <f t="shared" si="61"/>
        <v>0.02</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4.0000000000000565E-3</v>
      </c>
      <c r="F265" s="707"/>
      <c r="G265" s="14">
        <f t="shared" si="61"/>
        <v>0.02</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4.0000000000000565E-3</v>
      </c>
      <c r="F266" s="707"/>
      <c r="G266" s="14">
        <f t="shared" si="61"/>
        <v>0.02</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4.0000000000000565E-3</v>
      </c>
      <c r="F267" s="707"/>
      <c r="G267" s="14">
        <f t="shared" si="61"/>
        <v>0.02</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4.0000000000000565E-3</v>
      </c>
      <c r="F268" s="707"/>
      <c r="G268" s="14">
        <f t="shared" si="61"/>
        <v>0.02</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4.0000000000000565E-3</v>
      </c>
      <c r="F269" s="707"/>
      <c r="G269" s="14">
        <f t="shared" si="61"/>
        <v>0.02</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4.0000000000000565E-3</v>
      </c>
      <c r="F270" s="707"/>
      <c r="G270" s="14">
        <f t="shared" si="61"/>
        <v>0.02</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4.0000000000000565E-3</v>
      </c>
      <c r="F271" s="707"/>
      <c r="G271" s="14">
        <f t="shared" si="61"/>
        <v>0.02</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4.0000000000000565E-3</v>
      </c>
      <c r="F272" s="707"/>
      <c r="G272" s="14">
        <f t="shared" si="61"/>
        <v>0.02</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4.0000000000000565E-3</v>
      </c>
      <c r="F273" s="707"/>
      <c r="G273" s="14">
        <f t="shared" si="61"/>
        <v>0.02</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4.0000000000000565E-3</v>
      </c>
      <c r="F274" s="707"/>
      <c r="G274" s="14">
        <f t="shared" si="61"/>
        <v>0.02</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4.0000000000000565E-3</v>
      </c>
      <c r="F275" s="707"/>
      <c r="G275" s="14">
        <f t="shared" si="61"/>
        <v>0.02</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4.0000000000000565E-3</v>
      </c>
      <c r="F276" s="707"/>
      <c r="G276" s="14">
        <f t="shared" si="61"/>
        <v>0.02</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4.0000000000000565E-3</v>
      </c>
      <c r="F277" s="707"/>
      <c r="G277" s="14">
        <f t="shared" si="61"/>
        <v>0.02</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4.0000000000000565E-3</v>
      </c>
      <c r="F278" s="707"/>
      <c r="G278" s="14">
        <f t="shared" si="61"/>
        <v>0.02</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4.0000000000000565E-3</v>
      </c>
      <c r="F279" s="707"/>
      <c r="G279" s="14">
        <f t="shared" si="61"/>
        <v>0.02</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4.0000000000000565E-3</v>
      </c>
      <c r="F280" s="707"/>
      <c r="G280" s="14">
        <f t="shared" si="61"/>
        <v>0.02</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4.0000000000000565E-3</v>
      </c>
      <c r="F281" s="707"/>
      <c r="G281" s="14">
        <f t="shared" si="61"/>
        <v>0.02</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4.0000000000000565E-3</v>
      </c>
      <c r="F282" s="707"/>
      <c r="G282" s="14">
        <f t="shared" si="61"/>
        <v>0.02</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4.0000000000000565E-3</v>
      </c>
      <c r="F283" s="707"/>
      <c r="G283" s="14">
        <f t="shared" si="61"/>
        <v>0.02</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4.0000000000000565E-3</v>
      </c>
      <c r="F284" s="707"/>
      <c r="G284" s="14">
        <f t="shared" ref="G284:G347" si="76">(SUMIF($10:$10,F284,$11:$11)-SUMIF($10:$10,$F$27,$11:$11)+100)/100</f>
        <v>0.02</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4.0000000000000565E-3</v>
      </c>
      <c r="F285" s="707"/>
      <c r="G285" s="14">
        <f t="shared" si="76"/>
        <v>0.02</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4.0000000000000565E-3</v>
      </c>
      <c r="F286" s="707"/>
      <c r="G286" s="14">
        <f t="shared" si="76"/>
        <v>0.02</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4.0000000000000565E-3</v>
      </c>
      <c r="F287" s="707"/>
      <c r="G287" s="14">
        <f t="shared" si="76"/>
        <v>0.02</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4.0000000000000565E-3</v>
      </c>
      <c r="F288" s="707"/>
      <c r="G288" s="14">
        <f t="shared" si="76"/>
        <v>0.02</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4.0000000000000565E-3</v>
      </c>
      <c r="F289" s="707"/>
      <c r="G289" s="14">
        <f t="shared" si="76"/>
        <v>0.02</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4.0000000000000565E-3</v>
      </c>
      <c r="F290" s="707"/>
      <c r="G290" s="14">
        <f t="shared" si="76"/>
        <v>0.02</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4.0000000000000565E-3</v>
      </c>
      <c r="F291" s="707"/>
      <c r="G291" s="14">
        <f t="shared" si="76"/>
        <v>0.02</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4.0000000000000565E-3</v>
      </c>
      <c r="F292" s="707"/>
      <c r="G292" s="14">
        <f t="shared" si="76"/>
        <v>0.02</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4.0000000000000565E-3</v>
      </c>
      <c r="F293" s="707"/>
      <c r="G293" s="14">
        <f t="shared" si="76"/>
        <v>0.02</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4.0000000000000565E-3</v>
      </c>
      <c r="F294" s="707"/>
      <c r="G294" s="14">
        <f t="shared" si="76"/>
        <v>0.02</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4.0000000000000565E-3</v>
      </c>
      <c r="F295" s="707"/>
      <c r="G295" s="14">
        <f t="shared" si="76"/>
        <v>0.02</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4.0000000000000565E-3</v>
      </c>
      <c r="F296" s="707"/>
      <c r="G296" s="14">
        <f t="shared" si="76"/>
        <v>0.02</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4.0000000000000565E-3</v>
      </c>
      <c r="F297" s="707"/>
      <c r="G297" s="14">
        <f t="shared" si="76"/>
        <v>0.02</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4.0000000000000565E-3</v>
      </c>
      <c r="F298" s="707"/>
      <c r="G298" s="14">
        <f t="shared" si="76"/>
        <v>0.02</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4.0000000000000565E-3</v>
      </c>
      <c r="F299" s="707"/>
      <c r="G299" s="14">
        <f t="shared" si="76"/>
        <v>0.02</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4.0000000000000565E-3</v>
      </c>
      <c r="F300" s="707"/>
      <c r="G300" s="14">
        <f t="shared" si="76"/>
        <v>0.02</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4.0000000000000565E-3</v>
      </c>
      <c r="F301" s="707"/>
      <c r="G301" s="14">
        <f t="shared" si="76"/>
        <v>0.02</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4.0000000000000565E-3</v>
      </c>
      <c r="F302" s="707"/>
      <c r="G302" s="14">
        <f t="shared" si="76"/>
        <v>0.02</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4.0000000000000565E-3</v>
      </c>
      <c r="F303" s="707"/>
      <c r="G303" s="14">
        <f t="shared" si="76"/>
        <v>0.02</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4.0000000000000565E-3</v>
      </c>
      <c r="F304" s="707"/>
      <c r="G304" s="14">
        <f t="shared" si="76"/>
        <v>0.02</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4.0000000000000565E-3</v>
      </c>
      <c r="F305" s="707"/>
      <c r="G305" s="14">
        <f t="shared" si="76"/>
        <v>0.02</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4.0000000000000565E-3</v>
      </c>
      <c r="F306" s="707"/>
      <c r="G306" s="14">
        <f t="shared" si="76"/>
        <v>0.02</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4.0000000000000565E-3</v>
      </c>
      <c r="F307" s="707"/>
      <c r="G307" s="14">
        <f t="shared" si="76"/>
        <v>0.02</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4.0000000000000565E-3</v>
      </c>
      <c r="F308" s="707"/>
      <c r="G308" s="14">
        <f t="shared" si="76"/>
        <v>0.02</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4.0000000000000565E-3</v>
      </c>
      <c r="F309" s="707"/>
      <c r="G309" s="14">
        <f t="shared" si="76"/>
        <v>0.02</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4.0000000000000565E-3</v>
      </c>
      <c r="F310" s="707"/>
      <c r="G310" s="14">
        <f t="shared" si="76"/>
        <v>0.02</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4.0000000000000565E-3</v>
      </c>
      <c r="F311" s="707"/>
      <c r="G311" s="14">
        <f t="shared" si="76"/>
        <v>0.02</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4.0000000000000565E-3</v>
      </c>
      <c r="F312" s="707"/>
      <c r="G312" s="14">
        <f t="shared" si="76"/>
        <v>0.02</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4.0000000000000565E-3</v>
      </c>
      <c r="F313" s="707"/>
      <c r="G313" s="14">
        <f t="shared" si="76"/>
        <v>0.02</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4.0000000000000565E-3</v>
      </c>
      <c r="F314" s="707"/>
      <c r="G314" s="14">
        <f t="shared" si="76"/>
        <v>0.02</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4.0000000000000565E-3</v>
      </c>
      <c r="F315" s="707"/>
      <c r="G315" s="14">
        <f t="shared" si="76"/>
        <v>0.02</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4.0000000000000565E-3</v>
      </c>
      <c r="F316" s="707"/>
      <c r="G316" s="14">
        <f t="shared" si="76"/>
        <v>0.02</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4.0000000000000565E-3</v>
      </c>
      <c r="F317" s="707"/>
      <c r="G317" s="14">
        <f t="shared" si="76"/>
        <v>0.02</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4.0000000000000565E-3</v>
      </c>
      <c r="F318" s="707"/>
      <c r="G318" s="14">
        <f t="shared" si="76"/>
        <v>0.02</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4.0000000000000565E-3</v>
      </c>
      <c r="F319" s="707"/>
      <c r="G319" s="14">
        <f t="shared" si="76"/>
        <v>0.02</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4.0000000000000565E-3</v>
      </c>
      <c r="F320" s="707"/>
      <c r="G320" s="14">
        <f t="shared" si="76"/>
        <v>0.02</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4.0000000000000565E-3</v>
      </c>
      <c r="F321" s="707"/>
      <c r="G321" s="14">
        <f t="shared" si="76"/>
        <v>0.02</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4.0000000000000565E-3</v>
      </c>
      <c r="F322" s="707"/>
      <c r="G322" s="14">
        <f t="shared" si="76"/>
        <v>0.02</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4.0000000000000565E-3</v>
      </c>
      <c r="F323" s="707"/>
      <c r="G323" s="14">
        <f t="shared" si="76"/>
        <v>0.02</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4.0000000000000565E-3</v>
      </c>
      <c r="F324" s="707"/>
      <c r="G324" s="14">
        <f t="shared" si="76"/>
        <v>0.02</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4.0000000000000565E-3</v>
      </c>
      <c r="F325" s="707"/>
      <c r="G325" s="14">
        <f t="shared" si="76"/>
        <v>0.02</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4.0000000000000565E-3</v>
      </c>
      <c r="F326" s="707"/>
      <c r="G326" s="14">
        <f t="shared" si="76"/>
        <v>0.02</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4.0000000000000565E-3</v>
      </c>
      <c r="F327" s="707"/>
      <c r="G327" s="14">
        <f t="shared" si="76"/>
        <v>0.02</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4.0000000000000565E-3</v>
      </c>
      <c r="F328" s="707"/>
      <c r="G328" s="14">
        <f t="shared" si="76"/>
        <v>0.02</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4.0000000000000565E-3</v>
      </c>
      <c r="F329" s="707"/>
      <c r="G329" s="14">
        <f t="shared" si="76"/>
        <v>0.02</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4.0000000000000565E-3</v>
      </c>
      <c r="F330" s="707"/>
      <c r="G330" s="14">
        <f t="shared" si="76"/>
        <v>0.02</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4.0000000000000565E-3</v>
      </c>
      <c r="F331" s="707"/>
      <c r="G331" s="14">
        <f t="shared" si="76"/>
        <v>0.02</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4.0000000000000565E-3</v>
      </c>
      <c r="F332" s="707"/>
      <c r="G332" s="14">
        <f t="shared" si="76"/>
        <v>0.02</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4.0000000000000565E-3</v>
      </c>
      <c r="F333" s="707"/>
      <c r="G333" s="14">
        <f t="shared" si="76"/>
        <v>0.02</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4.0000000000000565E-3</v>
      </c>
      <c r="F334" s="707"/>
      <c r="G334" s="14">
        <f t="shared" si="76"/>
        <v>0.02</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4.0000000000000565E-3</v>
      </c>
      <c r="F335" s="707"/>
      <c r="G335" s="14">
        <f t="shared" si="76"/>
        <v>0.02</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4.0000000000000565E-3</v>
      </c>
      <c r="F336" s="707"/>
      <c r="G336" s="14">
        <f t="shared" si="76"/>
        <v>0.02</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4.0000000000000565E-3</v>
      </c>
      <c r="F337" s="707"/>
      <c r="G337" s="14">
        <f t="shared" si="76"/>
        <v>0.02</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4.0000000000000565E-3</v>
      </c>
      <c r="F338" s="707"/>
      <c r="G338" s="14">
        <f t="shared" si="76"/>
        <v>0.02</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4.0000000000000565E-3</v>
      </c>
      <c r="F339" s="707"/>
      <c r="G339" s="14">
        <f t="shared" si="76"/>
        <v>0.02</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4.0000000000000565E-3</v>
      </c>
      <c r="F340" s="707"/>
      <c r="G340" s="14">
        <f t="shared" si="76"/>
        <v>0.02</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4.0000000000000565E-3</v>
      </c>
      <c r="F341" s="707"/>
      <c r="G341" s="14">
        <f t="shared" si="76"/>
        <v>0.02</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4.0000000000000565E-3</v>
      </c>
      <c r="F342" s="707"/>
      <c r="G342" s="14">
        <f t="shared" si="76"/>
        <v>0.02</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4.0000000000000565E-3</v>
      </c>
      <c r="F343" s="707"/>
      <c r="G343" s="14">
        <f t="shared" si="76"/>
        <v>0.02</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4.0000000000000565E-3</v>
      </c>
      <c r="F344" s="707"/>
      <c r="G344" s="14">
        <f t="shared" si="76"/>
        <v>0.02</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4.0000000000000565E-3</v>
      </c>
      <c r="F345" s="707"/>
      <c r="G345" s="14">
        <f t="shared" si="76"/>
        <v>0.02</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4.0000000000000565E-3</v>
      </c>
      <c r="F346" s="707"/>
      <c r="G346" s="14">
        <f t="shared" si="76"/>
        <v>0.02</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4.0000000000000565E-3</v>
      </c>
      <c r="F347" s="707"/>
      <c r="G347" s="14">
        <f t="shared" si="76"/>
        <v>0.02</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4.0000000000000565E-3</v>
      </c>
      <c r="F348" s="707"/>
      <c r="G348" s="14">
        <f t="shared" ref="G348:G411" si="91">(SUMIF($10:$10,F348,$11:$11)-SUMIF($10:$10,$F$27,$11:$11)+100)/100</f>
        <v>0.02</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4.0000000000000565E-3</v>
      </c>
      <c r="F349" s="707"/>
      <c r="G349" s="14">
        <f t="shared" si="91"/>
        <v>0.02</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4.0000000000000565E-3</v>
      </c>
      <c r="F350" s="707"/>
      <c r="G350" s="14">
        <f t="shared" si="91"/>
        <v>0.02</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4.0000000000000565E-3</v>
      </c>
      <c r="F351" s="707"/>
      <c r="G351" s="14">
        <f t="shared" si="91"/>
        <v>0.02</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4.0000000000000565E-3</v>
      </c>
      <c r="F352" s="707"/>
      <c r="G352" s="14">
        <f t="shared" si="91"/>
        <v>0.02</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4.0000000000000565E-3</v>
      </c>
      <c r="F353" s="707"/>
      <c r="G353" s="14">
        <f t="shared" si="91"/>
        <v>0.02</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4.0000000000000565E-3</v>
      </c>
      <c r="F354" s="707"/>
      <c r="G354" s="14">
        <f t="shared" si="91"/>
        <v>0.02</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4.0000000000000565E-3</v>
      </c>
      <c r="F355" s="707"/>
      <c r="G355" s="14">
        <f t="shared" si="91"/>
        <v>0.02</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4.0000000000000565E-3</v>
      </c>
      <c r="F356" s="707"/>
      <c r="G356" s="14">
        <f t="shared" si="91"/>
        <v>0.02</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4.0000000000000565E-3</v>
      </c>
      <c r="F357" s="707"/>
      <c r="G357" s="14">
        <f t="shared" si="91"/>
        <v>0.02</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4.0000000000000565E-3</v>
      </c>
      <c r="F358" s="707"/>
      <c r="G358" s="14">
        <f t="shared" si="91"/>
        <v>0.02</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4.0000000000000565E-3</v>
      </c>
      <c r="F359" s="707"/>
      <c r="G359" s="14">
        <f t="shared" si="91"/>
        <v>0.02</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4.0000000000000565E-3</v>
      </c>
      <c r="F360" s="707"/>
      <c r="G360" s="14">
        <f t="shared" si="91"/>
        <v>0.02</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4.0000000000000565E-3</v>
      </c>
      <c r="F361" s="707"/>
      <c r="G361" s="14">
        <f t="shared" si="91"/>
        <v>0.02</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4.0000000000000565E-3</v>
      </c>
      <c r="F362" s="707"/>
      <c r="G362" s="14">
        <f t="shared" si="91"/>
        <v>0.02</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4.0000000000000565E-3</v>
      </c>
      <c r="F363" s="707"/>
      <c r="G363" s="14">
        <f t="shared" si="91"/>
        <v>0.02</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4.0000000000000565E-3</v>
      </c>
      <c r="F364" s="707"/>
      <c r="G364" s="14">
        <f t="shared" si="91"/>
        <v>0.02</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4.0000000000000565E-3</v>
      </c>
      <c r="F365" s="707"/>
      <c r="G365" s="14">
        <f t="shared" si="91"/>
        <v>0.02</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4.0000000000000565E-3</v>
      </c>
      <c r="F366" s="707"/>
      <c r="G366" s="14">
        <f t="shared" si="91"/>
        <v>0.02</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4.0000000000000565E-3</v>
      </c>
      <c r="F367" s="707"/>
      <c r="G367" s="14">
        <f t="shared" si="91"/>
        <v>0.02</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4.0000000000000565E-3</v>
      </c>
      <c r="F368" s="707"/>
      <c r="G368" s="14">
        <f t="shared" si="91"/>
        <v>0.02</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4.0000000000000565E-3</v>
      </c>
      <c r="F369" s="707"/>
      <c r="G369" s="14">
        <f t="shared" si="91"/>
        <v>0.02</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4.0000000000000565E-3</v>
      </c>
      <c r="F370" s="707"/>
      <c r="G370" s="14">
        <f t="shared" si="91"/>
        <v>0.02</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4.0000000000000565E-3</v>
      </c>
      <c r="F371" s="707"/>
      <c r="G371" s="14">
        <f t="shared" si="91"/>
        <v>0.02</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4.0000000000000565E-3</v>
      </c>
      <c r="F372" s="707"/>
      <c r="G372" s="14">
        <f t="shared" si="91"/>
        <v>0.02</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4.0000000000000565E-3</v>
      </c>
      <c r="F373" s="707"/>
      <c r="G373" s="14">
        <f t="shared" si="91"/>
        <v>0.02</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4.0000000000000565E-3</v>
      </c>
      <c r="F374" s="707"/>
      <c r="G374" s="14">
        <f t="shared" si="91"/>
        <v>0.02</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4.0000000000000565E-3</v>
      </c>
      <c r="F375" s="707"/>
      <c r="G375" s="14">
        <f t="shared" si="91"/>
        <v>0.02</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4.0000000000000565E-3</v>
      </c>
      <c r="F376" s="707"/>
      <c r="G376" s="14">
        <f t="shared" si="91"/>
        <v>0.02</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4.0000000000000565E-3</v>
      </c>
      <c r="F377" s="707"/>
      <c r="G377" s="14">
        <f t="shared" si="91"/>
        <v>0.02</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4.0000000000000565E-3</v>
      </c>
      <c r="F378" s="707"/>
      <c r="G378" s="14">
        <f t="shared" si="91"/>
        <v>0.02</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4.0000000000000565E-3</v>
      </c>
      <c r="F379" s="707"/>
      <c r="G379" s="14">
        <f t="shared" si="91"/>
        <v>0.02</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4.0000000000000565E-3</v>
      </c>
      <c r="F380" s="707"/>
      <c r="G380" s="14">
        <f t="shared" si="91"/>
        <v>0.02</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4.0000000000000565E-3</v>
      </c>
      <c r="F381" s="707"/>
      <c r="G381" s="14">
        <f t="shared" si="91"/>
        <v>0.02</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4.0000000000000565E-3</v>
      </c>
      <c r="F382" s="707"/>
      <c r="G382" s="14">
        <f t="shared" si="91"/>
        <v>0.02</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4.0000000000000565E-3</v>
      </c>
      <c r="F383" s="707"/>
      <c r="G383" s="14">
        <f t="shared" si="91"/>
        <v>0.02</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4.0000000000000565E-3</v>
      </c>
      <c r="F384" s="707"/>
      <c r="G384" s="14">
        <f t="shared" si="91"/>
        <v>0.02</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4.0000000000000565E-3</v>
      </c>
      <c r="F385" s="707"/>
      <c r="G385" s="14">
        <f t="shared" si="91"/>
        <v>0.02</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4.0000000000000565E-3</v>
      </c>
      <c r="F386" s="707"/>
      <c r="G386" s="14">
        <f t="shared" si="91"/>
        <v>0.02</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4.0000000000000565E-3</v>
      </c>
      <c r="F387" s="707"/>
      <c r="G387" s="14">
        <f t="shared" si="91"/>
        <v>0.02</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4.0000000000000565E-3</v>
      </c>
      <c r="F388" s="707"/>
      <c r="G388" s="14">
        <f t="shared" si="91"/>
        <v>0.02</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4.0000000000000565E-3</v>
      </c>
      <c r="F389" s="707"/>
      <c r="G389" s="14">
        <f t="shared" si="91"/>
        <v>0.02</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4.0000000000000565E-3</v>
      </c>
      <c r="F390" s="707"/>
      <c r="G390" s="14">
        <f t="shared" si="91"/>
        <v>0.02</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4.0000000000000565E-3</v>
      </c>
      <c r="F391" s="707"/>
      <c r="G391" s="14">
        <f t="shared" si="91"/>
        <v>0.02</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4.0000000000000565E-3</v>
      </c>
      <c r="F392" s="707"/>
      <c r="G392" s="14">
        <f t="shared" si="91"/>
        <v>0.02</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4.0000000000000565E-3</v>
      </c>
      <c r="F393" s="707"/>
      <c r="G393" s="14">
        <f t="shared" si="91"/>
        <v>0.02</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4.0000000000000565E-3</v>
      </c>
      <c r="F394" s="707"/>
      <c r="G394" s="14">
        <f t="shared" si="91"/>
        <v>0.02</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4.0000000000000565E-3</v>
      </c>
      <c r="F395" s="707"/>
      <c r="G395" s="14">
        <f t="shared" si="91"/>
        <v>0.02</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4.0000000000000565E-3</v>
      </c>
      <c r="F396" s="707"/>
      <c r="G396" s="14">
        <f t="shared" si="91"/>
        <v>0.02</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4.0000000000000565E-3</v>
      </c>
      <c r="F397" s="707"/>
      <c r="G397" s="14">
        <f t="shared" si="91"/>
        <v>0.02</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4.0000000000000565E-3</v>
      </c>
      <c r="F398" s="707"/>
      <c r="G398" s="14">
        <f t="shared" si="91"/>
        <v>0.02</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4.0000000000000565E-3</v>
      </c>
      <c r="F399" s="707"/>
      <c r="G399" s="14">
        <f t="shared" si="91"/>
        <v>0.02</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4.0000000000000565E-3</v>
      </c>
      <c r="F400" s="707"/>
      <c r="G400" s="14">
        <f t="shared" si="91"/>
        <v>0.02</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4.0000000000000565E-3</v>
      </c>
      <c r="F401" s="707"/>
      <c r="G401" s="14">
        <f t="shared" si="91"/>
        <v>0.02</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4.0000000000000565E-3</v>
      </c>
      <c r="F402" s="707"/>
      <c r="G402" s="14">
        <f t="shared" si="91"/>
        <v>0.02</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4.0000000000000565E-3</v>
      </c>
      <c r="F403" s="707"/>
      <c r="G403" s="14">
        <f t="shared" si="91"/>
        <v>0.02</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4.0000000000000565E-3</v>
      </c>
      <c r="F404" s="707"/>
      <c r="G404" s="14">
        <f t="shared" si="91"/>
        <v>0.02</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4.0000000000000565E-3</v>
      </c>
      <c r="F405" s="707"/>
      <c r="G405" s="14">
        <f t="shared" si="91"/>
        <v>0.02</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4.0000000000000565E-3</v>
      </c>
      <c r="F406" s="707"/>
      <c r="G406" s="14">
        <f t="shared" si="91"/>
        <v>0.02</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4.0000000000000565E-3</v>
      </c>
      <c r="F407" s="707"/>
      <c r="G407" s="14">
        <f t="shared" si="91"/>
        <v>0.02</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4.0000000000000565E-3</v>
      </c>
      <c r="F408" s="707"/>
      <c r="G408" s="14">
        <f t="shared" si="91"/>
        <v>0.02</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4.0000000000000565E-3</v>
      </c>
      <c r="F409" s="707"/>
      <c r="G409" s="14">
        <f t="shared" si="91"/>
        <v>0.02</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4.0000000000000565E-3</v>
      </c>
      <c r="F410" s="707"/>
      <c r="G410" s="14">
        <f t="shared" si="91"/>
        <v>0.02</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4.0000000000000565E-3</v>
      </c>
      <c r="F411" s="707"/>
      <c r="G411" s="14">
        <f t="shared" si="91"/>
        <v>0.02</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4.0000000000000565E-3</v>
      </c>
      <c r="F412" s="707"/>
      <c r="G412" s="14">
        <f t="shared" ref="G412:G475" si="106">(SUMIF($10:$10,F412,$11:$11)-SUMIF($10:$10,$F$27,$11:$11)+100)/100</f>
        <v>0.02</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4.0000000000000565E-3</v>
      </c>
      <c r="F413" s="707"/>
      <c r="G413" s="14">
        <f t="shared" si="106"/>
        <v>0.02</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4.0000000000000565E-3</v>
      </c>
      <c r="F414" s="707"/>
      <c r="G414" s="14">
        <f t="shared" si="106"/>
        <v>0.02</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4.0000000000000565E-3</v>
      </c>
      <c r="F415" s="707"/>
      <c r="G415" s="14">
        <f t="shared" si="106"/>
        <v>0.02</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4.0000000000000565E-3</v>
      </c>
      <c r="F416" s="707"/>
      <c r="G416" s="14">
        <f t="shared" si="106"/>
        <v>0.02</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4.0000000000000565E-3</v>
      </c>
      <c r="F417" s="707"/>
      <c r="G417" s="14">
        <f t="shared" si="106"/>
        <v>0.02</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4.0000000000000565E-3</v>
      </c>
      <c r="F418" s="707"/>
      <c r="G418" s="14">
        <f t="shared" si="106"/>
        <v>0.02</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4.0000000000000565E-3</v>
      </c>
      <c r="F419" s="707"/>
      <c r="G419" s="14">
        <f t="shared" si="106"/>
        <v>0.02</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4.0000000000000565E-3</v>
      </c>
      <c r="F420" s="707"/>
      <c r="G420" s="14">
        <f t="shared" si="106"/>
        <v>0.02</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4.0000000000000565E-3</v>
      </c>
      <c r="F421" s="707"/>
      <c r="G421" s="14">
        <f t="shared" si="106"/>
        <v>0.02</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4.0000000000000565E-3</v>
      </c>
      <c r="F422" s="707"/>
      <c r="G422" s="14">
        <f t="shared" si="106"/>
        <v>0.02</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4.0000000000000565E-3</v>
      </c>
      <c r="F423" s="707"/>
      <c r="G423" s="14">
        <f t="shared" si="106"/>
        <v>0.02</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4.0000000000000565E-3</v>
      </c>
      <c r="F424" s="707"/>
      <c r="G424" s="14">
        <f t="shared" si="106"/>
        <v>0.02</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4.0000000000000565E-3</v>
      </c>
      <c r="F425" s="707"/>
      <c r="G425" s="14">
        <f t="shared" si="106"/>
        <v>0.02</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4.0000000000000565E-3</v>
      </c>
      <c r="F426" s="707"/>
      <c r="G426" s="14">
        <f t="shared" si="106"/>
        <v>0.02</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4.0000000000000565E-3</v>
      </c>
      <c r="F427" s="707"/>
      <c r="G427" s="14">
        <f t="shared" si="106"/>
        <v>0.02</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4.0000000000000565E-3</v>
      </c>
      <c r="F428" s="707"/>
      <c r="G428" s="14">
        <f t="shared" si="106"/>
        <v>0.02</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4.0000000000000565E-3</v>
      </c>
      <c r="F429" s="707"/>
      <c r="G429" s="14">
        <f t="shared" si="106"/>
        <v>0.02</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4.0000000000000565E-3</v>
      </c>
      <c r="F430" s="707"/>
      <c r="G430" s="14">
        <f t="shared" si="106"/>
        <v>0.02</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4.0000000000000565E-3</v>
      </c>
      <c r="F431" s="707"/>
      <c r="G431" s="14">
        <f t="shared" si="106"/>
        <v>0.02</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4.0000000000000565E-3</v>
      </c>
      <c r="F432" s="707"/>
      <c r="G432" s="14">
        <f t="shared" si="106"/>
        <v>0.02</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4.0000000000000565E-3</v>
      </c>
      <c r="F433" s="707"/>
      <c r="G433" s="14">
        <f t="shared" si="106"/>
        <v>0.02</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4.0000000000000565E-3</v>
      </c>
      <c r="F434" s="707"/>
      <c r="G434" s="14">
        <f t="shared" si="106"/>
        <v>0.02</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4.0000000000000565E-3</v>
      </c>
      <c r="F435" s="707"/>
      <c r="G435" s="14">
        <f t="shared" si="106"/>
        <v>0.02</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4.0000000000000565E-3</v>
      </c>
      <c r="F436" s="707"/>
      <c r="G436" s="14">
        <f t="shared" si="106"/>
        <v>0.02</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4.0000000000000565E-3</v>
      </c>
      <c r="F437" s="707"/>
      <c r="G437" s="14">
        <f t="shared" si="106"/>
        <v>0.02</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4.0000000000000565E-3</v>
      </c>
      <c r="F438" s="707"/>
      <c r="G438" s="14">
        <f t="shared" si="106"/>
        <v>0.02</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4.0000000000000565E-3</v>
      </c>
      <c r="F439" s="707"/>
      <c r="G439" s="14">
        <f t="shared" si="106"/>
        <v>0.02</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4.0000000000000565E-3</v>
      </c>
      <c r="F440" s="707"/>
      <c r="G440" s="14">
        <f t="shared" si="106"/>
        <v>0.02</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4.0000000000000565E-3</v>
      </c>
      <c r="F441" s="707"/>
      <c r="G441" s="14">
        <f t="shared" si="106"/>
        <v>0.02</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4.0000000000000565E-3</v>
      </c>
      <c r="F442" s="707"/>
      <c r="G442" s="14">
        <f t="shared" si="106"/>
        <v>0.02</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4.0000000000000565E-3</v>
      </c>
      <c r="F443" s="707"/>
      <c r="G443" s="14">
        <f t="shared" si="106"/>
        <v>0.02</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4.0000000000000565E-3</v>
      </c>
      <c r="F444" s="707"/>
      <c r="G444" s="14">
        <f t="shared" si="106"/>
        <v>0.02</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4.0000000000000565E-3</v>
      </c>
      <c r="F445" s="707"/>
      <c r="G445" s="14">
        <f t="shared" si="106"/>
        <v>0.02</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4.0000000000000565E-3</v>
      </c>
      <c r="F446" s="707"/>
      <c r="G446" s="14">
        <f t="shared" si="106"/>
        <v>0.02</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4.0000000000000565E-3</v>
      </c>
      <c r="F447" s="707"/>
      <c r="G447" s="14">
        <f t="shared" si="106"/>
        <v>0.02</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4.0000000000000565E-3</v>
      </c>
      <c r="F448" s="707"/>
      <c r="G448" s="14">
        <f t="shared" si="106"/>
        <v>0.02</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4.0000000000000565E-3</v>
      </c>
      <c r="F449" s="707"/>
      <c r="G449" s="14">
        <f t="shared" si="106"/>
        <v>0.02</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4.0000000000000565E-3</v>
      </c>
      <c r="F450" s="707"/>
      <c r="G450" s="14">
        <f t="shared" si="106"/>
        <v>0.02</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4.0000000000000565E-3</v>
      </c>
      <c r="F451" s="707"/>
      <c r="G451" s="14">
        <f t="shared" si="106"/>
        <v>0.02</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4.0000000000000565E-3</v>
      </c>
      <c r="F452" s="707"/>
      <c r="G452" s="14">
        <f t="shared" si="106"/>
        <v>0.02</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4.0000000000000565E-3</v>
      </c>
      <c r="F453" s="707"/>
      <c r="G453" s="14">
        <f t="shared" si="106"/>
        <v>0.02</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4.0000000000000565E-3</v>
      </c>
      <c r="F454" s="707"/>
      <c r="G454" s="14">
        <f t="shared" si="106"/>
        <v>0.02</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4.0000000000000565E-3</v>
      </c>
      <c r="F455" s="707"/>
      <c r="G455" s="14">
        <f t="shared" si="106"/>
        <v>0.02</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4.0000000000000565E-3</v>
      </c>
      <c r="F456" s="707"/>
      <c r="G456" s="14">
        <f t="shared" si="106"/>
        <v>0.02</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4.0000000000000565E-3</v>
      </c>
      <c r="F457" s="707"/>
      <c r="G457" s="14">
        <f t="shared" si="106"/>
        <v>0.02</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4.0000000000000565E-3</v>
      </c>
      <c r="F458" s="707"/>
      <c r="G458" s="14">
        <f t="shared" si="106"/>
        <v>0.02</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4.0000000000000565E-3</v>
      </c>
      <c r="F459" s="707"/>
      <c r="G459" s="14">
        <f t="shared" si="106"/>
        <v>0.02</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4.0000000000000565E-3</v>
      </c>
      <c r="F460" s="707"/>
      <c r="G460" s="14">
        <f t="shared" si="106"/>
        <v>0.02</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4.0000000000000565E-3</v>
      </c>
      <c r="F461" s="707"/>
      <c r="G461" s="14">
        <f t="shared" si="106"/>
        <v>0.02</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4.0000000000000565E-3</v>
      </c>
      <c r="F462" s="707"/>
      <c r="G462" s="14">
        <f t="shared" si="106"/>
        <v>0.02</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4.0000000000000565E-3</v>
      </c>
      <c r="F463" s="707"/>
      <c r="G463" s="14">
        <f t="shared" si="106"/>
        <v>0.02</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4.0000000000000565E-3</v>
      </c>
      <c r="F464" s="707"/>
      <c r="G464" s="14">
        <f t="shared" si="106"/>
        <v>0.02</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4.0000000000000565E-3</v>
      </c>
      <c r="F465" s="707"/>
      <c r="G465" s="14">
        <f t="shared" si="106"/>
        <v>0.02</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4.0000000000000565E-3</v>
      </c>
      <c r="F466" s="707"/>
      <c r="G466" s="14">
        <f t="shared" si="106"/>
        <v>0.02</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4.0000000000000565E-3</v>
      </c>
      <c r="F467" s="707"/>
      <c r="G467" s="14">
        <f t="shared" si="106"/>
        <v>0.02</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4.0000000000000565E-3</v>
      </c>
      <c r="F468" s="707"/>
      <c r="G468" s="14">
        <f t="shared" si="106"/>
        <v>0.02</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4.0000000000000565E-3</v>
      </c>
      <c r="F469" s="707"/>
      <c r="G469" s="14">
        <f t="shared" si="106"/>
        <v>0.02</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4.0000000000000565E-3</v>
      </c>
      <c r="F470" s="707"/>
      <c r="G470" s="14">
        <f t="shared" si="106"/>
        <v>0.02</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4.0000000000000565E-3</v>
      </c>
      <c r="F471" s="707"/>
      <c r="G471" s="14">
        <f t="shared" si="106"/>
        <v>0.02</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4.0000000000000565E-3</v>
      </c>
      <c r="F472" s="707"/>
      <c r="G472" s="14">
        <f t="shared" si="106"/>
        <v>0.02</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4.0000000000000565E-3</v>
      </c>
      <c r="F473" s="707"/>
      <c r="G473" s="14">
        <f t="shared" si="106"/>
        <v>0.02</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4.0000000000000565E-3</v>
      </c>
      <c r="F474" s="707"/>
      <c r="G474" s="14">
        <f t="shared" si="106"/>
        <v>0.02</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4.0000000000000565E-3</v>
      </c>
      <c r="F475" s="707"/>
      <c r="G475" s="14">
        <f t="shared" si="106"/>
        <v>0.02</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4.0000000000000565E-3</v>
      </c>
      <c r="F476" s="707"/>
      <c r="G476" s="14">
        <f t="shared" ref="G476:G527" si="121">(SUMIF($10:$10,F476,$11:$11)-SUMIF($10:$10,$F$27,$11:$11)+100)/100</f>
        <v>0.02</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4.0000000000000565E-3</v>
      </c>
      <c r="F477" s="707"/>
      <c r="G477" s="14">
        <f t="shared" si="121"/>
        <v>0.02</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4.0000000000000565E-3</v>
      </c>
      <c r="F478" s="707"/>
      <c r="G478" s="14">
        <f t="shared" si="121"/>
        <v>0.02</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4.0000000000000565E-3</v>
      </c>
      <c r="F479" s="707"/>
      <c r="G479" s="14">
        <f t="shared" si="121"/>
        <v>0.02</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4.0000000000000565E-3</v>
      </c>
      <c r="F480" s="707"/>
      <c r="G480" s="14">
        <f t="shared" si="121"/>
        <v>0.02</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4.0000000000000565E-3</v>
      </c>
      <c r="F481" s="707"/>
      <c r="G481" s="14">
        <f t="shared" si="121"/>
        <v>0.02</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4.0000000000000565E-3</v>
      </c>
      <c r="F482" s="707"/>
      <c r="G482" s="14">
        <f t="shared" si="121"/>
        <v>0.02</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4.0000000000000565E-3</v>
      </c>
      <c r="F483" s="707"/>
      <c r="G483" s="14">
        <f t="shared" si="121"/>
        <v>0.02</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4.0000000000000565E-3</v>
      </c>
      <c r="F484" s="707"/>
      <c r="G484" s="14">
        <f t="shared" si="121"/>
        <v>0.02</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4.0000000000000565E-3</v>
      </c>
      <c r="F485" s="707"/>
      <c r="G485" s="14">
        <f t="shared" si="121"/>
        <v>0.02</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4.0000000000000565E-3</v>
      </c>
      <c r="F486" s="707"/>
      <c r="G486" s="14">
        <f t="shared" si="121"/>
        <v>0.02</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4.0000000000000565E-3</v>
      </c>
      <c r="F487" s="707"/>
      <c r="G487" s="14">
        <f t="shared" si="121"/>
        <v>0.02</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4.0000000000000565E-3</v>
      </c>
      <c r="F488" s="707"/>
      <c r="G488" s="14">
        <f t="shared" si="121"/>
        <v>0.02</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4.0000000000000565E-3</v>
      </c>
      <c r="F489" s="707"/>
      <c r="G489" s="14">
        <f t="shared" si="121"/>
        <v>0.02</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4.0000000000000565E-3</v>
      </c>
      <c r="F490" s="707"/>
      <c r="G490" s="14">
        <f t="shared" si="121"/>
        <v>0.02</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4.0000000000000565E-3</v>
      </c>
      <c r="F491" s="707"/>
      <c r="G491" s="14">
        <f t="shared" si="121"/>
        <v>0.02</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4.0000000000000565E-3</v>
      </c>
      <c r="F492" s="707"/>
      <c r="G492" s="14">
        <f t="shared" si="121"/>
        <v>0.02</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4.0000000000000565E-3</v>
      </c>
      <c r="F493" s="707"/>
      <c r="G493" s="14">
        <f t="shared" si="121"/>
        <v>0.02</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4.0000000000000565E-3</v>
      </c>
      <c r="F494" s="707"/>
      <c r="G494" s="14">
        <f t="shared" si="121"/>
        <v>0.02</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4.0000000000000565E-3</v>
      </c>
      <c r="F495" s="707"/>
      <c r="G495" s="14">
        <f t="shared" si="121"/>
        <v>0.02</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4.0000000000000565E-3</v>
      </c>
      <c r="F496" s="707"/>
      <c r="G496" s="14">
        <f t="shared" si="121"/>
        <v>0.02</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4.0000000000000565E-3</v>
      </c>
      <c r="F497" s="707"/>
      <c r="G497" s="14">
        <f t="shared" si="121"/>
        <v>0.02</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4.0000000000000565E-3</v>
      </c>
      <c r="F498" s="707"/>
      <c r="G498" s="14">
        <f t="shared" si="121"/>
        <v>0.02</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4.0000000000000565E-3</v>
      </c>
      <c r="F499" s="707"/>
      <c r="G499" s="14">
        <f t="shared" si="121"/>
        <v>0.02</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4.0000000000000565E-3</v>
      </c>
      <c r="F500" s="707"/>
      <c r="G500" s="14">
        <f t="shared" si="121"/>
        <v>0.02</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4.0000000000000565E-3</v>
      </c>
      <c r="F501" s="707"/>
      <c r="G501" s="14">
        <f t="shared" si="121"/>
        <v>0.02</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4.0000000000000565E-3</v>
      </c>
      <c r="F502" s="707"/>
      <c r="G502" s="14">
        <f t="shared" si="121"/>
        <v>0.02</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4.0000000000000565E-3</v>
      </c>
      <c r="F503" s="707"/>
      <c r="G503" s="14">
        <f t="shared" si="121"/>
        <v>0.02</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4.0000000000000565E-3</v>
      </c>
      <c r="F504" s="707"/>
      <c r="G504" s="14">
        <f t="shared" si="121"/>
        <v>0.02</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4.0000000000000565E-3</v>
      </c>
      <c r="F505" s="707"/>
      <c r="G505" s="14">
        <f t="shared" si="121"/>
        <v>0.02</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4.0000000000000565E-3</v>
      </c>
      <c r="F506" s="707"/>
      <c r="G506" s="14">
        <f t="shared" si="121"/>
        <v>0.02</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4.0000000000000565E-3</v>
      </c>
      <c r="F507" s="707"/>
      <c r="G507" s="14">
        <f t="shared" si="121"/>
        <v>0.02</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4.0000000000000565E-3</v>
      </c>
      <c r="F508" s="707"/>
      <c r="G508" s="14">
        <f t="shared" si="121"/>
        <v>0.02</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4.0000000000000565E-3</v>
      </c>
      <c r="F509" s="707"/>
      <c r="G509" s="14">
        <f t="shared" si="121"/>
        <v>0.02</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4.0000000000000565E-3</v>
      </c>
      <c r="F510" s="707"/>
      <c r="G510" s="14">
        <f t="shared" si="121"/>
        <v>0.02</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4.0000000000000565E-3</v>
      </c>
      <c r="F511" s="707"/>
      <c r="G511" s="14">
        <f t="shared" si="121"/>
        <v>0.02</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4.0000000000000565E-3</v>
      </c>
      <c r="F512" s="707"/>
      <c r="G512" s="14">
        <f t="shared" si="121"/>
        <v>0.02</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4.0000000000000565E-3</v>
      </c>
      <c r="F513" s="707"/>
      <c r="G513" s="14">
        <f t="shared" si="121"/>
        <v>0.02</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4.0000000000000565E-3</v>
      </c>
      <c r="F514" s="707"/>
      <c r="G514" s="14">
        <f t="shared" si="121"/>
        <v>0.02</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4.0000000000000565E-3</v>
      </c>
      <c r="F515" s="707"/>
      <c r="G515" s="14">
        <f t="shared" si="121"/>
        <v>0.02</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4.0000000000000565E-3</v>
      </c>
      <c r="F516" s="707"/>
      <c r="G516" s="14">
        <f t="shared" si="121"/>
        <v>0.02</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4.0000000000000565E-3</v>
      </c>
      <c r="F517" s="707"/>
      <c r="G517" s="14">
        <f t="shared" si="121"/>
        <v>0.02</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4.0000000000000565E-3</v>
      </c>
      <c r="F518" s="707"/>
      <c r="G518" s="14">
        <f t="shared" si="121"/>
        <v>0.02</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4.0000000000000565E-3</v>
      </c>
      <c r="F519" s="707"/>
      <c r="G519" s="14">
        <f t="shared" si="121"/>
        <v>0.02</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4.0000000000000565E-3</v>
      </c>
      <c r="F520" s="707"/>
      <c r="G520" s="14">
        <f t="shared" si="121"/>
        <v>0.02</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4.0000000000000565E-3</v>
      </c>
      <c r="F521" s="707"/>
      <c r="G521" s="14">
        <f t="shared" si="121"/>
        <v>0.02</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4.0000000000000565E-3</v>
      </c>
      <c r="F522" s="707"/>
      <c r="G522" s="14">
        <f t="shared" si="121"/>
        <v>0.02</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4.0000000000000565E-3</v>
      </c>
      <c r="F523" s="707"/>
      <c r="G523" s="14">
        <f t="shared" si="121"/>
        <v>0.02</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4.0000000000000565E-3</v>
      </c>
      <c r="F524" s="707"/>
      <c r="G524" s="14">
        <f t="shared" si="121"/>
        <v>0.02</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4.0000000000000565E-3</v>
      </c>
      <c r="F525" s="707"/>
      <c r="G525" s="14">
        <f t="shared" si="121"/>
        <v>0.02</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4.0000000000000565E-3</v>
      </c>
      <c r="F526" s="707"/>
      <c r="G526" s="14">
        <f t="shared" si="121"/>
        <v>0.02</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4.0000000000000565E-3</v>
      </c>
      <c r="F527" s="707"/>
      <c r="G527" s="14">
        <f t="shared" si="121"/>
        <v>0.02</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M15" sqref="M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3087</v>
      </c>
      <c r="D1" s="2379"/>
      <c r="E1" s="2380" t="s">
        <v>3328</v>
      </c>
      <c r="F1" s="1740" t="s">
        <v>2334</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1179069</v>
      </c>
      <c r="C2" s="163" t="str">
        <f>'数据-取费表'!B3</f>
        <v>元</v>
      </c>
      <c r="D2" s="2382" t="s">
        <v>1253</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f>ROUND(IF(D2="——",C49,IF(C2="万元",B2*10000/D3,B2/D3)),0)</f>
        <v>12886</v>
      </c>
      <c r="C3" s="379" t="s">
        <v>2335</v>
      </c>
      <c r="D3" s="378">
        <f>IF(C1="仅计算典型户型",'数据-取费表'!E5,'数据-取费表'!B5)</f>
        <v>91.5</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2336</v>
      </c>
      <c r="B4" s="381"/>
      <c r="C4" s="2994" t="s">
        <v>2337</v>
      </c>
      <c r="D4" s="2995"/>
      <c r="E4" s="2996" t="s">
        <v>2338</v>
      </c>
      <c r="F4" s="2997"/>
      <c r="G4" s="2994" t="s">
        <v>2339</v>
      </c>
      <c r="H4" s="2995"/>
      <c r="I4" s="2994" t="s">
        <v>2340</v>
      </c>
      <c r="J4" s="2995"/>
      <c r="K4" s="2393" t="s">
        <v>2341</v>
      </c>
      <c r="L4" s="1243"/>
      <c r="M4" s="1244"/>
      <c r="N4" s="1244"/>
      <c r="O4" s="1244"/>
      <c r="P4" s="2998" t="s">
        <v>2342</v>
      </c>
      <c r="Q4" s="2999"/>
      <c r="R4" s="3004" t="s">
        <v>2338</v>
      </c>
      <c r="S4" s="3005"/>
      <c r="T4" s="3004" t="s">
        <v>2339</v>
      </c>
      <c r="U4" s="3005"/>
      <c r="V4" s="3010" t="s">
        <v>2340</v>
      </c>
      <c r="W4" s="3010"/>
      <c r="X4" s="1900"/>
      <c r="Y4" s="3004" t="s">
        <v>2342</v>
      </c>
      <c r="Z4" s="3005"/>
      <c r="AA4" s="2991" t="s">
        <v>2338</v>
      </c>
      <c r="AB4" s="2991" t="s">
        <v>2339</v>
      </c>
      <c r="AC4" s="2991" t="s">
        <v>2340</v>
      </c>
    </row>
    <row r="5" spans="1:29" ht="15">
      <c r="A5" s="383"/>
      <c r="B5" s="384"/>
      <c r="C5" s="3013" t="s">
        <v>2343</v>
      </c>
      <c r="D5" s="3014"/>
      <c r="E5" s="3011" t="str">
        <f>案例!F7</f>
        <v>劲松6区</v>
      </c>
      <c r="F5" s="3012"/>
      <c r="G5" s="3013" t="str">
        <f>案例!F8</f>
        <v>劲松西口广和南里二条</v>
      </c>
      <c r="H5" s="3014"/>
      <c r="I5" s="3013" t="str">
        <f>案例!F9</f>
        <v>劲松三区</v>
      </c>
      <c r="J5" s="3014"/>
      <c r="K5" s="2394"/>
      <c r="L5" s="1243"/>
      <c r="M5" s="1244"/>
      <c r="N5" s="1244"/>
      <c r="O5" s="1244"/>
      <c r="P5" s="3000"/>
      <c r="Q5" s="3001"/>
      <c r="R5" s="3006"/>
      <c r="S5" s="3007"/>
      <c r="T5" s="3006"/>
      <c r="U5" s="3007"/>
      <c r="V5" s="3010"/>
      <c r="W5" s="3010"/>
      <c r="X5" s="1900"/>
      <c r="Y5" s="3006"/>
      <c r="Z5" s="3007"/>
      <c r="AA5" s="2992"/>
      <c r="AB5" s="2992"/>
      <c r="AC5" s="2992"/>
    </row>
    <row r="6" spans="1:29" ht="15.75" thickBot="1">
      <c r="A6" s="385"/>
      <c r="B6" s="386"/>
      <c r="C6" s="3015" t="s">
        <v>2347</v>
      </c>
      <c r="D6" s="3016"/>
      <c r="E6" s="3017" t="s">
        <v>2347</v>
      </c>
      <c r="F6" s="3018"/>
      <c r="G6" s="3015" t="s">
        <v>2347</v>
      </c>
      <c r="H6" s="3016"/>
      <c r="I6" s="3015" t="s">
        <v>2347</v>
      </c>
      <c r="J6" s="3016"/>
      <c r="K6" s="2394" t="s">
        <v>2348</v>
      </c>
      <c r="L6" s="1243"/>
      <c r="M6" s="1244"/>
      <c r="N6" s="1244"/>
      <c r="O6" s="1244"/>
      <c r="P6" s="3002"/>
      <c r="Q6" s="3003"/>
      <c r="R6" s="3006"/>
      <c r="S6" s="3007"/>
      <c r="T6" s="3008"/>
      <c r="U6" s="3009"/>
      <c r="V6" s="3010"/>
      <c r="W6" s="3010"/>
      <c r="X6" s="1900"/>
      <c r="Y6" s="3008"/>
      <c r="Z6" s="3009"/>
      <c r="AA6" s="2993"/>
      <c r="AB6" s="2993"/>
      <c r="AC6" s="2993"/>
    </row>
    <row r="7" spans="1:29" s="35" customFormat="1" ht="15.75" thickBot="1">
      <c r="A7" s="387" t="s">
        <v>2349</v>
      </c>
      <c r="B7" s="388"/>
      <c r="C7" s="389">
        <f>'数据-取费表'!B2</f>
        <v>39990</v>
      </c>
      <c r="D7" s="390">
        <v>100</v>
      </c>
      <c r="E7" s="391">
        <f>案例!BG7</f>
        <v>39871</v>
      </c>
      <c r="F7" s="392">
        <f>SUMIF(58:58,YEAR(E7)&amp;"-"&amp;MONTH(E7),59:59)</f>
        <v>100</v>
      </c>
      <c r="G7" s="391">
        <f>案例!BG8</f>
        <v>39903</v>
      </c>
      <c r="H7" s="390">
        <f>SUMIF(58:58,YEAR(G7)&amp;"-"&amp;MONTH(G7),59:59)</f>
        <v>100</v>
      </c>
      <c r="I7" s="391">
        <f>案例!BG9</f>
        <v>39972</v>
      </c>
      <c r="J7" s="390">
        <f>SUMIF(58:58,YEAR(I7)&amp;"-"&amp;MONTH(I7),59:59)</f>
        <v>100</v>
      </c>
      <c r="K7" s="2395"/>
      <c r="L7" s="1245"/>
      <c r="M7" s="1246"/>
      <c r="N7" s="1246"/>
      <c r="O7" s="1246"/>
      <c r="P7" s="3026" t="s">
        <v>2350</v>
      </c>
      <c r="Q7" s="3028"/>
      <c r="R7" s="749" t="s">
        <v>34</v>
      </c>
      <c r="S7" s="750">
        <f t="shared" ref="S7:S15" si="0">F7</f>
        <v>100</v>
      </c>
      <c r="T7" s="749" t="s">
        <v>34</v>
      </c>
      <c r="U7" s="750">
        <f t="shared" ref="U7:U15" si="1">H7</f>
        <v>100</v>
      </c>
      <c r="V7" s="749" t="s">
        <v>34</v>
      </c>
      <c r="W7" s="750">
        <f t="shared" ref="W7:W15" si="2">J7</f>
        <v>100</v>
      </c>
      <c r="X7" s="751"/>
      <c r="Y7" s="3026" t="s">
        <v>2350</v>
      </c>
      <c r="Z7" s="3027"/>
      <c r="AA7" s="752">
        <f>D7/F7</f>
        <v>1</v>
      </c>
      <c r="AB7" s="752">
        <f>D7/H7</f>
        <v>1</v>
      </c>
      <c r="AC7" s="752">
        <f>D7/J7</f>
        <v>1</v>
      </c>
    </row>
    <row r="8" spans="1:29" s="35" customFormat="1" ht="15.75" thickBot="1">
      <c r="A8" s="387" t="s">
        <v>2351</v>
      </c>
      <c r="B8" s="388"/>
      <c r="C8" s="394" t="s">
        <v>2352</v>
      </c>
      <c r="D8" s="390">
        <v>100</v>
      </c>
      <c r="E8" s="2396" t="s">
        <v>3090</v>
      </c>
      <c r="F8" s="392">
        <f>SUMIF(61:61,E8,62:62)-SUMIF(61:61,C8,62:62)+100</f>
        <v>100</v>
      </c>
      <c r="G8" s="394" t="s">
        <v>3090</v>
      </c>
      <c r="H8" s="390">
        <f>SUMIF(61:61,G8,62:62)-SUMIF(61:61,C8,62:62)+100</f>
        <v>100</v>
      </c>
      <c r="I8" s="2396" t="s">
        <v>3090</v>
      </c>
      <c r="J8" s="390">
        <f>SUMIF(61:61,I8,62:62)-SUMIF(61:61,C8,62:62)+100</f>
        <v>100</v>
      </c>
      <c r="K8" s="2395"/>
      <c r="L8" s="1245"/>
      <c r="M8" s="1246"/>
      <c r="N8" s="1246"/>
      <c r="O8" s="1246"/>
      <c r="P8" s="3026" t="s">
        <v>2353</v>
      </c>
      <c r="Q8" s="3027"/>
      <c r="R8" s="749" t="s">
        <v>34</v>
      </c>
      <c r="S8" s="750">
        <f t="shared" si="0"/>
        <v>100</v>
      </c>
      <c r="T8" s="749" t="s">
        <v>34</v>
      </c>
      <c r="U8" s="750">
        <f t="shared" si="1"/>
        <v>100</v>
      </c>
      <c r="V8" s="749" t="s">
        <v>34</v>
      </c>
      <c r="W8" s="750">
        <f t="shared" si="2"/>
        <v>100</v>
      </c>
      <c r="X8" s="751"/>
      <c r="Y8" s="3026" t="s">
        <v>2353</v>
      </c>
      <c r="Z8" s="3027"/>
      <c r="AA8" s="752">
        <f t="shared" ref="AA8:AA46" si="3">D8/F8</f>
        <v>1</v>
      </c>
      <c r="AB8" s="752">
        <f t="shared" ref="AB8:AB46" si="4">D8/H8</f>
        <v>1</v>
      </c>
      <c r="AC8" s="752">
        <f t="shared" ref="AC8:AC46" si="5">D8/J8</f>
        <v>1</v>
      </c>
    </row>
    <row r="9" spans="1:29" s="35" customFormat="1">
      <c r="A9" s="395" t="s">
        <v>2354</v>
      </c>
      <c r="B9" s="28" t="s">
        <v>2355</v>
      </c>
      <c r="C9" s="3199" t="s">
        <v>3089</v>
      </c>
      <c r="D9" s="51">
        <v>100</v>
      </c>
      <c r="E9" s="397" t="s">
        <v>3088</v>
      </c>
      <c r="F9" s="398">
        <f>SUMIF(63:63,E9,64:64)-SUMIF(63:63,C9,64:64)+100</f>
        <v>100</v>
      </c>
      <c r="G9" s="399" t="s">
        <v>3088</v>
      </c>
      <c r="H9" s="51">
        <f>SUMIF(63:63,G9,64:64)-SUMIF(63:63,C9,64:64)+100</f>
        <v>100</v>
      </c>
      <c r="I9" s="399" t="s">
        <v>3088</v>
      </c>
      <c r="J9" s="51">
        <f>SUMIF(63:63,I9,64:64)-SUMIF(63:63,C9,64:64)+100</f>
        <v>100</v>
      </c>
      <c r="K9" s="2395"/>
      <c r="L9" s="1245"/>
      <c r="M9" s="1246"/>
      <c r="N9" s="1246"/>
      <c r="O9" s="1246"/>
      <c r="P9" s="3029" t="s">
        <v>2356</v>
      </c>
      <c r="Q9" s="1887" t="str">
        <f t="shared" ref="Q9:Q15" si="6">B9</f>
        <v>用途</v>
      </c>
      <c r="R9" s="749" t="s">
        <v>25</v>
      </c>
      <c r="S9" s="750">
        <f t="shared" si="0"/>
        <v>100</v>
      </c>
      <c r="T9" s="749" t="s">
        <v>25</v>
      </c>
      <c r="U9" s="750">
        <f t="shared" si="1"/>
        <v>100</v>
      </c>
      <c r="V9" s="749" t="s">
        <v>25</v>
      </c>
      <c r="W9" s="750">
        <f t="shared" si="2"/>
        <v>100</v>
      </c>
      <c r="X9" s="751"/>
      <c r="Y9" s="2842" t="s">
        <v>2357</v>
      </c>
      <c r="Z9" s="23" t="str">
        <f t="shared" ref="Z9:Z15" si="7">Q9</f>
        <v>用途</v>
      </c>
      <c r="AA9" s="752">
        <f t="shared" si="3"/>
        <v>1</v>
      </c>
      <c r="AB9" s="752">
        <f t="shared" si="4"/>
        <v>1</v>
      </c>
      <c r="AC9" s="752">
        <f t="shared" si="5"/>
        <v>1</v>
      </c>
    </row>
    <row r="10" spans="1:29" s="407" customFormat="1" ht="27.75" thickBot="1">
      <c r="A10" s="401"/>
      <c r="B10" s="402" t="s">
        <v>2358</v>
      </c>
      <c r="C10" s="403" t="s">
        <v>3091</v>
      </c>
      <c r="D10" s="52">
        <v>100</v>
      </c>
      <c r="E10" s="404" t="s">
        <v>3327</v>
      </c>
      <c r="F10" s="405">
        <f>SUMIF(65:65,E10,66:66)-SUMIF(65:65,C10,66:66)+100</f>
        <v>95</v>
      </c>
      <c r="G10" s="403" t="s">
        <v>3327</v>
      </c>
      <c r="H10" s="52">
        <f>SUMIF(65:65,G10,66:66)-SUMIF(65:65,C10,66:66)+100</f>
        <v>95</v>
      </c>
      <c r="I10" s="403" t="s">
        <v>3327</v>
      </c>
      <c r="J10" s="52">
        <f>SUMIF(65:65,I10,66:66)-SUMIF(65:65,C10,66:66)+100</f>
        <v>95</v>
      </c>
      <c r="K10" s="406">
        <v>5</v>
      </c>
      <c r="L10" s="1248"/>
      <c r="M10" s="1249"/>
      <c r="N10" s="1249"/>
      <c r="O10" s="1249"/>
      <c r="P10" s="3029"/>
      <c r="Q10" s="1887" t="str">
        <f t="shared" si="6"/>
        <v>土地使用年限（年）</v>
      </c>
      <c r="R10" s="749" t="s">
        <v>25</v>
      </c>
      <c r="S10" s="750">
        <f t="shared" si="0"/>
        <v>95</v>
      </c>
      <c r="T10" s="749" t="s">
        <v>25</v>
      </c>
      <c r="U10" s="750">
        <f t="shared" si="1"/>
        <v>95</v>
      </c>
      <c r="V10" s="749" t="s">
        <v>25</v>
      </c>
      <c r="W10" s="750">
        <f t="shared" si="2"/>
        <v>95</v>
      </c>
      <c r="X10" s="751"/>
      <c r="Y10" s="2842"/>
      <c r="Z10" s="23" t="str">
        <f t="shared" si="7"/>
        <v>土地使用年限（年）</v>
      </c>
      <c r="AA10" s="752">
        <f t="shared" si="3"/>
        <v>1.0526315789473684</v>
      </c>
      <c r="AB10" s="752">
        <f t="shared" si="4"/>
        <v>1.0526315789473684</v>
      </c>
      <c r="AC10" s="752">
        <f t="shared" si="5"/>
        <v>1.0526315789473684</v>
      </c>
    </row>
    <row r="11" spans="1:29" ht="15" hidden="1">
      <c r="A11" s="408"/>
      <c r="B11" s="402" t="s">
        <v>2359</v>
      </c>
      <c r="C11" s="409">
        <v>6.4</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29"/>
      <c r="Q11" s="1887" t="str">
        <f t="shared" si="6"/>
        <v>容积率</v>
      </c>
      <c r="R11" s="749" t="s">
        <v>28</v>
      </c>
      <c r="S11" s="750">
        <f t="shared" si="0"/>
        <v>100</v>
      </c>
      <c r="T11" s="749" t="s">
        <v>28</v>
      </c>
      <c r="U11" s="750">
        <f t="shared" si="1"/>
        <v>100</v>
      </c>
      <c r="V11" s="749" t="s">
        <v>28</v>
      </c>
      <c r="W11" s="750">
        <f t="shared" si="2"/>
        <v>100</v>
      </c>
      <c r="X11" s="751"/>
      <c r="Y11" s="2842"/>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29"/>
      <c r="Q12" s="1887">
        <f t="shared" si="6"/>
        <v>111</v>
      </c>
      <c r="R12" s="749" t="s">
        <v>28</v>
      </c>
      <c r="S12" s="750">
        <f t="shared" si="0"/>
        <v>100</v>
      </c>
      <c r="T12" s="749" t="s">
        <v>28</v>
      </c>
      <c r="U12" s="750">
        <f t="shared" si="1"/>
        <v>100</v>
      </c>
      <c r="V12" s="749" t="s">
        <v>28</v>
      </c>
      <c r="W12" s="750">
        <f t="shared" si="2"/>
        <v>100</v>
      </c>
      <c r="X12" s="751"/>
      <c r="Y12" s="2842"/>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29"/>
      <c r="Q13" s="1887">
        <f t="shared" si="6"/>
        <v>111</v>
      </c>
      <c r="R13" s="749" t="s">
        <v>28</v>
      </c>
      <c r="S13" s="750">
        <f t="shared" si="0"/>
        <v>100</v>
      </c>
      <c r="T13" s="749" t="s">
        <v>28</v>
      </c>
      <c r="U13" s="750">
        <f t="shared" si="1"/>
        <v>100</v>
      </c>
      <c r="V13" s="749" t="s">
        <v>28</v>
      </c>
      <c r="W13" s="750">
        <f t="shared" si="2"/>
        <v>100</v>
      </c>
      <c r="X13" s="751"/>
      <c r="Y13" s="2842"/>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29"/>
      <c r="Q14" s="1887">
        <f t="shared" si="6"/>
        <v>111</v>
      </c>
      <c r="R14" s="749" t="s">
        <v>28</v>
      </c>
      <c r="S14" s="750">
        <f t="shared" si="0"/>
        <v>100</v>
      </c>
      <c r="T14" s="749" t="s">
        <v>28</v>
      </c>
      <c r="U14" s="750">
        <f t="shared" si="1"/>
        <v>100</v>
      </c>
      <c r="V14" s="749" t="s">
        <v>28</v>
      </c>
      <c r="W14" s="750">
        <f t="shared" si="2"/>
        <v>100</v>
      </c>
      <c r="X14" s="751"/>
      <c r="Y14" s="2842"/>
      <c r="Z14" s="23">
        <f t="shared" si="7"/>
        <v>111</v>
      </c>
      <c r="AA14" s="752">
        <f t="shared" si="3"/>
        <v>1</v>
      </c>
      <c r="AB14" s="752">
        <f t="shared" si="4"/>
        <v>1</v>
      </c>
      <c r="AC14" s="752">
        <f t="shared" si="5"/>
        <v>1</v>
      </c>
    </row>
    <row r="15" spans="1:29" ht="76.5" customHeight="1">
      <c r="A15" s="419" t="s">
        <v>2360</v>
      </c>
      <c r="B15" s="26" t="s">
        <v>1738</v>
      </c>
      <c r="C15" s="2401" t="str">
        <f>估价对象房地状况!C3</f>
        <v>估价对象周边有劲松二区、广和南里二条、劲松六区等，综合评价居住社区成熟度较好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2" t="s">
        <v>2361</v>
      </c>
      <c r="Q15" s="1899" t="str">
        <f t="shared" si="6"/>
        <v>居住社区成熟度</v>
      </c>
      <c r="R15" s="753" t="s">
        <v>28</v>
      </c>
      <c r="S15" s="754">
        <f t="shared" si="0"/>
        <v>100</v>
      </c>
      <c r="T15" s="753" t="s">
        <v>28</v>
      </c>
      <c r="U15" s="754">
        <f t="shared" si="1"/>
        <v>100</v>
      </c>
      <c r="V15" s="753" t="s">
        <v>28</v>
      </c>
      <c r="W15" s="754">
        <f t="shared" si="2"/>
        <v>100</v>
      </c>
      <c r="X15" s="1900"/>
      <c r="Y15" s="3019" t="s">
        <v>2361</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33"/>
      <c r="Q16" s="1899"/>
      <c r="R16" s="753"/>
      <c r="S16" s="754"/>
      <c r="T16" s="753"/>
      <c r="U16" s="754"/>
      <c r="V16" s="753"/>
      <c r="W16" s="754"/>
      <c r="X16" s="1900"/>
      <c r="Y16" s="3020"/>
      <c r="Z16" s="1902"/>
      <c r="AA16" s="1903">
        <v>1</v>
      </c>
      <c r="AB16" s="1903">
        <v>1</v>
      </c>
      <c r="AC16" s="1903">
        <v>1</v>
      </c>
    </row>
    <row r="17" spans="1:29" ht="69.75" customHeight="1">
      <c r="A17" s="408"/>
      <c r="B17" s="431" t="s">
        <v>1749</v>
      </c>
      <c r="C17" s="2404" t="str">
        <f>估价对象房地状况!C6</f>
        <v>估价对象周边有29、34、35路等多条公交线路，综合评价交通便捷度较好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3"/>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5" t="s">
        <v>30</v>
      </c>
      <c r="H18" s="427"/>
      <c r="I18" s="1468" t="s">
        <v>30</v>
      </c>
      <c r="J18" s="427"/>
      <c r="K18" s="2403"/>
      <c r="L18" s="1253"/>
      <c r="M18" s="1244"/>
      <c r="N18" s="1244"/>
      <c r="O18" s="1244"/>
      <c r="P18" s="3033"/>
      <c r="Q18" s="1899"/>
      <c r="R18" s="753"/>
      <c r="S18" s="754"/>
      <c r="T18" s="753"/>
      <c r="U18" s="754"/>
      <c r="V18" s="753"/>
      <c r="W18" s="754"/>
      <c r="X18" s="1900"/>
      <c r="Y18" s="3020"/>
      <c r="Z18" s="1902"/>
      <c r="AA18" s="1903">
        <v>1</v>
      </c>
      <c r="AB18" s="1903">
        <v>1</v>
      </c>
      <c r="AC18" s="1903">
        <v>1</v>
      </c>
    </row>
    <row r="19" spans="1:29" ht="42.75">
      <c r="A19" s="408"/>
      <c r="B19" s="431" t="s">
        <v>1747</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3"/>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33"/>
      <c r="Q20" s="1899"/>
      <c r="R20" s="753"/>
      <c r="S20" s="754"/>
      <c r="T20" s="753"/>
      <c r="U20" s="754"/>
      <c r="V20" s="753"/>
      <c r="W20" s="754"/>
      <c r="X20" s="1900"/>
      <c r="Y20" s="3020"/>
      <c r="Z20" s="1902"/>
      <c r="AA20" s="1903">
        <v>1</v>
      </c>
      <c r="AB20" s="1903">
        <v>1</v>
      </c>
      <c r="AC20" s="1903">
        <v>1</v>
      </c>
    </row>
    <row r="21" spans="1:29" ht="28.5">
      <c r="A21" s="408"/>
      <c r="B21" s="2406" t="s">
        <v>1750</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3"/>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6"/>
      <c r="C22" s="437" t="s">
        <v>3304</v>
      </c>
      <c r="D22" s="427"/>
      <c r="E22" s="426" t="s">
        <v>3304</v>
      </c>
      <c r="F22" s="429"/>
      <c r="G22" s="426" t="s">
        <v>3304</v>
      </c>
      <c r="H22" s="427"/>
      <c r="I22" s="426" t="s">
        <v>3304</v>
      </c>
      <c r="J22" s="427"/>
      <c r="K22" s="2407"/>
      <c r="L22" s="1253"/>
      <c r="M22" s="1244"/>
      <c r="N22" s="1244"/>
      <c r="O22" s="1244"/>
      <c r="P22" s="3033"/>
      <c r="Q22" s="1899"/>
      <c r="R22" s="753"/>
      <c r="S22" s="754"/>
      <c r="T22" s="753"/>
      <c r="U22" s="754"/>
      <c r="V22" s="753"/>
      <c r="W22" s="754"/>
      <c r="X22" s="1900"/>
      <c r="Y22" s="3020"/>
      <c r="Z22" s="1902"/>
      <c r="AA22" s="1903">
        <v>1</v>
      </c>
      <c r="AB22" s="1903">
        <v>1</v>
      </c>
      <c r="AC22" s="1903">
        <v>1</v>
      </c>
    </row>
    <row r="23" spans="1:29" ht="57">
      <c r="A23" s="408"/>
      <c r="B23" s="431" t="s">
        <v>1754</v>
      </c>
      <c r="C23" s="2404" t="str">
        <f>估价对象房地状况!C9</f>
        <v>区域自然环境：龙潭湖公园、通惠河；人文环境；综合评价环境状况一般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3"/>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2" t="s">
        <v>31</v>
      </c>
      <c r="H24" s="427"/>
      <c r="I24" s="428" t="s">
        <v>31</v>
      </c>
      <c r="J24" s="427"/>
      <c r="K24" s="2403"/>
      <c r="L24" s="1253"/>
      <c r="M24" s="1244"/>
      <c r="N24" s="1244"/>
      <c r="O24" s="1244"/>
      <c r="P24" s="3033"/>
      <c r="Q24" s="1899"/>
      <c r="R24" s="753"/>
      <c r="S24" s="754"/>
      <c r="T24" s="753"/>
      <c r="U24" s="754"/>
      <c r="V24" s="753"/>
      <c r="W24" s="754"/>
      <c r="X24" s="1900"/>
      <c r="Y24" s="3020"/>
      <c r="Z24" s="1902"/>
      <c r="AA24" s="1903">
        <v>1</v>
      </c>
      <c r="AB24" s="1903">
        <v>1</v>
      </c>
      <c r="AC24" s="1903">
        <v>1</v>
      </c>
    </row>
    <row r="25" spans="1:29" ht="15" hidden="1">
      <c r="A25" s="408"/>
      <c r="B25" s="402" t="s">
        <v>2362</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33"/>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2363</v>
      </c>
      <c r="C26" s="441" t="s">
        <v>3288</v>
      </c>
      <c r="D26" s="415">
        <v>100</v>
      </c>
      <c r="E26" s="2408" t="s">
        <v>3284</v>
      </c>
      <c r="F26" s="442">
        <f>SUMIF(88:88,E26,89:89)-SUMIF(88:88,C26,89:89)+100</f>
        <v>103.5</v>
      </c>
      <c r="G26" s="2409" t="s">
        <v>3286</v>
      </c>
      <c r="H26" s="415">
        <f>SUMIF(88:88,G26,89:89)-SUMIF(88:88,C26,89:89)+100</f>
        <v>102</v>
      </c>
      <c r="I26" s="2408" t="s">
        <v>3284</v>
      </c>
      <c r="J26" s="415">
        <f>SUMIF(88:88,I26,89:89)-SUMIF(88:88,C26,89:89)+100</f>
        <v>103.5</v>
      </c>
      <c r="K26" s="406">
        <v>0.5</v>
      </c>
      <c r="L26" s="1253"/>
      <c r="M26" s="1244"/>
      <c r="N26" s="1244"/>
      <c r="O26" s="1244"/>
      <c r="P26" s="3033"/>
      <c r="Q26" s="1899" t="str">
        <f t="shared" si="11"/>
        <v>朝向</v>
      </c>
      <c r="R26" s="753" t="s">
        <v>28</v>
      </c>
      <c r="S26" s="754">
        <f>F26</f>
        <v>103.5</v>
      </c>
      <c r="T26" s="753" t="s">
        <v>28</v>
      </c>
      <c r="U26" s="754">
        <f>H26</f>
        <v>102</v>
      </c>
      <c r="V26" s="753" t="s">
        <v>28</v>
      </c>
      <c r="W26" s="754">
        <f>J26</f>
        <v>103.5</v>
      </c>
      <c r="X26" s="1900"/>
      <c r="Y26" s="3020"/>
      <c r="Z26" s="1902" t="str">
        <f>Q26</f>
        <v>朝向</v>
      </c>
      <c r="AA26" s="1903">
        <f t="shared" si="3"/>
        <v>0.96618357487922701</v>
      </c>
      <c r="AB26" s="1903">
        <f t="shared" si="4"/>
        <v>0.98039215686274506</v>
      </c>
      <c r="AC26" s="1903">
        <f t="shared" si="5"/>
        <v>0.96618357487922701</v>
      </c>
    </row>
    <row r="27" spans="1:29" s="35" customFormat="1" ht="15">
      <c r="A27" s="411"/>
      <c r="B27" s="2397" t="s">
        <v>2364</v>
      </c>
      <c r="C27" s="3220" t="s">
        <v>3290</v>
      </c>
      <c r="D27" s="443">
        <v>100</v>
      </c>
      <c r="E27" s="3224" t="s">
        <v>3320</v>
      </c>
      <c r="F27" s="445">
        <f>SUMIF(90:90,E27,91:91)-SUMIF(90:90,C27,91:91)+100</f>
        <v>100</v>
      </c>
      <c r="G27" s="3225" t="s">
        <v>3290</v>
      </c>
      <c r="H27" s="443">
        <f>SUMIF(90:90,G27,91:91)-SUMIF(90:90,C27,91:91)+100</f>
        <v>100</v>
      </c>
      <c r="I27" s="3224" t="s">
        <v>3290</v>
      </c>
      <c r="J27" s="443">
        <f>SUMIF(90:90,I27,91:91)-SUMIF(90:90,C27,91:91)+100</f>
        <v>100</v>
      </c>
      <c r="K27" s="2398"/>
      <c r="L27" s="1245"/>
      <c r="M27" s="1246"/>
      <c r="N27" s="1246"/>
      <c r="O27" s="1246"/>
      <c r="P27" s="3033"/>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3217" t="s">
        <v>3296</v>
      </c>
      <c r="C28" s="3221" t="s">
        <v>3295</v>
      </c>
      <c r="D28" s="415">
        <v>100</v>
      </c>
      <c r="E28" s="3221" t="s">
        <v>3292</v>
      </c>
      <c r="F28" s="442">
        <f>SUMIF(92:92,E28,93:93)-SUMIF(92:92,C28,93:93)+100</f>
        <v>100</v>
      </c>
      <c r="G28" s="3221" t="s">
        <v>3293</v>
      </c>
      <c r="H28" s="415">
        <f>SUMIF(92:92,G28,93:93)-SUMIF(92:92,C28,93:93)+100</f>
        <v>100</v>
      </c>
      <c r="I28" s="3221" t="s">
        <v>3294</v>
      </c>
      <c r="J28" s="415">
        <f>SUMIF(92:92,I28,93:93)-SUMIF(92:92,C28,93:93)+100</f>
        <v>96</v>
      </c>
      <c r="K28" s="2398"/>
      <c r="L28" s="1253"/>
      <c r="M28" s="1244"/>
      <c r="N28" s="1244"/>
      <c r="O28" s="1244"/>
      <c r="P28" s="3033"/>
      <c r="Q28" s="1899" t="str">
        <f t="shared" si="11"/>
        <v>楼层</v>
      </c>
      <c r="R28" s="753" t="s">
        <v>28</v>
      </c>
      <c r="S28" s="754">
        <f t="shared" ref="S28:S46" si="12">F28</f>
        <v>100</v>
      </c>
      <c r="T28" s="753" t="s">
        <v>28</v>
      </c>
      <c r="U28" s="754">
        <f t="shared" ref="U28:U46" si="13">H28</f>
        <v>100</v>
      </c>
      <c r="V28" s="753" t="s">
        <v>28</v>
      </c>
      <c r="W28" s="754">
        <f t="shared" ref="W28:W46" si="14">J28</f>
        <v>96</v>
      </c>
      <c r="X28" s="1900"/>
      <c r="Y28" s="3020"/>
      <c r="Z28" s="1902" t="str">
        <f t="shared" ref="Z28:Z46" si="15">Q28</f>
        <v>楼层</v>
      </c>
      <c r="AA28" s="1903">
        <f t="shared" si="3"/>
        <v>1</v>
      </c>
      <c r="AB28" s="1903">
        <f t="shared" si="4"/>
        <v>1</v>
      </c>
      <c r="AC28" s="1903">
        <f t="shared" si="5"/>
        <v>1.0416666666666667</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33"/>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33"/>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33"/>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2365</v>
      </c>
      <c r="B32" s="28" t="s">
        <v>2366</v>
      </c>
      <c r="C32" s="2411" t="s">
        <v>3325</v>
      </c>
      <c r="D32" s="448">
        <v>100</v>
      </c>
      <c r="E32" s="2412" t="s">
        <v>3321</v>
      </c>
      <c r="F32" s="442">
        <f>SUMIF(100:100,E32,101:101)-SUMIF(100:100,C32,101:101)+100</f>
        <v>102</v>
      </c>
      <c r="G32" s="2411" t="s">
        <v>3323</v>
      </c>
      <c r="H32" s="448">
        <f>SUMIF(100:100,G32,101:101)-SUMIF(100:100,C32,101:101)+100</f>
        <v>101</v>
      </c>
      <c r="I32" s="2412" t="s">
        <v>3321</v>
      </c>
      <c r="J32" s="415">
        <f>SUMIF(100:100,I32,101:101)-SUMIF(100:100,C32,101:101)+100</f>
        <v>102</v>
      </c>
      <c r="K32" s="406">
        <v>1</v>
      </c>
      <c r="L32" s="1253"/>
      <c r="M32" s="1244"/>
      <c r="N32" s="1244"/>
      <c r="O32" s="1244"/>
      <c r="P32" s="3021" t="s">
        <v>2367</v>
      </c>
      <c r="Q32" s="1899" t="str">
        <f t="shared" si="11"/>
        <v>建筑类型</v>
      </c>
      <c r="R32" s="753" t="s">
        <v>28</v>
      </c>
      <c r="S32" s="754">
        <f t="shared" si="12"/>
        <v>102</v>
      </c>
      <c r="T32" s="753" t="s">
        <v>28</v>
      </c>
      <c r="U32" s="754">
        <f t="shared" si="13"/>
        <v>101</v>
      </c>
      <c r="V32" s="753" t="s">
        <v>28</v>
      </c>
      <c r="W32" s="754">
        <f t="shared" si="14"/>
        <v>102</v>
      </c>
      <c r="X32" s="1900"/>
      <c r="Y32" s="3024" t="s">
        <v>2367</v>
      </c>
      <c r="Z32" s="1902" t="str">
        <f t="shared" si="15"/>
        <v>建筑类型</v>
      </c>
      <c r="AA32" s="1903">
        <f t="shared" si="3"/>
        <v>0.98039215686274506</v>
      </c>
      <c r="AB32" s="1903">
        <f t="shared" si="4"/>
        <v>0.99009900990099009</v>
      </c>
      <c r="AC32" s="1903">
        <f t="shared" si="5"/>
        <v>0.98039215686274506</v>
      </c>
    </row>
    <row r="33" spans="1:29" s="452" customFormat="1" ht="15">
      <c r="A33" s="449"/>
      <c r="B33" s="402" t="s">
        <v>2368</v>
      </c>
      <c r="C33" s="450">
        <v>91.5</v>
      </c>
      <c r="D33" s="52">
        <v>100</v>
      </c>
      <c r="E33" s="410">
        <f>案例!L7</f>
        <v>57.02</v>
      </c>
      <c r="F33" s="405">
        <f>LOOKUP(E33,103:103,104:104)-LOOKUP(C33,103:103,104:104)+100</f>
        <v>103</v>
      </c>
      <c r="G33" s="409">
        <f>案例!L8</f>
        <v>61.59</v>
      </c>
      <c r="H33" s="52">
        <f>LOOKUP(G33,103:103,104:104)-LOOKUP(C33,103:103,104:104)+100</f>
        <v>101.5</v>
      </c>
      <c r="I33" s="410">
        <f>案例!L9</f>
        <v>60.69</v>
      </c>
      <c r="J33" s="52">
        <f>LOOKUP(I33,103:103,104:104)-LOOKUP(C33,103:103,104:104)+100</f>
        <v>101.5</v>
      </c>
      <c r="K33" s="2398"/>
      <c r="L33" s="1251"/>
      <c r="M33" s="1254"/>
      <c r="N33" s="1254"/>
      <c r="O33" s="1254"/>
      <c r="P33" s="3022"/>
      <c r="Q33" s="755" t="str">
        <f t="shared" si="11"/>
        <v>项目建筑规模</v>
      </c>
      <c r="R33" s="756" t="s">
        <v>28</v>
      </c>
      <c r="S33" s="757">
        <f t="shared" si="12"/>
        <v>103</v>
      </c>
      <c r="T33" s="756" t="s">
        <v>28</v>
      </c>
      <c r="U33" s="757">
        <f t="shared" si="13"/>
        <v>101.5</v>
      </c>
      <c r="V33" s="756" t="s">
        <v>28</v>
      </c>
      <c r="W33" s="757">
        <f t="shared" si="14"/>
        <v>101.5</v>
      </c>
      <c r="X33" s="758"/>
      <c r="Y33" s="3024"/>
      <c r="Z33" s="759" t="str">
        <f t="shared" si="15"/>
        <v>项目建筑规模</v>
      </c>
      <c r="AA33" s="1903">
        <f t="shared" si="3"/>
        <v>0.970873786407767</v>
      </c>
      <c r="AB33" s="1903">
        <f t="shared" si="4"/>
        <v>0.98522167487684731</v>
      </c>
      <c r="AC33" s="1903">
        <f t="shared" si="5"/>
        <v>0.98522167487684731</v>
      </c>
    </row>
    <row r="34" spans="1:29" ht="15">
      <c r="A34" s="453"/>
      <c r="B34" s="402" t="s">
        <v>2369</v>
      </c>
      <c r="C34" s="2413" t="s">
        <v>3312</v>
      </c>
      <c r="D34" s="415">
        <v>100</v>
      </c>
      <c r="E34" s="2414" t="s">
        <v>3314</v>
      </c>
      <c r="F34" s="442">
        <f>SUMIF(105:105,E34,106:106)-SUMIF(105:105,C34,106:106)+100</f>
        <v>96</v>
      </c>
      <c r="G34" s="2413" t="s">
        <v>3312</v>
      </c>
      <c r="H34" s="415">
        <f>SUMIF(105:105,G34,106:106)-SUMIF(105:105,C34,106:106)+100</f>
        <v>100</v>
      </c>
      <c r="I34" s="2414" t="s">
        <v>3314</v>
      </c>
      <c r="J34" s="415">
        <f>SUMIF(105:105,I34,106:106)-SUMIF(105:105,C34,106:106)+100</f>
        <v>96</v>
      </c>
      <c r="K34" s="406">
        <v>4</v>
      </c>
      <c r="L34" s="1253"/>
      <c r="M34" s="1244"/>
      <c r="N34" s="1244"/>
      <c r="O34" s="1244"/>
      <c r="P34" s="3022"/>
      <c r="Q34" s="1899" t="str">
        <f t="shared" si="11"/>
        <v>建筑结构</v>
      </c>
      <c r="R34" s="753" t="s">
        <v>28</v>
      </c>
      <c r="S34" s="754">
        <f t="shared" si="12"/>
        <v>96</v>
      </c>
      <c r="T34" s="753" t="s">
        <v>28</v>
      </c>
      <c r="U34" s="754">
        <f t="shared" si="13"/>
        <v>100</v>
      </c>
      <c r="V34" s="753" t="s">
        <v>28</v>
      </c>
      <c r="W34" s="754">
        <f t="shared" si="14"/>
        <v>96</v>
      </c>
      <c r="X34" s="1900"/>
      <c r="Y34" s="3024"/>
      <c r="Z34" s="1902" t="str">
        <f t="shared" si="15"/>
        <v>建筑结构</v>
      </c>
      <c r="AA34" s="1903">
        <f t="shared" si="3"/>
        <v>1.0416666666666667</v>
      </c>
      <c r="AB34" s="1903">
        <f t="shared" si="4"/>
        <v>1</v>
      </c>
      <c r="AC34" s="1903">
        <f t="shared" si="5"/>
        <v>1.0416666666666667</v>
      </c>
    </row>
    <row r="35" spans="1:29" ht="15">
      <c r="A35" s="453"/>
      <c r="B35" s="402" t="s">
        <v>2370</v>
      </c>
      <c r="C35" s="2409" t="s">
        <v>3308</v>
      </c>
      <c r="D35" s="415">
        <v>100</v>
      </c>
      <c r="E35" s="2408" t="s">
        <v>3310</v>
      </c>
      <c r="F35" s="442">
        <f>SUMIF(107:107,E35,108:108)-SUMIF(107:107,C35,108:108)+100</f>
        <v>98</v>
      </c>
      <c r="G35" s="2409" t="s">
        <v>3310</v>
      </c>
      <c r="H35" s="415">
        <f>SUMIF(107:107,G35,108:108)-SUMIF(107:107,C35,108:108)+100</f>
        <v>98</v>
      </c>
      <c r="I35" s="2408" t="s">
        <v>3310</v>
      </c>
      <c r="J35" s="415">
        <f>SUMIF(107:107,I35,108:108)-SUMIF(107:107,C35,108:108)+100</f>
        <v>98</v>
      </c>
      <c r="K35" s="406">
        <v>2</v>
      </c>
      <c r="L35" s="1253"/>
      <c r="M35" s="1244"/>
      <c r="N35" s="1244"/>
      <c r="O35" s="1244"/>
      <c r="P35" s="3022"/>
      <c r="Q35" s="1899" t="str">
        <f t="shared" si="11"/>
        <v>建筑品质</v>
      </c>
      <c r="R35" s="753" t="s">
        <v>28</v>
      </c>
      <c r="S35" s="754">
        <f t="shared" si="12"/>
        <v>98</v>
      </c>
      <c r="T35" s="753" t="s">
        <v>28</v>
      </c>
      <c r="U35" s="754">
        <f t="shared" si="13"/>
        <v>98</v>
      </c>
      <c r="V35" s="753" t="s">
        <v>28</v>
      </c>
      <c r="W35" s="754">
        <f t="shared" si="14"/>
        <v>98</v>
      </c>
      <c r="X35" s="1900"/>
      <c r="Y35" s="3024"/>
      <c r="Z35" s="1902" t="str">
        <f t="shared" si="15"/>
        <v>建筑品质</v>
      </c>
      <c r="AA35" s="1903">
        <f t="shared" si="3"/>
        <v>1.0204081632653061</v>
      </c>
      <c r="AB35" s="1903">
        <f t="shared" si="4"/>
        <v>1.0204081632653061</v>
      </c>
      <c r="AC35" s="1903">
        <f t="shared" si="5"/>
        <v>1.0204081632653061</v>
      </c>
    </row>
    <row r="36" spans="1:29" ht="15">
      <c r="A36" s="453"/>
      <c r="B36" s="402" t="s">
        <v>2371</v>
      </c>
      <c r="C36" s="2409" t="s">
        <v>3300</v>
      </c>
      <c r="D36" s="415">
        <v>100</v>
      </c>
      <c r="E36" s="2408" t="s">
        <v>3298</v>
      </c>
      <c r="F36" s="442">
        <f>SUMIF(109:109,E36,110:110)-SUMIF(109:109,C36,110:110)+100</f>
        <v>98</v>
      </c>
      <c r="G36" s="2409" t="s">
        <v>3298</v>
      </c>
      <c r="H36" s="415">
        <f>SUMIF(109:109,G36,110:110)-SUMIF(109:109,C36,110:110)+100</f>
        <v>98</v>
      </c>
      <c r="I36" s="2408" t="s">
        <v>3298</v>
      </c>
      <c r="J36" s="415">
        <f>SUMIF(109:109,I36,110:110)-SUMIF(109:109,C36,110:110)+100</f>
        <v>98</v>
      </c>
      <c r="K36" s="406">
        <v>2</v>
      </c>
      <c r="L36" s="1253"/>
      <c r="M36" s="1244"/>
      <c r="N36" s="1244"/>
      <c r="O36" s="1244"/>
      <c r="P36" s="3022"/>
      <c r="Q36" s="1899" t="str">
        <f t="shared" si="11"/>
        <v>公共部分装修</v>
      </c>
      <c r="R36" s="753" t="s">
        <v>28</v>
      </c>
      <c r="S36" s="754">
        <f t="shared" si="12"/>
        <v>98</v>
      </c>
      <c r="T36" s="753" t="s">
        <v>28</v>
      </c>
      <c r="U36" s="754">
        <f t="shared" si="13"/>
        <v>98</v>
      </c>
      <c r="V36" s="753" t="s">
        <v>28</v>
      </c>
      <c r="W36" s="754">
        <f t="shared" si="14"/>
        <v>98</v>
      </c>
      <c r="X36" s="1900"/>
      <c r="Y36" s="3024"/>
      <c r="Z36" s="1902" t="str">
        <f t="shared" si="15"/>
        <v>公共部分装修</v>
      </c>
      <c r="AA36" s="1903">
        <f t="shared" si="3"/>
        <v>1.0204081632653061</v>
      </c>
      <c r="AB36" s="1903">
        <f t="shared" si="4"/>
        <v>1.0204081632653061</v>
      </c>
      <c r="AC36" s="1903">
        <f t="shared" si="5"/>
        <v>1.0204081632653061</v>
      </c>
    </row>
    <row r="37" spans="1:29" s="35" customFormat="1" ht="15">
      <c r="A37" s="454"/>
      <c r="B37" s="402" t="s">
        <v>2372</v>
      </c>
      <c r="C37" s="455">
        <v>1</v>
      </c>
      <c r="D37" s="52">
        <v>100</v>
      </c>
      <c r="E37" s="456">
        <v>0.75</v>
      </c>
      <c r="F37" s="405">
        <f>LOOKUP(E37,112:112,113:113)-LOOKUP(C37,112:112,113:113)+100</f>
        <v>96</v>
      </c>
      <c r="G37" s="457">
        <v>0.85</v>
      </c>
      <c r="H37" s="52">
        <f>LOOKUP(G37,112:112,113:113)-LOOKUP(C37,112:112,113:113)+100</f>
        <v>98</v>
      </c>
      <c r="I37" s="456">
        <v>0.75</v>
      </c>
      <c r="J37" s="52">
        <f>LOOKUP(I37,112:112,113:113)-LOOKUP(C37,112:112,113:113)+100</f>
        <v>96</v>
      </c>
      <c r="K37" s="406">
        <v>2</v>
      </c>
      <c r="L37" s="1245"/>
      <c r="M37" s="1246"/>
      <c r="N37" s="1246"/>
      <c r="O37" s="1246"/>
      <c r="P37" s="3022"/>
      <c r="Q37" s="1887" t="str">
        <f t="shared" si="11"/>
        <v>成新度</v>
      </c>
      <c r="R37" s="749" t="s">
        <v>28</v>
      </c>
      <c r="S37" s="750">
        <f t="shared" si="12"/>
        <v>96</v>
      </c>
      <c r="T37" s="749" t="s">
        <v>28</v>
      </c>
      <c r="U37" s="750">
        <f t="shared" si="13"/>
        <v>98</v>
      </c>
      <c r="V37" s="749" t="s">
        <v>28</v>
      </c>
      <c r="W37" s="750">
        <f t="shared" si="14"/>
        <v>96</v>
      </c>
      <c r="X37" s="751"/>
      <c r="Y37" s="3024"/>
      <c r="Z37" s="23" t="str">
        <f t="shared" si="15"/>
        <v>成新度</v>
      </c>
      <c r="AA37" s="752">
        <f t="shared" si="3"/>
        <v>1.0416666666666667</v>
      </c>
      <c r="AB37" s="752">
        <f t="shared" si="4"/>
        <v>1.0204081632653061</v>
      </c>
      <c r="AC37" s="752">
        <f t="shared" si="5"/>
        <v>1.0416666666666667</v>
      </c>
    </row>
    <row r="38" spans="1:29" ht="15">
      <c r="A38" s="453"/>
      <c r="B38" s="402" t="s">
        <v>2373</v>
      </c>
      <c r="C38" s="2409" t="s">
        <v>3316</v>
      </c>
      <c r="D38" s="415">
        <v>100</v>
      </c>
      <c r="E38" s="2408" t="s">
        <v>3318</v>
      </c>
      <c r="F38" s="442">
        <f>SUMIF(114:114,E38,115:115)-SUMIF(114:114,C38,115:115)+100</f>
        <v>99</v>
      </c>
      <c r="G38" s="2409" t="s">
        <v>3318</v>
      </c>
      <c r="H38" s="415">
        <f>SUMIF(114:114,G38,115:115)-SUMIF(114:114,C38,115:115)+100</f>
        <v>99</v>
      </c>
      <c r="I38" s="2408" t="s">
        <v>3318</v>
      </c>
      <c r="J38" s="415">
        <f>SUMIF(114:114,I38,115:115)-SUMIF(114:114,C38,115:115)+100</f>
        <v>99</v>
      </c>
      <c r="K38" s="406">
        <v>1</v>
      </c>
      <c r="L38" s="1253"/>
      <c r="M38" s="1244"/>
      <c r="N38" s="1244"/>
      <c r="O38" s="1244"/>
      <c r="P38" s="3022" t="s">
        <v>2367</v>
      </c>
      <c r="Q38" s="1899" t="str">
        <f t="shared" si="11"/>
        <v>物业管理</v>
      </c>
      <c r="R38" s="753" t="s">
        <v>28</v>
      </c>
      <c r="S38" s="754">
        <f t="shared" si="12"/>
        <v>99</v>
      </c>
      <c r="T38" s="753" t="s">
        <v>28</v>
      </c>
      <c r="U38" s="754">
        <f t="shared" si="13"/>
        <v>99</v>
      </c>
      <c r="V38" s="753" t="s">
        <v>28</v>
      </c>
      <c r="W38" s="754">
        <f t="shared" si="14"/>
        <v>99</v>
      </c>
      <c r="X38" s="1900"/>
      <c r="Y38" s="3024" t="s">
        <v>2367</v>
      </c>
      <c r="Z38" s="1902" t="str">
        <f t="shared" si="15"/>
        <v>物业管理</v>
      </c>
      <c r="AA38" s="1903">
        <f t="shared" si="3"/>
        <v>1.0101010101010102</v>
      </c>
      <c r="AB38" s="1903">
        <f t="shared" si="4"/>
        <v>1.0101010101010102</v>
      </c>
      <c r="AC38" s="1903">
        <f t="shared" si="5"/>
        <v>1.0101010101010102</v>
      </c>
    </row>
    <row r="39" spans="1:29" ht="15">
      <c r="A39" s="453"/>
      <c r="B39" s="402" t="s">
        <v>2374</v>
      </c>
      <c r="C39" s="2409" t="s">
        <v>3304</v>
      </c>
      <c r="D39" s="415">
        <v>100</v>
      </c>
      <c r="E39" s="2408" t="s">
        <v>3304</v>
      </c>
      <c r="F39" s="442">
        <f>SUMIF(116:116,E39,117:117)-SUMIF(116:116,C39,117:117)+100</f>
        <v>100</v>
      </c>
      <c r="G39" s="2409" t="s">
        <v>3304</v>
      </c>
      <c r="H39" s="415">
        <f>SUMIF(116:116,G39,117:117)-SUMIF(116:116,C39,117:117)+100</f>
        <v>100</v>
      </c>
      <c r="I39" s="2408" t="s">
        <v>3304</v>
      </c>
      <c r="J39" s="415">
        <f>SUMIF(116:116,I39,117:117)-SUMIF(116:116,C39,117:117)+100</f>
        <v>100</v>
      </c>
      <c r="K39" s="406"/>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2375</v>
      </c>
      <c r="C40" s="2409" t="s">
        <v>3302</v>
      </c>
      <c r="D40" s="415">
        <v>100</v>
      </c>
      <c r="E40" s="2408" t="s">
        <v>3302</v>
      </c>
      <c r="F40" s="442">
        <f>SUMIF(118:118,E40,119:119)-SUMIF(118:118,C40,119:119)+100</f>
        <v>100</v>
      </c>
      <c r="G40" s="2409" t="s">
        <v>3302</v>
      </c>
      <c r="H40" s="415">
        <f>SUMIF(118:118,G40,119:119)-SUMIF(118:118,C40,119:119)+100</f>
        <v>100</v>
      </c>
      <c r="I40" s="2408" t="s">
        <v>3302</v>
      </c>
      <c r="J40" s="415">
        <f>SUMIF(118:118,I40,119:119)-SUMIF(118:118,C40,119:119)+100</f>
        <v>100</v>
      </c>
      <c r="K40" s="406">
        <v>2</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2377</v>
      </c>
      <c r="C42" s="2409" t="s">
        <v>3306</v>
      </c>
      <c r="D42" s="415">
        <v>100</v>
      </c>
      <c r="E42" s="2408" t="s">
        <v>3298</v>
      </c>
      <c r="F42" s="442">
        <f>SUMIF(122:122,E42,123:123)-SUMIF(122:122,C42,123:123)+100</f>
        <v>101</v>
      </c>
      <c r="G42" s="2409" t="s">
        <v>3298</v>
      </c>
      <c r="H42" s="415">
        <f>SUMIF(122:122,G42,123:123)-SUMIF(122:122,C42,123:123)+100</f>
        <v>101</v>
      </c>
      <c r="I42" s="2408" t="s">
        <v>3298</v>
      </c>
      <c r="J42" s="415">
        <f>SUMIF(122:122,I42,123:123)-SUMIF(122:122,C42,123:123)+100</f>
        <v>101</v>
      </c>
      <c r="K42" s="406">
        <v>1</v>
      </c>
      <c r="L42" s="1253"/>
      <c r="M42" s="1244"/>
      <c r="N42" s="1244"/>
      <c r="O42" s="1244"/>
      <c r="P42" s="3022"/>
      <c r="Q42" s="1899" t="str">
        <f t="shared" si="11"/>
        <v>内部装修</v>
      </c>
      <c r="R42" s="753" t="s">
        <v>28</v>
      </c>
      <c r="S42" s="754">
        <f t="shared" si="12"/>
        <v>101</v>
      </c>
      <c r="T42" s="753" t="s">
        <v>28</v>
      </c>
      <c r="U42" s="754">
        <f t="shared" si="13"/>
        <v>101</v>
      </c>
      <c r="V42" s="753" t="s">
        <v>28</v>
      </c>
      <c r="W42" s="754">
        <f t="shared" si="14"/>
        <v>101</v>
      </c>
      <c r="X42" s="1900"/>
      <c r="Y42" s="3024"/>
      <c r="Z42" s="1902" t="str">
        <f t="shared" si="15"/>
        <v>内部装修</v>
      </c>
      <c r="AA42" s="1903">
        <f t="shared" si="3"/>
        <v>0.99009900990099009</v>
      </c>
      <c r="AB42" s="1903">
        <f t="shared" si="4"/>
        <v>0.99009900990099009</v>
      </c>
      <c r="AC42" s="1903">
        <f t="shared" si="5"/>
        <v>0.99009900990099009</v>
      </c>
    </row>
    <row r="43" spans="1:29" ht="15">
      <c r="A43" s="453"/>
      <c r="B43" s="402" t="s">
        <v>2378</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3217" t="s">
        <v>3283</v>
      </c>
      <c r="C44" s="450">
        <v>2009</v>
      </c>
      <c r="D44" s="52">
        <v>100</v>
      </c>
      <c r="E44" s="450">
        <v>1983</v>
      </c>
      <c r="F44" s="405">
        <f>SUMIF(126:126,E44,127:127)-SUMIF(126:126,C44,127:127)+100</f>
        <v>100</v>
      </c>
      <c r="G44" s="450">
        <v>1990</v>
      </c>
      <c r="H44" s="52">
        <f>SUMIF(126:126,G44,127:127)-SUMIF(126:126,C44,127:127)+100</f>
        <v>100</v>
      </c>
      <c r="I44" s="450">
        <v>1982</v>
      </c>
      <c r="J44" s="52">
        <f>SUMIF(126:126,I44,127:127)-SUMIF(126:126,C44,127:127)+100</f>
        <v>100</v>
      </c>
      <c r="K44" s="2398"/>
      <c r="L44" s="1245"/>
      <c r="M44" s="1246"/>
      <c r="N44" s="1246"/>
      <c r="O44" s="1246"/>
      <c r="P44" s="3022"/>
      <c r="Q44" s="1887" t="str">
        <f t="shared" si="11"/>
        <v>建成年代</v>
      </c>
      <c r="R44" s="749" t="s">
        <v>28</v>
      </c>
      <c r="S44" s="750">
        <f t="shared" si="12"/>
        <v>100</v>
      </c>
      <c r="T44" s="749" t="s">
        <v>28</v>
      </c>
      <c r="U44" s="750">
        <f t="shared" si="13"/>
        <v>100</v>
      </c>
      <c r="V44" s="749" t="s">
        <v>28</v>
      </c>
      <c r="W44" s="750">
        <f t="shared" si="14"/>
        <v>100</v>
      </c>
      <c r="X44" s="751"/>
      <c r="Y44" s="3024"/>
      <c r="Z44" s="23" t="str">
        <f t="shared" si="15"/>
        <v>建成年代</v>
      </c>
      <c r="AA44" s="752">
        <f t="shared" si="3"/>
        <v>1</v>
      </c>
      <c r="AB44" s="752">
        <f t="shared" si="4"/>
        <v>1</v>
      </c>
      <c r="AC44" s="752">
        <f t="shared" si="5"/>
        <v>1</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2379</v>
      </c>
      <c r="B47" s="461"/>
      <c r="C47" s="1502" t="s">
        <v>26</v>
      </c>
      <c r="D47" s="1503"/>
      <c r="E47" s="1504">
        <f>案例!R7</f>
        <v>11400</v>
      </c>
      <c r="F47" s="1505"/>
      <c r="G47" s="1506">
        <f>案例!R8</f>
        <v>12015</v>
      </c>
      <c r="H47" s="1507"/>
      <c r="I47" s="1504">
        <f>案例!R9</f>
        <v>11534</v>
      </c>
      <c r="J47" s="1507"/>
      <c r="K47" s="2415"/>
      <c r="L47" s="1256"/>
      <c r="M47" s="1257"/>
      <c r="N47" s="1244"/>
      <c r="O47" s="1257"/>
      <c r="P47" s="3030" t="str">
        <f>A47</f>
        <v>成交单价（元/平方米）</v>
      </c>
      <c r="Q47" s="3030"/>
      <c r="R47" s="3031">
        <f>E47</f>
        <v>11400</v>
      </c>
      <c r="S47" s="3031"/>
      <c r="T47" s="3031">
        <f>G47</f>
        <v>12015</v>
      </c>
      <c r="U47" s="3031"/>
      <c r="V47" s="3031">
        <f>I47</f>
        <v>11534</v>
      </c>
      <c r="W47" s="3031"/>
      <c r="X47" s="738"/>
      <c r="Y47" s="760"/>
      <c r="Z47" s="738"/>
      <c r="AA47" s="738"/>
      <c r="AB47" s="738"/>
      <c r="AC47" s="738"/>
    </row>
    <row r="48" spans="1:29" ht="15.75" thickBot="1">
      <c r="A48" s="467" t="s">
        <v>2380</v>
      </c>
      <c r="B48" s="468"/>
      <c r="C48" s="1508">
        <f>R49</f>
        <v>12886</v>
      </c>
      <c r="D48" s="1509"/>
      <c r="E48" s="1510">
        <f>R48</f>
        <v>12470</v>
      </c>
      <c r="F48" s="1510"/>
      <c r="G48" s="1508">
        <f>T48</f>
        <v>12852</v>
      </c>
      <c r="H48" s="1509"/>
      <c r="I48" s="1510">
        <f>V48</f>
        <v>13336</v>
      </c>
      <c r="J48" s="1509"/>
      <c r="K48" s="2416"/>
      <c r="L48" s="1256"/>
      <c r="M48" s="1257"/>
      <c r="N48" s="1257"/>
      <c r="O48" s="1257"/>
      <c r="P48" s="3030" t="str">
        <f>A48</f>
        <v>比较价值（元/平方米）</v>
      </c>
      <c r="Q48" s="3030"/>
      <c r="R48" s="3031">
        <f>IF(E1="售价",ROUND(PRODUCT(R47,AA7:AA46),0),ROUND(PRODUCT(R47,AA7:AA46),1))</f>
        <v>12470</v>
      </c>
      <c r="S48" s="3031"/>
      <c r="T48" s="3034">
        <f>IF(E1="售价",ROUND(PRODUCT(T47,AB7:AB46),0),ROUND(PRODUCT(T47,AB7:AB46),1))</f>
        <v>12852</v>
      </c>
      <c r="U48" s="3035"/>
      <c r="V48" s="3031">
        <f>IF(E1="售价",ROUND(PRODUCT(V47,AC7:AC46),0),ROUND(PRODUCT(V47,AC7:AC46),1))</f>
        <v>13336</v>
      </c>
      <c r="W48" s="3031"/>
      <c r="X48" s="738"/>
      <c r="Y48" s="738"/>
      <c r="Z48" s="738"/>
      <c r="AA48" s="738"/>
      <c r="AB48" s="738"/>
      <c r="AC48" s="738"/>
    </row>
    <row r="49" spans="1:29" ht="15.75" thickBot="1">
      <c r="A49" s="473" t="s">
        <v>3339</v>
      </c>
      <c r="B49" s="474"/>
      <c r="C49" s="1511">
        <f>R49</f>
        <v>12886</v>
      </c>
      <c r="D49" s="1512"/>
      <c r="E49" s="1512"/>
      <c r="F49" s="1512"/>
      <c r="G49" s="1512"/>
      <c r="H49" s="1512"/>
      <c r="I49" s="1512"/>
      <c r="J49" s="1512"/>
      <c r="K49" s="2417"/>
      <c r="L49" s="1256"/>
      <c r="M49" s="1257"/>
      <c r="N49" s="1257"/>
      <c r="O49" s="1257"/>
      <c r="P49" s="3036" t="str">
        <f>A49</f>
        <v>估价对象住宅用房的比较价值（楼面单价，元/平方米）</v>
      </c>
      <c r="Q49" s="3037"/>
      <c r="R49" s="3038">
        <f>IF(E1="售价",ROUND(AVERAGE(R48:V48),0),ROUND(AVERAGE(R48:V48),1))</f>
        <v>12886</v>
      </c>
      <c r="S49" s="3038"/>
      <c r="T49" s="3038"/>
      <c r="U49" s="3038"/>
      <c r="V49" s="3038"/>
      <c r="W49" s="303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9.3859649122806976E-2</v>
      </c>
      <c r="F52" s="481" t="str">
        <f>IF(OR(E52&gt;=0.3,E52&lt;=-0.3),"超过30%","")</f>
        <v/>
      </c>
      <c r="G52" s="480">
        <f>IF(G47&lt;G48,G48/G47-1,G47/G48-1)</f>
        <v>6.9662921348314644E-2</v>
      </c>
      <c r="H52" s="481" t="str">
        <f>IF(OR(G52&gt;=0.3,G52&lt;=-0.3),"超过30%","")</f>
        <v/>
      </c>
      <c r="I52" s="480">
        <f>IF(I47&lt;I48,I48/I47-1,I47/I48-1)</f>
        <v>0.15623374371423626</v>
      </c>
      <c r="J52" s="481" t="str">
        <f>IF(OR(I52&gt;=0.3,I52&lt;=-0.3),"超过30%","")</f>
        <v/>
      </c>
      <c r="K52" s="1262"/>
      <c r="L52" s="1258"/>
      <c r="M52" s="1257"/>
      <c r="N52" s="1257"/>
      <c r="O52" s="1257"/>
    </row>
    <row r="53" spans="1:29" ht="13.5" customHeight="1">
      <c r="A53" s="1257"/>
      <c r="B53" s="1257"/>
      <c r="C53" s="478" t="s">
        <v>2382</v>
      </c>
      <c r="D53" s="482"/>
      <c r="E53" s="480">
        <f>IF(E48&lt;G48,G48/E48-1,E48/G48-1)</f>
        <v>3.0633520449077745E-2</v>
      </c>
      <c r="F53" s="481" t="str">
        <f>IF(OR(E53&gt;=0.2,E53&lt;=-0.2),"超过20%","")</f>
        <v/>
      </c>
      <c r="G53" s="480">
        <f>IF(G48&lt;I48,I48/G48-1,G48/I48-1)</f>
        <v>3.7659508247743556E-2</v>
      </c>
      <c r="H53" s="481" t="str">
        <f>IF(OR(G53&gt;=0.2,G53&lt;=-0.2),"超过20%","")</f>
        <v/>
      </c>
      <c r="I53" s="480">
        <f>IF(I48&lt;E48,E48/I48-1,I48/E48-1)</f>
        <v>6.9446672012830835E-2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5.3947368421052522E-2</v>
      </c>
      <c r="F54" s="481" t="str">
        <f>IF(OR(E54&gt;=0.3,E54&lt;=-0.3),"超过30%","")</f>
        <v/>
      </c>
      <c r="G54" s="480">
        <f>IF(G47&lt;I47,I47/G47-1,G47/I47-1)</f>
        <v>4.1702791746141887E-2</v>
      </c>
      <c r="H54" s="481" t="str">
        <f>IF(OR(G54&gt;=0.3,G54&lt;=-0.3),"超过30%","")</f>
        <v/>
      </c>
      <c r="I54" s="480">
        <f>IF(I47&lt;E47,E47/I47-1,I47/E47-1)</f>
        <v>1.1754385964912295E-2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20"/>
      <c r="Q57" s="485"/>
    </row>
    <row r="58" spans="1:29" s="489" customFormat="1" ht="15">
      <c r="A58" s="486" t="s">
        <v>2385</v>
      </c>
      <c r="B58" s="487"/>
      <c r="C58" s="1678" t="str">
        <f>YEAR(C7)&amp;"-"&amp;MONTH(C7)</f>
        <v>2009-6</v>
      </c>
      <c r="D58" s="1679">
        <f>EDATE(C58,-1)</f>
        <v>39934</v>
      </c>
      <c r="E58" s="1679">
        <f t="shared" ref="E58:O58" si="16">EDATE(D58,-1)</f>
        <v>39904</v>
      </c>
      <c r="F58" s="1679">
        <f t="shared" si="16"/>
        <v>39873</v>
      </c>
      <c r="G58" s="1679">
        <f t="shared" si="16"/>
        <v>39845</v>
      </c>
      <c r="H58" s="1679">
        <f t="shared" si="16"/>
        <v>39814</v>
      </c>
      <c r="I58" s="1679">
        <f t="shared" si="16"/>
        <v>39783</v>
      </c>
      <c r="J58" s="1679">
        <f t="shared" si="16"/>
        <v>39753</v>
      </c>
      <c r="K58" s="1679">
        <f t="shared" si="16"/>
        <v>39722</v>
      </c>
      <c r="L58" s="1679">
        <f t="shared" si="16"/>
        <v>39692</v>
      </c>
      <c r="M58" s="1679">
        <f t="shared" si="16"/>
        <v>39661</v>
      </c>
      <c r="N58" s="1679">
        <f t="shared" si="16"/>
        <v>39630</v>
      </c>
      <c r="O58" s="1679">
        <f t="shared" si="16"/>
        <v>39600</v>
      </c>
      <c r="P58" s="2421"/>
    </row>
    <row r="59" spans="1:29" s="35" customFormat="1" ht="15">
      <c r="A59" s="490"/>
      <c r="B59" s="491"/>
      <c r="C59" s="623">
        <v>100</v>
      </c>
      <c r="D59" s="493">
        <v>100</v>
      </c>
      <c r="E59" s="493">
        <v>100</v>
      </c>
      <c r="F59" s="493">
        <v>100</v>
      </c>
      <c r="G59" s="493">
        <v>100</v>
      </c>
      <c r="H59" s="493"/>
      <c r="I59" s="493"/>
      <c r="J59" s="493"/>
      <c r="K59" s="493"/>
      <c r="L59" s="493"/>
      <c r="M59" s="494"/>
      <c r="N59" s="493"/>
      <c r="O59" s="494"/>
      <c r="P59" s="2422"/>
    </row>
    <row r="60" spans="1:29" s="35" customFormat="1" ht="15.75" thickBot="1">
      <c r="A60" s="496" t="s">
        <v>2386</v>
      </c>
      <c r="B60" s="497"/>
      <c r="C60" s="498"/>
      <c r="D60" s="499"/>
      <c r="E60" s="499"/>
      <c r="F60" s="499"/>
      <c r="G60" s="499"/>
      <c r="H60" s="499"/>
      <c r="I60" s="499"/>
      <c r="J60" s="499"/>
      <c r="K60" s="499"/>
      <c r="L60" s="499"/>
      <c r="M60" s="500"/>
      <c r="N60" s="499"/>
      <c r="O60" s="500"/>
      <c r="P60" s="2422"/>
      <c r="Q60" s="485"/>
    </row>
    <row r="61" spans="1:29" s="35" customFormat="1" ht="15">
      <c r="A61" s="502" t="s">
        <v>2387</v>
      </c>
      <c r="B61" s="491"/>
      <c r="C61" s="503" t="s">
        <v>2388</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2389</v>
      </c>
      <c r="B63" s="509" t="s">
        <v>2355</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7"/>
      <c r="O65" s="1267"/>
      <c r="P65" s="2424"/>
      <c r="Q65" s="485"/>
    </row>
    <row r="66" spans="1:17" ht="15.75" thickBot="1">
      <c r="A66" s="516"/>
      <c r="B66" s="526"/>
      <c r="C66" s="527">
        <v>100</v>
      </c>
      <c r="D66" s="527">
        <f t="shared" ref="D66:I66" si="17">C66-$K10</f>
        <v>95</v>
      </c>
      <c r="E66" s="527">
        <f t="shared" si="17"/>
        <v>90</v>
      </c>
      <c r="F66" s="527">
        <f t="shared" si="17"/>
        <v>85</v>
      </c>
      <c r="G66" s="527">
        <f t="shared" si="17"/>
        <v>80</v>
      </c>
      <c r="H66" s="527">
        <f t="shared" si="17"/>
        <v>75</v>
      </c>
      <c r="I66" s="527">
        <f t="shared" si="17"/>
        <v>70</v>
      </c>
      <c r="J66" s="527"/>
      <c r="K66" s="527"/>
      <c r="L66" s="527"/>
      <c r="M66" s="528"/>
      <c r="N66" s="1268"/>
      <c r="O66" s="1268"/>
      <c r="P66" s="2424"/>
      <c r="Q66" s="485"/>
    </row>
    <row r="67" spans="1:17" ht="15.75" thickTop="1">
      <c r="A67" s="516"/>
      <c r="B67" s="529" t="s">
        <v>2359</v>
      </c>
      <c r="C67" s="530" t="str">
        <f>C68&amp;"（含）"&amp;"-"&amp;D68</f>
        <v>1（含）-10</v>
      </c>
      <c r="D67" s="530" t="str">
        <f t="shared" ref="D67:L67" si="18">D68&amp;"（含）"&amp;"-"&amp;E68</f>
        <v>10（含）-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v>
      </c>
      <c r="D68" s="532">
        <v>10</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2405</v>
      </c>
      <c r="D82" s="522" t="s">
        <v>2406</v>
      </c>
      <c r="E82" s="522" t="s">
        <v>2407</v>
      </c>
      <c r="F82" s="522" t="s">
        <v>2408</v>
      </c>
      <c r="G82" s="522" t="s">
        <v>2409</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2412</v>
      </c>
      <c r="C88" s="3218" t="s">
        <v>3285</v>
      </c>
      <c r="D88" s="537"/>
      <c r="E88" s="537"/>
      <c r="F88" s="3219" t="s">
        <v>3287</v>
      </c>
      <c r="G88" s="537"/>
      <c r="H88" s="537"/>
      <c r="I88" s="537"/>
      <c r="J88" s="3218" t="s">
        <v>3289</v>
      </c>
      <c r="K88" s="537"/>
      <c r="L88" s="537"/>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3218" t="s">
        <v>3297</v>
      </c>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3222" t="str">
        <f>C28</f>
        <v>26/30</v>
      </c>
      <c r="D92" s="3222" t="str">
        <f>E28</f>
        <v>3/6</v>
      </c>
      <c r="E92" s="3222" t="str">
        <f>G28</f>
        <v>14/15</v>
      </c>
      <c r="F92" s="3222" t="str">
        <f>I28</f>
        <v>6/6</v>
      </c>
      <c r="G92" s="567"/>
      <c r="H92" s="567"/>
      <c r="I92" s="567"/>
      <c r="J92" s="567"/>
      <c r="K92" s="568"/>
      <c r="L92" s="569"/>
      <c r="M92" s="570"/>
      <c r="N92" s="1267"/>
      <c r="O92" s="1267"/>
      <c r="P92" s="2424"/>
      <c r="Q92" s="485"/>
    </row>
    <row r="93" spans="1:17" ht="15.75" thickBot="1">
      <c r="A93" s="516"/>
      <c r="B93" s="526"/>
      <c r="C93" s="544">
        <v>100</v>
      </c>
      <c r="D93" s="518">
        <v>100</v>
      </c>
      <c r="E93" s="518">
        <v>100</v>
      </c>
      <c r="F93" s="518">
        <v>96</v>
      </c>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2413</v>
      </c>
      <c r="C100" s="3226" t="s">
        <v>3322</v>
      </c>
      <c r="D100" s="3226" t="s">
        <v>3324</v>
      </c>
      <c r="E100" s="3226" t="s">
        <v>3326</v>
      </c>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2414</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5"/>
      <c r="Q103" s="543"/>
    </row>
    <row r="104" spans="1:17" s="452" customFormat="1" ht="15.75" thickBot="1">
      <c r="A104" s="536"/>
      <c r="B104" s="526"/>
      <c r="C104" s="544">
        <v>100</v>
      </c>
      <c r="D104" s="518">
        <v>98.5</v>
      </c>
      <c r="E104" s="518">
        <v>97</v>
      </c>
      <c r="F104" s="518">
        <v>95.5</v>
      </c>
      <c r="G104" s="518">
        <v>94</v>
      </c>
      <c r="H104" s="518"/>
      <c r="I104" s="518"/>
      <c r="J104" s="518"/>
      <c r="K104" s="518"/>
      <c r="L104" s="518"/>
      <c r="M104" s="518"/>
      <c r="N104" s="1268"/>
      <c r="O104" s="1268"/>
      <c r="P104" s="2425"/>
      <c r="Q104" s="543"/>
    </row>
    <row r="105" spans="1:17" ht="15" thickTop="1">
      <c r="A105" s="583"/>
      <c r="B105" s="521" t="s">
        <v>2415</v>
      </c>
      <c r="C105" s="3218" t="s">
        <v>3313</v>
      </c>
      <c r="D105" s="3218" t="s">
        <v>3315</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96</v>
      </c>
      <c r="E106" s="527">
        <f t="shared" si="24"/>
        <v>92</v>
      </c>
      <c r="F106" s="527">
        <f t="shared" si="24"/>
        <v>88</v>
      </c>
      <c r="G106" s="527">
        <f t="shared" si="24"/>
        <v>84</v>
      </c>
      <c r="H106" s="527">
        <f t="shared" si="24"/>
        <v>80</v>
      </c>
      <c r="I106" s="527">
        <f t="shared" si="24"/>
        <v>76</v>
      </c>
      <c r="J106" s="527">
        <f t="shared" si="24"/>
        <v>72</v>
      </c>
      <c r="K106" s="527">
        <f t="shared" si="24"/>
        <v>68</v>
      </c>
      <c r="L106" s="527">
        <f t="shared" si="24"/>
        <v>64</v>
      </c>
      <c r="M106" s="527">
        <f t="shared" si="24"/>
        <v>60</v>
      </c>
      <c r="N106" s="1268"/>
      <c r="O106" s="1268"/>
      <c r="P106" s="2424"/>
      <c r="Q106" s="485"/>
    </row>
    <row r="107" spans="1:17" ht="15" thickTop="1">
      <c r="A107" s="583"/>
      <c r="B107" s="521" t="s">
        <v>2416</v>
      </c>
      <c r="C107" s="3223" t="s">
        <v>3309</v>
      </c>
      <c r="D107" s="3223" t="s">
        <v>3311</v>
      </c>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4"/>
      <c r="Q108" s="485"/>
    </row>
    <row r="109" spans="1:17" ht="15" thickTop="1">
      <c r="A109" s="583"/>
      <c r="B109" s="521" t="s">
        <v>2417</v>
      </c>
      <c r="C109" s="3218" t="s">
        <v>3301</v>
      </c>
      <c r="D109" s="3218" t="s">
        <v>3299</v>
      </c>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5"/>
      <c r="Q113" s="543"/>
    </row>
    <row r="114" spans="1:17" ht="15" thickTop="1">
      <c r="A114" s="583"/>
      <c r="B114" s="521" t="s">
        <v>2419</v>
      </c>
      <c r="C114" s="3218" t="s">
        <v>3317</v>
      </c>
      <c r="D114" s="3218" t="s">
        <v>3319</v>
      </c>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2420</v>
      </c>
      <c r="C116" s="3218" t="s">
        <v>3305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2421</v>
      </c>
      <c r="C118" s="3223" t="s">
        <v>3303</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2422</v>
      </c>
      <c r="C122" s="3218" t="s">
        <v>3299</v>
      </c>
      <c r="D122" s="3218" t="s">
        <v>3307</v>
      </c>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建成年代</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2424</v>
      </c>
    </row>
    <row r="137" spans="1:17" ht="15">
      <c r="B137" s="2432" t="s">
        <v>2425</v>
      </c>
      <c r="C137" s="2433"/>
      <c r="D137" s="2433"/>
      <c r="E137" s="2433"/>
      <c r="F137" s="2433"/>
      <c r="G137" s="2434"/>
      <c r="H137" s="2435"/>
      <c r="I137" s="2436" t="s">
        <v>2426</v>
      </c>
      <c r="J137" s="2433"/>
      <c r="K137" s="2437"/>
    </row>
    <row r="138" spans="1:17" ht="15">
      <c r="B138" s="2438"/>
      <c r="C138" s="62" t="s">
        <v>2427</v>
      </c>
      <c r="D138" s="62" t="s">
        <v>2428</v>
      </c>
      <c r="E138" s="2439" t="s">
        <v>2429</v>
      </c>
      <c r="F138" s="2440" t="s">
        <v>2430</v>
      </c>
      <c r="G138" s="62" t="s">
        <v>2428</v>
      </c>
      <c r="H138" s="63" t="s">
        <v>2429</v>
      </c>
      <c r="I138" s="2441"/>
      <c r="J138" s="62" t="s">
        <v>2431</v>
      </c>
      <c r="K138" s="63" t="s">
        <v>2432</v>
      </c>
    </row>
    <row r="139" spans="1:17" ht="15">
      <c r="B139" s="1125">
        <v>6</v>
      </c>
      <c r="C139" s="1133">
        <v>96</v>
      </c>
      <c r="D139" s="2442" t="s">
        <v>2433</v>
      </c>
      <c r="E139" s="1134">
        <v>100</v>
      </c>
      <c r="F139" s="1135">
        <v>102.5</v>
      </c>
      <c r="G139" s="2442" t="s">
        <v>2433</v>
      </c>
      <c r="H139" s="1136">
        <v>105</v>
      </c>
      <c r="I139" s="2443" t="s">
        <v>2434</v>
      </c>
      <c r="J139" s="1133">
        <v>20</v>
      </c>
      <c r="K139" s="1127">
        <f>C145/(J139-2)</f>
        <v>4.0555555555555553E-3</v>
      </c>
    </row>
    <row r="140" spans="1:17" ht="15">
      <c r="B140" s="1126">
        <v>5</v>
      </c>
      <c r="C140" s="1137">
        <v>100</v>
      </c>
      <c r="D140" s="1137"/>
      <c r="E140" s="1138"/>
      <c r="F140" s="1139">
        <v>102</v>
      </c>
      <c r="G140" s="1137"/>
      <c r="H140" s="1140"/>
      <c r="I140" s="2444" t="s">
        <v>2435</v>
      </c>
      <c r="J140" s="217">
        <f>ROUNDUP((J139-1)/2,0)</f>
        <v>10</v>
      </c>
      <c r="K140" s="1128">
        <v>100</v>
      </c>
    </row>
    <row r="141" spans="1:17" ht="15">
      <c r="B141" s="1126">
        <v>4</v>
      </c>
      <c r="C141" s="1137">
        <v>102</v>
      </c>
      <c r="D141" s="1137"/>
      <c r="E141" s="1138"/>
      <c r="F141" s="1139">
        <v>101.5</v>
      </c>
      <c r="G141" s="1137"/>
      <c r="H141" s="1140"/>
      <c r="I141" s="2444" t="s">
        <v>2436</v>
      </c>
      <c r="J141" s="217">
        <v>1</v>
      </c>
      <c r="K141" s="1129">
        <f>ROUND(100+(J141-J140)*K139*100,1)</f>
        <v>96.4</v>
      </c>
    </row>
    <row r="142" spans="1:17" ht="15">
      <c r="B142" s="1126">
        <v>3</v>
      </c>
      <c r="C142" s="1137">
        <v>103</v>
      </c>
      <c r="D142" s="1137"/>
      <c r="E142" s="1138"/>
      <c r="F142" s="1139">
        <v>101</v>
      </c>
      <c r="G142" s="1137"/>
      <c r="H142" s="1140"/>
      <c r="I142" s="2444" t="s">
        <v>2437</v>
      </c>
      <c r="J142" s="217">
        <f>J139</f>
        <v>20</v>
      </c>
      <c r="K142" s="1142">
        <v>95</v>
      </c>
    </row>
    <row r="143" spans="1:17" ht="15">
      <c r="B143" s="1126">
        <v>2</v>
      </c>
      <c r="C143" s="1137">
        <v>100</v>
      </c>
      <c r="D143" s="1137"/>
      <c r="E143" s="1138"/>
      <c r="F143" s="1139">
        <v>100.5</v>
      </c>
      <c r="G143" s="1137"/>
      <c r="H143" s="1140"/>
      <c r="I143" s="2444" t="s">
        <v>2438</v>
      </c>
      <c r="J143" s="1137">
        <v>15</v>
      </c>
      <c r="K143" s="1129">
        <f>ROUND(100+(J143-J140)*K139*100,1)</f>
        <v>102</v>
      </c>
    </row>
    <row r="144" spans="1:17" ht="15">
      <c r="B144" s="1126">
        <v>1</v>
      </c>
      <c r="C144" s="1137">
        <v>98</v>
      </c>
      <c r="D144" s="2445" t="s">
        <v>2439</v>
      </c>
      <c r="E144" s="1138">
        <v>102</v>
      </c>
      <c r="F144" s="1141">
        <v>100</v>
      </c>
      <c r="G144" s="2445" t="s">
        <v>2439</v>
      </c>
      <c r="H144" s="1140">
        <v>105</v>
      </c>
      <c r="I144" s="2444" t="s">
        <v>2438</v>
      </c>
      <c r="J144" s="1137">
        <v>18</v>
      </c>
      <c r="K144" s="1129">
        <f>ROUND(100+(J144-J140)*K139*100,1)</f>
        <v>103.2</v>
      </c>
    </row>
    <row r="145" spans="2:11" ht="15.75" thickBot="1">
      <c r="B145" s="2446" t="s">
        <v>2440</v>
      </c>
      <c r="C145" s="1131">
        <f>ROUND(MAX(C139:C144)/MIN(C139:C144)-1,3)</f>
        <v>7.2999999999999995E-2</v>
      </c>
      <c r="D145" s="1132"/>
      <c r="E145" s="1132"/>
      <c r="F145" s="2447" t="s">
        <v>2441</v>
      </c>
      <c r="G145" s="2448"/>
      <c r="H145" s="2449"/>
      <c r="I145" s="2450" t="s">
        <v>2438</v>
      </c>
      <c r="J145" s="1143">
        <v>8</v>
      </c>
      <c r="K145" s="1130">
        <f>ROUND(100+(J145-J140)*K139*100,1)</f>
        <v>99.2</v>
      </c>
    </row>
    <row r="147" spans="2:11">
      <c r="B147" s="2431" t="s">
        <v>2442</v>
      </c>
    </row>
    <row r="148" spans="2:11">
      <c r="B148" s="2431"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2444</v>
      </c>
      <c r="C1" s="1726"/>
      <c r="D1" s="2451"/>
      <c r="E1" s="2380"/>
      <c r="F1" s="1740" t="s">
        <v>2334</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2335</v>
      </c>
      <c r="D3" s="378">
        <f>IF(C1="仅计算典型户型",'数据-取费表'!E5,'数据-取费表'!B5)</f>
        <v>91.5</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2994" t="s">
        <v>2337</v>
      </c>
      <c r="D4" s="2995"/>
      <c r="E4" s="2996" t="s">
        <v>2338</v>
      </c>
      <c r="F4" s="2997"/>
      <c r="G4" s="2994" t="s">
        <v>2339</v>
      </c>
      <c r="H4" s="2995"/>
      <c r="I4" s="2994" t="s">
        <v>2340</v>
      </c>
      <c r="J4" s="2995"/>
      <c r="K4" s="594" t="s">
        <v>2341</v>
      </c>
      <c r="L4" s="1243"/>
      <c r="M4" s="1244"/>
      <c r="N4" s="1244"/>
      <c r="O4" s="1244"/>
      <c r="P4" s="2998" t="s">
        <v>2342</v>
      </c>
      <c r="Q4" s="2999"/>
      <c r="R4" s="3004" t="s">
        <v>2338</v>
      </c>
      <c r="S4" s="3005"/>
      <c r="T4" s="3004" t="s">
        <v>2339</v>
      </c>
      <c r="U4" s="3005"/>
      <c r="V4" s="3010" t="s">
        <v>2340</v>
      </c>
      <c r="W4" s="3010"/>
      <c r="X4" s="1900"/>
      <c r="Y4" s="3004" t="s">
        <v>2342</v>
      </c>
      <c r="Z4" s="3005"/>
      <c r="AA4" s="2991" t="s">
        <v>2338</v>
      </c>
      <c r="AB4" s="3010" t="s">
        <v>2339</v>
      </c>
      <c r="AC4" s="2991" t="s">
        <v>2340</v>
      </c>
    </row>
    <row r="5" spans="1:29" ht="15">
      <c r="A5" s="383"/>
      <c r="B5" s="384"/>
      <c r="C5" s="3013" t="s">
        <v>2343</v>
      </c>
      <c r="D5" s="3014"/>
      <c r="E5" s="3011" t="s">
        <v>2344</v>
      </c>
      <c r="F5" s="3012"/>
      <c r="G5" s="3013" t="s">
        <v>2345</v>
      </c>
      <c r="H5" s="3014"/>
      <c r="I5" s="3013" t="s">
        <v>2346</v>
      </c>
      <c r="J5" s="3014"/>
      <c r="K5" s="594"/>
      <c r="L5" s="1243"/>
      <c r="M5" s="1244"/>
      <c r="N5" s="1244"/>
      <c r="O5" s="1244"/>
      <c r="P5" s="3000"/>
      <c r="Q5" s="3001"/>
      <c r="R5" s="3006"/>
      <c r="S5" s="3007"/>
      <c r="T5" s="3006"/>
      <c r="U5" s="3007"/>
      <c r="V5" s="3010"/>
      <c r="W5" s="3010"/>
      <c r="X5" s="1900"/>
      <c r="Y5" s="3006"/>
      <c r="Z5" s="3007"/>
      <c r="AA5" s="2992"/>
      <c r="AB5" s="3010"/>
      <c r="AC5" s="2992"/>
    </row>
    <row r="6" spans="1:29" ht="15.75" thickBot="1">
      <c r="A6" s="385"/>
      <c r="B6" s="386"/>
      <c r="C6" s="3015" t="s">
        <v>2347</v>
      </c>
      <c r="D6" s="3016"/>
      <c r="E6" s="3017" t="s">
        <v>2347</v>
      </c>
      <c r="F6" s="3018"/>
      <c r="G6" s="3015" t="s">
        <v>2347</v>
      </c>
      <c r="H6" s="3016"/>
      <c r="I6" s="3015" t="s">
        <v>2347</v>
      </c>
      <c r="J6" s="3016"/>
      <c r="K6" s="594" t="s">
        <v>2348</v>
      </c>
      <c r="L6" s="1243"/>
      <c r="M6" s="1244"/>
      <c r="N6" s="1244"/>
      <c r="O6" s="1244"/>
      <c r="P6" s="3002"/>
      <c r="Q6" s="3003"/>
      <c r="R6" s="3006"/>
      <c r="S6" s="3007"/>
      <c r="T6" s="3008"/>
      <c r="U6" s="3009"/>
      <c r="V6" s="3010"/>
      <c r="W6" s="3010"/>
      <c r="X6" s="1900"/>
      <c r="Y6" s="3008"/>
      <c r="Z6" s="3009"/>
      <c r="AA6" s="2993"/>
      <c r="AB6" s="3010"/>
      <c r="AC6" s="2993"/>
    </row>
    <row r="7" spans="1:29" s="35" customFormat="1" ht="15.75" thickBot="1">
      <c r="A7" s="387" t="s">
        <v>2349</v>
      </c>
      <c r="B7" s="388"/>
      <c r="C7" s="389">
        <f>'数据-取费表'!B2</f>
        <v>39990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6" t="s">
        <v>2350</v>
      </c>
      <c r="Q7" s="3028"/>
      <c r="R7" s="749" t="s">
        <v>25</v>
      </c>
      <c r="S7" s="750">
        <f t="shared" ref="S7:S15" si="0">F7</f>
        <v>0</v>
      </c>
      <c r="T7" s="749" t="s">
        <v>25</v>
      </c>
      <c r="U7" s="750">
        <f t="shared" ref="U7:U15" si="1">H7</f>
        <v>0</v>
      </c>
      <c r="V7" s="749" t="s">
        <v>25</v>
      </c>
      <c r="W7" s="750">
        <f t="shared" ref="W7:W15" si="2">J7</f>
        <v>0</v>
      </c>
      <c r="X7" s="751"/>
      <c r="Y7" s="3026" t="s">
        <v>2350</v>
      </c>
      <c r="Z7" s="3027"/>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6" t="s">
        <v>2353</v>
      </c>
      <c r="Q8" s="3027"/>
      <c r="R8" s="749" t="s">
        <v>25</v>
      </c>
      <c r="S8" s="750">
        <f t="shared" si="0"/>
        <v>0</v>
      </c>
      <c r="T8" s="749" t="s">
        <v>25</v>
      </c>
      <c r="U8" s="750">
        <f t="shared" si="1"/>
        <v>0</v>
      </c>
      <c r="V8" s="749" t="s">
        <v>25</v>
      </c>
      <c r="W8" s="750">
        <f t="shared" si="2"/>
        <v>0</v>
      </c>
      <c r="X8" s="751"/>
      <c r="Y8" s="3026" t="s">
        <v>2353</v>
      </c>
      <c r="Z8" s="3027"/>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9" t="s">
        <v>2356</v>
      </c>
      <c r="Q9" s="1887" t="str">
        <f t="shared" ref="Q9:Q15" si="6">B9</f>
        <v>用途</v>
      </c>
      <c r="R9" s="749" t="s">
        <v>25</v>
      </c>
      <c r="S9" s="750">
        <f t="shared" si="0"/>
        <v>100</v>
      </c>
      <c r="T9" s="749" t="s">
        <v>25</v>
      </c>
      <c r="U9" s="750">
        <f t="shared" si="1"/>
        <v>100</v>
      </c>
      <c r="V9" s="749" t="s">
        <v>25</v>
      </c>
      <c r="W9" s="750">
        <f t="shared" si="2"/>
        <v>100</v>
      </c>
      <c r="X9" s="751"/>
      <c r="Y9" s="2842"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9"/>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9"/>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9"/>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9"/>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9"/>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71.25">
      <c r="A15" s="419" t="s">
        <v>2360</v>
      </c>
      <c r="B15" s="26" t="s">
        <v>2445</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2" t="s">
        <v>2361</v>
      </c>
      <c r="Q15" s="1899" t="str">
        <f t="shared" si="6"/>
        <v>商业繁华度</v>
      </c>
      <c r="R15" s="753" t="s">
        <v>25</v>
      </c>
      <c r="S15" s="754">
        <f t="shared" si="0"/>
        <v>100</v>
      </c>
      <c r="T15" s="753" t="s">
        <v>25</v>
      </c>
      <c r="U15" s="754">
        <f t="shared" si="1"/>
        <v>100</v>
      </c>
      <c r="V15" s="753" t="s">
        <v>25</v>
      </c>
      <c r="W15" s="754">
        <f t="shared" si="2"/>
        <v>100</v>
      </c>
      <c r="X15" s="1900"/>
      <c r="Y15" s="3019" t="s">
        <v>2361</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3"/>
      <c r="Q16" s="1899"/>
      <c r="R16" s="753"/>
      <c r="S16" s="754"/>
      <c r="T16" s="753"/>
      <c r="U16" s="754"/>
      <c r="V16" s="753"/>
      <c r="W16" s="754"/>
      <c r="X16" s="1900"/>
      <c r="Y16" s="3020"/>
      <c r="Z16" s="1902"/>
      <c r="AA16" s="1903">
        <v>1</v>
      </c>
      <c r="AB16" s="1903">
        <v>1</v>
      </c>
      <c r="AC16" s="1903">
        <v>1</v>
      </c>
    </row>
    <row r="17" spans="1:29" ht="85.5">
      <c r="A17" s="408"/>
      <c r="B17" s="431" t="s">
        <v>1749</v>
      </c>
      <c r="C17" s="2404" t="str">
        <f>估价对象房地状况!C6</f>
        <v>估价对象周边有29、34、35路等多条公交线路，综合评价交通便捷度较好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3"/>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33"/>
      <c r="Q18" s="1899"/>
      <c r="R18" s="753"/>
      <c r="S18" s="754"/>
      <c r="T18" s="753"/>
      <c r="U18" s="754"/>
      <c r="V18" s="753"/>
      <c r="W18" s="754"/>
      <c r="X18" s="1900"/>
      <c r="Y18" s="3020"/>
      <c r="Z18" s="1902"/>
      <c r="AA18" s="1903">
        <v>1</v>
      </c>
      <c r="AB18" s="1903">
        <v>1</v>
      </c>
      <c r="AC18" s="1903">
        <v>1</v>
      </c>
    </row>
    <row r="19" spans="1:29" ht="42.75">
      <c r="A19" s="408"/>
      <c r="B19" s="431" t="s">
        <v>2446</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3"/>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33"/>
      <c r="Q20" s="1899"/>
      <c r="R20" s="753"/>
      <c r="S20" s="754"/>
      <c r="T20" s="753"/>
      <c r="U20" s="754"/>
      <c r="V20" s="753"/>
      <c r="W20" s="754"/>
      <c r="X20" s="1900"/>
      <c r="Y20" s="3020"/>
      <c r="Z20" s="1902"/>
      <c r="AA20" s="1903">
        <v>1</v>
      </c>
      <c r="AB20" s="1903">
        <v>1</v>
      </c>
      <c r="AC20" s="1903">
        <v>1</v>
      </c>
    </row>
    <row r="21" spans="1:29" ht="28.5">
      <c r="A21" s="408"/>
      <c r="B21" s="2406" t="s">
        <v>2447</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3"/>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33"/>
      <c r="Q22" s="1899"/>
      <c r="R22" s="753"/>
      <c r="S22" s="754"/>
      <c r="T22" s="753"/>
      <c r="U22" s="754"/>
      <c r="V22" s="753"/>
      <c r="W22" s="754"/>
      <c r="X22" s="1900"/>
      <c r="Y22" s="3020"/>
      <c r="Z22" s="1902"/>
      <c r="AA22" s="1903">
        <v>1</v>
      </c>
      <c r="AB22" s="1903">
        <v>1</v>
      </c>
      <c r="AC22" s="1903">
        <v>1</v>
      </c>
    </row>
    <row r="23" spans="1:29" ht="57">
      <c r="A23" s="408"/>
      <c r="B23" s="431" t="s">
        <v>1754</v>
      </c>
      <c r="C23" s="2455" t="str">
        <f>估价对象房地状况!C9</f>
        <v>区域自然环境：龙潭湖公园、通惠河；人文环境；综合评价环境状况一般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3"/>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33"/>
      <c r="Q24" s="1899"/>
      <c r="R24" s="753"/>
      <c r="S24" s="754"/>
      <c r="T24" s="753"/>
      <c r="U24" s="754"/>
      <c r="V24" s="753"/>
      <c r="W24" s="754"/>
      <c r="X24" s="1900"/>
      <c r="Y24" s="3020"/>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3"/>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0"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3"/>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2450</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33"/>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3"/>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3"/>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3"/>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2365</v>
      </c>
      <c r="B32" s="28" t="s">
        <v>2452</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21" t="s">
        <v>2367</v>
      </c>
      <c r="Q32" s="1899" t="str">
        <f t="shared" si="11"/>
        <v>商业类型</v>
      </c>
      <c r="R32" s="753" t="s">
        <v>25</v>
      </c>
      <c r="S32" s="754">
        <f t="shared" si="12"/>
        <v>100</v>
      </c>
      <c r="T32" s="753" t="s">
        <v>25</v>
      </c>
      <c r="U32" s="754">
        <f t="shared" si="13"/>
        <v>100</v>
      </c>
      <c r="V32" s="753" t="s">
        <v>25</v>
      </c>
      <c r="W32" s="754">
        <f t="shared" si="14"/>
        <v>100</v>
      </c>
      <c r="X32" s="1900"/>
      <c r="Y32" s="3024"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2453</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2455</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2456</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22" t="s">
        <v>2367</v>
      </c>
      <c r="Q38" s="1899" t="str">
        <f t="shared" si="11"/>
        <v>业态</v>
      </c>
      <c r="R38" s="753" t="s">
        <v>25</v>
      </c>
      <c r="S38" s="754">
        <f t="shared" si="12"/>
        <v>100</v>
      </c>
      <c r="T38" s="753" t="s">
        <v>25</v>
      </c>
      <c r="U38" s="754">
        <f t="shared" si="13"/>
        <v>100</v>
      </c>
      <c r="V38" s="753" t="s">
        <v>25</v>
      </c>
      <c r="W38" s="754">
        <f t="shared" si="14"/>
        <v>100</v>
      </c>
      <c r="X38" s="1900"/>
      <c r="Y38" s="3024" t="s">
        <v>2367</v>
      </c>
      <c r="Z38" s="1902" t="str">
        <f t="shared" si="15"/>
        <v>业态</v>
      </c>
      <c r="AA38" s="1903">
        <f t="shared" si="3"/>
        <v>1</v>
      </c>
      <c r="AB38" s="1903">
        <f t="shared" si="4"/>
        <v>1</v>
      </c>
      <c r="AC38" s="1903">
        <f t="shared" si="5"/>
        <v>1</v>
      </c>
    </row>
    <row r="39" spans="1:29" ht="15">
      <c r="A39" s="453"/>
      <c r="B39" s="402" t="s">
        <v>2457</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2460</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2378</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3030" t="str">
        <f>A47</f>
        <v>成交单价（元/平方米）</v>
      </c>
      <c r="Q47" s="3030"/>
      <c r="R47" s="3031">
        <f>E47</f>
        <v>0</v>
      </c>
      <c r="S47" s="3031"/>
      <c r="T47" s="3031">
        <f>G47</f>
        <v>0</v>
      </c>
      <c r="U47" s="3031"/>
      <c r="V47" s="3031">
        <f>I47</f>
        <v>0</v>
      </c>
      <c r="W47" s="3031"/>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3030" t="str">
        <f>A48</f>
        <v>比较价值（元/平方米）</v>
      </c>
      <c r="Q48" s="3030"/>
      <c r="R48" s="3031" t="e">
        <f>IF(E1="售价",ROUND(PRODUCT(R47,AA7:AA46),0),ROUND(PRODUCT(R47,AA7:AA46),1))</f>
        <v>#DIV/0!</v>
      </c>
      <c r="S48" s="3031"/>
      <c r="T48" s="3031" t="e">
        <f>IF(E1="售价",ROUND(PRODUCT(T47,AB7:AB46),0),ROUND(PRODUCT(T47,AB7:AB46),1))</f>
        <v>#DIV/0!</v>
      </c>
      <c r="U48" s="3031"/>
      <c r="V48" s="3031" t="e">
        <f>IF(E1="售价",ROUND(PRODUCT(V47,AC7:AC46),0),ROUND(PRODUCT(V47,AC7:AC46),1))</f>
        <v>#DIV/0!</v>
      </c>
      <c r="W48" s="3031"/>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3036" t="str">
        <f>A49</f>
        <v>估价对象XX用房的比较价值（楼面单价，元/平方米）</v>
      </c>
      <c r="Q49" s="3037"/>
      <c r="R49" s="3038" t="e">
        <f>IF(E1="售价",ROUND(AVERAGE(R48:V48),0),ROUND(AVERAGE(R48:V48),1))</f>
        <v>#DIV/0!</v>
      </c>
      <c r="S49" s="3038"/>
      <c r="T49" s="3038"/>
      <c r="U49" s="3038"/>
      <c r="V49" s="3038"/>
      <c r="W49" s="303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8" t="str">
        <f>YEAR(C7)&amp;"-"&amp;MONTH(C7)</f>
        <v>2009-6</v>
      </c>
      <c r="D58" s="1679">
        <f>EDATE(C58,-1)</f>
        <v>39934</v>
      </c>
      <c r="E58" s="1679">
        <f t="shared" ref="E58:O58" si="16">EDATE(D58,-1)</f>
        <v>39904</v>
      </c>
      <c r="F58" s="1679">
        <f t="shared" si="16"/>
        <v>39873</v>
      </c>
      <c r="G58" s="1679">
        <f t="shared" si="16"/>
        <v>39845</v>
      </c>
      <c r="H58" s="1679">
        <f t="shared" si="16"/>
        <v>39814</v>
      </c>
      <c r="I58" s="1679">
        <f t="shared" si="16"/>
        <v>39783</v>
      </c>
      <c r="J58" s="1679">
        <f t="shared" si="16"/>
        <v>39753</v>
      </c>
      <c r="K58" s="1679">
        <f t="shared" si="16"/>
        <v>39722</v>
      </c>
      <c r="L58" s="1679">
        <f t="shared" si="16"/>
        <v>39692</v>
      </c>
      <c r="M58" s="1679">
        <f t="shared" si="16"/>
        <v>39661</v>
      </c>
      <c r="N58" s="1679">
        <f t="shared" si="16"/>
        <v>39630</v>
      </c>
      <c r="O58" s="1679">
        <f t="shared" si="16"/>
        <v>39600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2386</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2389</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2467</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2468</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2415</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2417</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2469</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2470</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2471</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2422</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2473</v>
      </c>
      <c r="C1" s="1726"/>
      <c r="D1" s="1739"/>
      <c r="E1" s="2380"/>
      <c r="F1" s="1740" t="s">
        <v>2334</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2335</v>
      </c>
      <c r="D3" s="378">
        <f>IF(C1="仅计算典型户型",'数据-取费表'!E5,'数据-取费表'!B5)</f>
        <v>91.5</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2994" t="s">
        <v>2337</v>
      </c>
      <c r="D4" s="2995"/>
      <c r="E4" s="2996" t="s">
        <v>2338</v>
      </c>
      <c r="F4" s="2997"/>
      <c r="G4" s="2994" t="s">
        <v>2339</v>
      </c>
      <c r="H4" s="2995"/>
      <c r="I4" s="2994" t="s">
        <v>2340</v>
      </c>
      <c r="J4" s="2995"/>
      <c r="K4" s="594" t="s">
        <v>2341</v>
      </c>
      <c r="L4" s="1243"/>
      <c r="M4" s="1244"/>
      <c r="N4" s="1244"/>
      <c r="O4" s="1244"/>
      <c r="P4" s="3039" t="s">
        <v>2342</v>
      </c>
      <c r="Q4" s="2999"/>
      <c r="R4" s="3004" t="s">
        <v>2338</v>
      </c>
      <c r="S4" s="3005"/>
      <c r="T4" s="3004" t="s">
        <v>2339</v>
      </c>
      <c r="U4" s="3005"/>
      <c r="V4" s="3010" t="s">
        <v>2340</v>
      </c>
      <c r="W4" s="3010"/>
      <c r="X4" s="1900"/>
      <c r="Y4" s="3004" t="s">
        <v>2342</v>
      </c>
      <c r="Z4" s="3005"/>
      <c r="AA4" s="2991" t="s">
        <v>2338</v>
      </c>
      <c r="AB4" s="2991" t="s">
        <v>2339</v>
      </c>
      <c r="AC4" s="2991" t="s">
        <v>2340</v>
      </c>
    </row>
    <row r="5" spans="1:29" ht="15">
      <c r="A5" s="383"/>
      <c r="B5" s="384"/>
      <c r="C5" s="3013" t="s">
        <v>2343</v>
      </c>
      <c r="D5" s="3014"/>
      <c r="E5" s="3011" t="s">
        <v>2344</v>
      </c>
      <c r="F5" s="3012"/>
      <c r="G5" s="3013" t="s">
        <v>2345</v>
      </c>
      <c r="H5" s="3014"/>
      <c r="I5" s="3013" t="s">
        <v>2346</v>
      </c>
      <c r="J5" s="3014"/>
      <c r="K5" s="594"/>
      <c r="L5" s="1243"/>
      <c r="M5" s="1244"/>
      <c r="N5" s="1244"/>
      <c r="O5" s="1244"/>
      <c r="P5" s="3040"/>
      <c r="Q5" s="3001"/>
      <c r="R5" s="3006"/>
      <c r="S5" s="3007"/>
      <c r="T5" s="3006"/>
      <c r="U5" s="3007"/>
      <c r="V5" s="3010"/>
      <c r="W5" s="3010"/>
      <c r="X5" s="1900"/>
      <c r="Y5" s="3006"/>
      <c r="Z5" s="3007"/>
      <c r="AA5" s="2992"/>
      <c r="AB5" s="2992"/>
      <c r="AC5" s="2992"/>
    </row>
    <row r="6" spans="1:29" ht="15.75" thickBot="1">
      <c r="A6" s="385"/>
      <c r="B6" s="386"/>
      <c r="C6" s="3015" t="s">
        <v>2347</v>
      </c>
      <c r="D6" s="3016"/>
      <c r="E6" s="3017" t="s">
        <v>2347</v>
      </c>
      <c r="F6" s="3018"/>
      <c r="G6" s="3015" t="s">
        <v>2347</v>
      </c>
      <c r="H6" s="3016"/>
      <c r="I6" s="3015" t="s">
        <v>2347</v>
      </c>
      <c r="J6" s="3016"/>
      <c r="K6" s="594" t="s">
        <v>2348</v>
      </c>
      <c r="L6" s="1243"/>
      <c r="M6" s="1244"/>
      <c r="N6" s="1244"/>
      <c r="O6" s="1244"/>
      <c r="P6" s="3041"/>
      <c r="Q6" s="3003"/>
      <c r="R6" s="3006"/>
      <c r="S6" s="3007"/>
      <c r="T6" s="3008"/>
      <c r="U6" s="3009"/>
      <c r="V6" s="3010"/>
      <c r="W6" s="3010"/>
      <c r="X6" s="1900"/>
      <c r="Y6" s="3008"/>
      <c r="Z6" s="3009"/>
      <c r="AA6" s="2993"/>
      <c r="AB6" s="2993"/>
      <c r="AC6" s="2993"/>
    </row>
    <row r="7" spans="1:29" s="35" customFormat="1" ht="15.75" thickBot="1">
      <c r="A7" s="387" t="s">
        <v>2349</v>
      </c>
      <c r="B7" s="388"/>
      <c r="C7" s="389">
        <f>'数据-取费表'!B2</f>
        <v>39990</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28" t="s">
        <v>2350</v>
      </c>
      <c r="Q7" s="3028"/>
      <c r="R7" s="749" t="s">
        <v>25</v>
      </c>
      <c r="S7" s="750">
        <f t="shared" ref="S7:S15" si="0">F7</f>
        <v>0</v>
      </c>
      <c r="T7" s="749" t="s">
        <v>25</v>
      </c>
      <c r="U7" s="750">
        <f t="shared" ref="U7:U15" si="1">H7</f>
        <v>0</v>
      </c>
      <c r="V7" s="749" t="s">
        <v>25</v>
      </c>
      <c r="W7" s="750">
        <f t="shared" ref="W7:W15" si="2">J7</f>
        <v>0</v>
      </c>
      <c r="X7" s="751"/>
      <c r="Y7" s="3026" t="s">
        <v>2350</v>
      </c>
      <c r="Z7" s="3027"/>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8" t="s">
        <v>2353</v>
      </c>
      <c r="Q8" s="3027"/>
      <c r="R8" s="749" t="s">
        <v>25</v>
      </c>
      <c r="S8" s="750">
        <f t="shared" si="0"/>
        <v>0</v>
      </c>
      <c r="T8" s="749" t="s">
        <v>25</v>
      </c>
      <c r="U8" s="750">
        <f t="shared" si="1"/>
        <v>0</v>
      </c>
      <c r="V8" s="749" t="s">
        <v>25</v>
      </c>
      <c r="W8" s="750">
        <f t="shared" si="2"/>
        <v>0</v>
      </c>
      <c r="X8" s="751"/>
      <c r="Y8" s="3026" t="s">
        <v>2353</v>
      </c>
      <c r="Z8" s="3027"/>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7" t="s">
        <v>2356</v>
      </c>
      <c r="Q9" s="1887" t="str">
        <f t="shared" ref="Q9:Q15" si="6">B9</f>
        <v>用途</v>
      </c>
      <c r="R9" s="749" t="s">
        <v>25</v>
      </c>
      <c r="S9" s="750">
        <f t="shared" si="0"/>
        <v>100</v>
      </c>
      <c r="T9" s="749" t="s">
        <v>25</v>
      </c>
      <c r="U9" s="750">
        <f t="shared" si="1"/>
        <v>100</v>
      </c>
      <c r="V9" s="749" t="s">
        <v>25</v>
      </c>
      <c r="W9" s="750">
        <f t="shared" si="2"/>
        <v>100</v>
      </c>
      <c r="X9" s="751"/>
      <c r="Y9" s="2842"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7"/>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7"/>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7"/>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7"/>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71.25">
      <c r="A15" s="419" t="s">
        <v>2360</v>
      </c>
      <c r="B15" s="613" t="s">
        <v>2474</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9" t="s">
        <v>2361</v>
      </c>
      <c r="Q15" s="1899" t="str">
        <f t="shared" si="6"/>
        <v>办公集聚程度</v>
      </c>
      <c r="R15" s="753" t="s">
        <v>25</v>
      </c>
      <c r="S15" s="754">
        <f t="shared" si="0"/>
        <v>100</v>
      </c>
      <c r="T15" s="753" t="s">
        <v>25</v>
      </c>
      <c r="U15" s="754">
        <f t="shared" si="1"/>
        <v>100</v>
      </c>
      <c r="V15" s="753" t="s">
        <v>25</v>
      </c>
      <c r="W15" s="754">
        <f t="shared" si="2"/>
        <v>100</v>
      </c>
      <c r="X15" s="1900"/>
      <c r="Y15" s="3019" t="s">
        <v>2361</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1"/>
      <c r="Q16" s="1899"/>
      <c r="R16" s="753"/>
      <c r="S16" s="754"/>
      <c r="T16" s="753"/>
      <c r="U16" s="754"/>
      <c r="V16" s="753"/>
      <c r="W16" s="754"/>
      <c r="X16" s="1900"/>
      <c r="Y16" s="3020"/>
      <c r="Z16" s="1902"/>
      <c r="AA16" s="1903">
        <v>1</v>
      </c>
      <c r="AB16" s="1903">
        <v>1</v>
      </c>
      <c r="AC16" s="1903">
        <v>1</v>
      </c>
    </row>
    <row r="17" spans="1:29" ht="85.5">
      <c r="A17" s="408"/>
      <c r="B17" s="615" t="s">
        <v>1749</v>
      </c>
      <c r="C17" s="2466" t="str">
        <f>估价对象房地状况!C6</f>
        <v>估价对象周边有29、34、35路等多条公交线路，综合评价交通便捷度较好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1"/>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3001"/>
      <c r="Q18" s="1899"/>
      <c r="R18" s="753"/>
      <c r="S18" s="754"/>
      <c r="T18" s="753"/>
      <c r="U18" s="754"/>
      <c r="V18" s="753"/>
      <c r="W18" s="754"/>
      <c r="X18" s="1900"/>
      <c r="Y18" s="3020"/>
      <c r="Z18" s="1902"/>
      <c r="AA18" s="1903">
        <v>1</v>
      </c>
      <c r="AB18" s="1903">
        <v>1</v>
      </c>
      <c r="AC18" s="1903">
        <v>1</v>
      </c>
    </row>
    <row r="19" spans="1:29" ht="42.75">
      <c r="A19" s="408"/>
      <c r="B19" s="615" t="s">
        <v>2475</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1"/>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01"/>
      <c r="Q20" s="1899"/>
      <c r="R20" s="753"/>
      <c r="S20" s="754"/>
      <c r="T20" s="753"/>
      <c r="U20" s="754"/>
      <c r="V20" s="753"/>
      <c r="W20" s="754"/>
      <c r="X20" s="1900"/>
      <c r="Y20" s="3020"/>
      <c r="Z20" s="1902"/>
      <c r="AA20" s="1903">
        <v>1</v>
      </c>
      <c r="AB20" s="1903">
        <v>1</v>
      </c>
      <c r="AC20" s="1903">
        <v>1</v>
      </c>
    </row>
    <row r="21" spans="1:29" ht="28.5">
      <c r="A21" s="408"/>
      <c r="B21" s="617" t="s">
        <v>2476</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1"/>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01"/>
      <c r="Q22" s="1899"/>
      <c r="R22" s="753"/>
      <c r="S22" s="754"/>
      <c r="T22" s="753"/>
      <c r="U22" s="754"/>
      <c r="V22" s="753"/>
      <c r="W22" s="754"/>
      <c r="X22" s="1900"/>
      <c r="Y22" s="3020"/>
      <c r="Z22" s="1902"/>
      <c r="AA22" s="1903">
        <v>1</v>
      </c>
      <c r="AB22" s="1903">
        <v>1</v>
      </c>
      <c r="AC22" s="1903">
        <v>1</v>
      </c>
    </row>
    <row r="23" spans="1:29" ht="57">
      <c r="A23" s="408"/>
      <c r="B23" s="615" t="s">
        <v>2477</v>
      </c>
      <c r="C23" s="2466" t="str">
        <f>估价对象房地状况!C9</f>
        <v>区域自然环境：龙潭湖公园、通惠河；人文环境；综合评价环境状况一般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1"/>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01"/>
      <c r="Q24" s="1899"/>
      <c r="R24" s="753"/>
      <c r="S24" s="754"/>
      <c r="T24" s="753"/>
      <c r="U24" s="754"/>
      <c r="V24" s="753"/>
      <c r="W24" s="754"/>
      <c r="X24" s="1900"/>
      <c r="Y24" s="3020"/>
      <c r="Z24" s="1902"/>
      <c r="AA24" s="1903">
        <v>1</v>
      </c>
      <c r="AB24" s="1903">
        <v>1</v>
      </c>
      <c r="AC24" s="1903">
        <v>1</v>
      </c>
    </row>
    <row r="25" spans="1:29" ht="27">
      <c r="A25" s="383"/>
      <c r="B25" s="615" t="s">
        <v>2478</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01"/>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1"/>
      <c r="Q26" s="1899"/>
      <c r="R26" s="753"/>
      <c r="S26" s="754"/>
      <c r="T26" s="753"/>
      <c r="U26" s="754"/>
      <c r="V26" s="753"/>
      <c r="W26" s="754"/>
      <c r="X26" s="1900"/>
      <c r="Y26" s="3020"/>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1"/>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2479</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01"/>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1"/>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1"/>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1"/>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1"/>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2365</v>
      </c>
      <c r="B33" s="28" t="s">
        <v>2480</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42" t="s">
        <v>2367</v>
      </c>
      <c r="Q33" s="1899" t="str">
        <f t="shared" si="11"/>
        <v>建筑类型</v>
      </c>
      <c r="R33" s="753" t="s">
        <v>25</v>
      </c>
      <c r="S33" s="754">
        <f t="shared" si="12"/>
        <v>100</v>
      </c>
      <c r="T33" s="753" t="s">
        <v>25</v>
      </c>
      <c r="U33" s="754">
        <f t="shared" si="13"/>
        <v>100</v>
      </c>
      <c r="V33" s="753" t="s">
        <v>25</v>
      </c>
      <c r="W33" s="754">
        <f t="shared" si="14"/>
        <v>100</v>
      </c>
      <c r="X33" s="1900"/>
      <c r="Y33" s="3024"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3"/>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3"/>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3"/>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3"/>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3"/>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3" t="s">
        <v>2367</v>
      </c>
      <c r="Q39" s="1899" t="str">
        <f t="shared" si="11"/>
        <v>物业管理</v>
      </c>
      <c r="R39" s="753" t="s">
        <v>25</v>
      </c>
      <c r="S39" s="754">
        <f t="shared" si="12"/>
        <v>100</v>
      </c>
      <c r="T39" s="753" t="s">
        <v>25</v>
      </c>
      <c r="U39" s="754">
        <f t="shared" si="13"/>
        <v>100</v>
      </c>
      <c r="V39" s="753" t="s">
        <v>25</v>
      </c>
      <c r="W39" s="754">
        <f t="shared" si="14"/>
        <v>100</v>
      </c>
      <c r="X39" s="1900"/>
      <c r="Y39" s="3024" t="s">
        <v>2367</v>
      </c>
      <c r="Z39" s="1902" t="str">
        <f t="shared" si="15"/>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3"/>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3"/>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3"/>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3"/>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2378</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43"/>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3"/>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3"/>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4"/>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3037" t="str">
        <f>A48</f>
        <v>成交单价（元/平方米）</v>
      </c>
      <c r="Q48" s="3030"/>
      <c r="R48" s="3031">
        <f>E48</f>
        <v>0</v>
      </c>
      <c r="S48" s="3031"/>
      <c r="T48" s="3031">
        <f>G48</f>
        <v>0</v>
      </c>
      <c r="U48" s="3031"/>
      <c r="V48" s="3031">
        <f>I48</f>
        <v>0</v>
      </c>
      <c r="W48" s="3031"/>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3037" t="str">
        <f>A49</f>
        <v>比较价值（元/平方米）</v>
      </c>
      <c r="Q49" s="3030"/>
      <c r="R49" s="3031" t="e">
        <f>IF(E1="售价",ROUND(PRODUCT(R48,AA7:AA47),0),ROUND(PRODUCT(R48,AA7:AA47),1))</f>
        <v>#DIV/0!</v>
      </c>
      <c r="S49" s="3031"/>
      <c r="T49" s="3031" t="e">
        <f>IF(E1="售价",ROUND(PRODUCT(T48,AB7:AB47),0),ROUND(PRODUCT(T48,AB7:AB47),1))</f>
        <v>#DIV/0!</v>
      </c>
      <c r="U49" s="3031"/>
      <c r="V49" s="3031" t="e">
        <f>IF(E1="售价",ROUND(PRODUCT(V48,AC7:AC47),0),ROUND(PRODUCT(V48,AC7:AC47),1))</f>
        <v>#DIV/0!</v>
      </c>
      <c r="W49" s="3031"/>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045" t="str">
        <f>A50</f>
        <v>估价对象XX用房的比较价值（楼面单价，元/平方米）</v>
      </c>
      <c r="Q50" s="3037"/>
      <c r="R50" s="3038" t="e">
        <f>IF(E1="售价",ROUND(AVERAGE(R49:V49),0),ROUND(AVERAGE(R49:V49),1))</f>
        <v>#DIV/0!</v>
      </c>
      <c r="S50" s="3038"/>
      <c r="T50" s="3038"/>
      <c r="U50" s="3038"/>
      <c r="V50" s="3038"/>
      <c r="W50" s="303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8" t="str">
        <f>YEAR(C7)&amp;"-"&amp;MONTH(C7)</f>
        <v>2009-6</v>
      </c>
      <c r="D59" s="1679">
        <f>EDATE(C59,-1)</f>
        <v>39934</v>
      </c>
      <c r="E59" s="1679">
        <f t="shared" ref="E59:O59" si="16">EDATE(D59,-1)</f>
        <v>39904</v>
      </c>
      <c r="F59" s="1679">
        <f t="shared" si="16"/>
        <v>39873</v>
      </c>
      <c r="G59" s="1679">
        <f t="shared" si="16"/>
        <v>39845</v>
      </c>
      <c r="H59" s="1679">
        <f t="shared" si="16"/>
        <v>39814</v>
      </c>
      <c r="I59" s="1679">
        <f t="shared" si="16"/>
        <v>39783</v>
      </c>
      <c r="J59" s="1679">
        <f t="shared" si="16"/>
        <v>39753</v>
      </c>
      <c r="K59" s="1679">
        <f t="shared" si="16"/>
        <v>39722</v>
      </c>
      <c r="L59" s="1679">
        <f t="shared" si="16"/>
        <v>39692</v>
      </c>
      <c r="M59" s="1679">
        <f t="shared" si="16"/>
        <v>39661</v>
      </c>
      <c r="N59" s="1679">
        <f t="shared" si="16"/>
        <v>39630</v>
      </c>
      <c r="O59" s="1679">
        <f t="shared" si="16"/>
        <v>39600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2490</v>
      </c>
      <c r="C1" s="1726"/>
      <c r="D1" s="1739"/>
      <c r="E1" s="2380"/>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2335</v>
      </c>
      <c r="D3" s="378">
        <f>IF(C1="仅计算典型户型",'数据-取费表'!E5,'数据-取费表'!B5)</f>
        <v>91.5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2994" t="s">
        <v>2337</v>
      </c>
      <c r="D4" s="2995"/>
      <c r="E4" s="2996" t="s">
        <v>2338</v>
      </c>
      <c r="F4" s="2997"/>
      <c r="G4" s="2994" t="s">
        <v>2339</v>
      </c>
      <c r="H4" s="2995"/>
      <c r="I4" s="2994" t="s">
        <v>2340</v>
      </c>
      <c r="J4" s="2995"/>
      <c r="K4" s="594" t="s">
        <v>2341</v>
      </c>
      <c r="L4" s="1243"/>
      <c r="M4" s="1244"/>
      <c r="N4" s="1244"/>
      <c r="O4" s="1244"/>
      <c r="P4" s="2998" t="s">
        <v>2342</v>
      </c>
      <c r="Q4" s="2999"/>
      <c r="R4" s="3004" t="s">
        <v>2338</v>
      </c>
      <c r="S4" s="3005"/>
      <c r="T4" s="3004" t="s">
        <v>2339</v>
      </c>
      <c r="U4" s="3005"/>
      <c r="V4" s="3010" t="s">
        <v>2340</v>
      </c>
      <c r="W4" s="3010"/>
      <c r="X4" s="1900"/>
      <c r="Y4" s="3004" t="s">
        <v>2342</v>
      </c>
      <c r="Z4" s="3005"/>
      <c r="AA4" s="2991" t="s">
        <v>2338</v>
      </c>
      <c r="AB4" s="2992" t="s">
        <v>2339</v>
      </c>
      <c r="AC4" s="2991" t="s">
        <v>2340</v>
      </c>
    </row>
    <row r="5" spans="1:29" ht="15">
      <c r="A5" s="383"/>
      <c r="B5" s="384"/>
      <c r="C5" s="3013" t="s">
        <v>2343</v>
      </c>
      <c r="D5" s="3014"/>
      <c r="E5" s="3011" t="s">
        <v>2344</v>
      </c>
      <c r="F5" s="3012"/>
      <c r="G5" s="3013" t="s">
        <v>2345</v>
      </c>
      <c r="H5" s="3014"/>
      <c r="I5" s="3013" t="s">
        <v>2346</v>
      </c>
      <c r="J5" s="3014"/>
      <c r="K5" s="594"/>
      <c r="L5" s="1243"/>
      <c r="M5" s="1244"/>
      <c r="N5" s="1244"/>
      <c r="O5" s="1244"/>
      <c r="P5" s="3000"/>
      <c r="Q5" s="3001"/>
      <c r="R5" s="3006"/>
      <c r="S5" s="3007"/>
      <c r="T5" s="3006"/>
      <c r="U5" s="3007"/>
      <c r="V5" s="3010"/>
      <c r="W5" s="3010"/>
      <c r="X5" s="1900"/>
      <c r="Y5" s="3006"/>
      <c r="Z5" s="3007"/>
      <c r="AA5" s="2992"/>
      <c r="AB5" s="2992"/>
      <c r="AC5" s="2992"/>
    </row>
    <row r="6" spans="1:29" ht="15.75" thickBot="1">
      <c r="A6" s="385"/>
      <c r="B6" s="386"/>
      <c r="C6" s="3015" t="s">
        <v>2347</v>
      </c>
      <c r="D6" s="3016"/>
      <c r="E6" s="3017" t="s">
        <v>2347</v>
      </c>
      <c r="F6" s="3018"/>
      <c r="G6" s="3015" t="s">
        <v>2347</v>
      </c>
      <c r="H6" s="3016"/>
      <c r="I6" s="3015" t="s">
        <v>2347</v>
      </c>
      <c r="J6" s="3016"/>
      <c r="K6" s="594" t="s">
        <v>2348</v>
      </c>
      <c r="L6" s="1243"/>
      <c r="M6" s="1244"/>
      <c r="N6" s="1244"/>
      <c r="O6" s="1244"/>
      <c r="P6" s="3002"/>
      <c r="Q6" s="3003"/>
      <c r="R6" s="3006"/>
      <c r="S6" s="3007"/>
      <c r="T6" s="3008"/>
      <c r="U6" s="3009"/>
      <c r="V6" s="3010"/>
      <c r="W6" s="3010"/>
      <c r="X6" s="1900"/>
      <c r="Y6" s="3008"/>
      <c r="Z6" s="3009"/>
      <c r="AA6" s="2993"/>
      <c r="AB6" s="2993"/>
      <c r="AC6" s="2993"/>
    </row>
    <row r="7" spans="1:29" s="35" customFormat="1" ht="15.75" thickBot="1">
      <c r="A7" s="387" t="s">
        <v>2349</v>
      </c>
      <c r="B7" s="388"/>
      <c r="C7" s="389">
        <f>'数据-取费表'!B2</f>
        <v>39990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6" t="s">
        <v>2350</v>
      </c>
      <c r="Q7" s="3028"/>
      <c r="R7" s="749" t="s">
        <v>25</v>
      </c>
      <c r="S7" s="750">
        <f t="shared" ref="S7:S15" si="0">F7</f>
        <v>0</v>
      </c>
      <c r="T7" s="749" t="s">
        <v>25</v>
      </c>
      <c r="U7" s="750">
        <f t="shared" ref="U7:U15" si="1">H7</f>
        <v>0</v>
      </c>
      <c r="V7" s="749" t="s">
        <v>25</v>
      </c>
      <c r="W7" s="750">
        <f t="shared" ref="W7:W15" si="2">J7</f>
        <v>0</v>
      </c>
      <c r="X7" s="751"/>
      <c r="Y7" s="3026" t="s">
        <v>2350</v>
      </c>
      <c r="Z7" s="3027"/>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6" t="s">
        <v>2353</v>
      </c>
      <c r="Q8" s="3027"/>
      <c r="R8" s="749" t="s">
        <v>25</v>
      </c>
      <c r="S8" s="750">
        <f t="shared" si="0"/>
        <v>100</v>
      </c>
      <c r="T8" s="749" t="s">
        <v>25</v>
      </c>
      <c r="U8" s="750">
        <f t="shared" si="1"/>
        <v>100</v>
      </c>
      <c r="V8" s="749" t="s">
        <v>25</v>
      </c>
      <c r="W8" s="750">
        <f t="shared" si="2"/>
        <v>100</v>
      </c>
      <c r="X8" s="751"/>
      <c r="Y8" s="3026" t="s">
        <v>2353</v>
      </c>
      <c r="Z8" s="3027"/>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0" t="s">
        <v>2356</v>
      </c>
      <c r="Q9" s="1887" t="str">
        <f t="shared" ref="Q9:Q15" si="6">B9</f>
        <v>用途</v>
      </c>
      <c r="R9" s="749" t="s">
        <v>25</v>
      </c>
      <c r="S9" s="750">
        <f t="shared" si="0"/>
        <v>100</v>
      </c>
      <c r="T9" s="749" t="s">
        <v>25</v>
      </c>
      <c r="U9" s="750">
        <f t="shared" si="1"/>
        <v>100</v>
      </c>
      <c r="V9" s="749" t="s">
        <v>25</v>
      </c>
      <c r="W9" s="750">
        <f t="shared" si="2"/>
        <v>100</v>
      </c>
      <c r="X9" s="751"/>
      <c r="Y9" s="2842"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2360</v>
      </c>
      <c r="B15" s="26" t="s">
        <v>2491</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2361</v>
      </c>
      <c r="Q15" s="1899" t="str">
        <f t="shared" si="6"/>
        <v>产业集聚程度</v>
      </c>
      <c r="R15" s="753" t="s">
        <v>25</v>
      </c>
      <c r="S15" s="754">
        <f t="shared" si="0"/>
        <v>100</v>
      </c>
      <c r="T15" s="753" t="s">
        <v>25</v>
      </c>
      <c r="U15" s="754">
        <f t="shared" si="1"/>
        <v>100</v>
      </c>
      <c r="V15" s="753" t="s">
        <v>25</v>
      </c>
      <c r="W15" s="754">
        <f t="shared" si="2"/>
        <v>100</v>
      </c>
      <c r="X15" s="1900"/>
      <c r="Y15" s="3019" t="s">
        <v>2361</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2475</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2476</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2477</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29.25">
      <c r="A29" s="447" t="s">
        <v>2365</v>
      </c>
      <c r="B29" s="28" t="s">
        <v>2480</v>
      </c>
      <c r="C29" s="2471" t="s">
        <v>2492</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46" t="s">
        <v>2367</v>
      </c>
      <c r="Q29" s="1899" t="str">
        <f t="shared" si="11"/>
        <v>建筑类型</v>
      </c>
      <c r="R29" s="753" t="s">
        <v>25</v>
      </c>
      <c r="S29" s="754">
        <f t="shared" si="12"/>
        <v>100</v>
      </c>
      <c r="T29" s="753" t="s">
        <v>25</v>
      </c>
      <c r="U29" s="754">
        <f t="shared" si="13"/>
        <v>100</v>
      </c>
      <c r="V29" s="753" t="s">
        <v>25</v>
      </c>
      <c r="W29" s="754">
        <f t="shared" si="14"/>
        <v>100</v>
      </c>
      <c r="X29" s="1900"/>
      <c r="Y29" s="3024"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2369</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2367</v>
      </c>
      <c r="Q35" s="1899" t="str">
        <f t="shared" si="11"/>
        <v>市政基础设施</v>
      </c>
      <c r="R35" s="753" t="s">
        <v>25</v>
      </c>
      <c r="S35" s="754">
        <f t="shared" si="12"/>
        <v>100</v>
      </c>
      <c r="T35" s="753" t="s">
        <v>25</v>
      </c>
      <c r="U35" s="754">
        <f t="shared" si="13"/>
        <v>100</v>
      </c>
      <c r="V35" s="753" t="s">
        <v>25</v>
      </c>
      <c r="W35" s="754">
        <f t="shared" si="14"/>
        <v>100</v>
      </c>
      <c r="X35" s="1900"/>
      <c r="Y35" s="3024" t="s">
        <v>2367</v>
      </c>
      <c r="Z35" s="1902" t="str">
        <f t="shared" si="15"/>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3030" t="str">
        <f>A41</f>
        <v>成交单价（元/平方米）</v>
      </c>
      <c r="Q41" s="3030"/>
      <c r="R41" s="3031">
        <f>E41</f>
        <v>0</v>
      </c>
      <c r="S41" s="3031"/>
      <c r="T41" s="3031">
        <f>G41</f>
        <v>0</v>
      </c>
      <c r="U41" s="3031"/>
      <c r="V41" s="3031">
        <f>I41</f>
        <v>0</v>
      </c>
      <c r="W41" s="3031"/>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3030" t="str">
        <f>A42</f>
        <v>比较价值（元/平方米）</v>
      </c>
      <c r="Q42" s="3030"/>
      <c r="R42" s="3031" t="e">
        <f>IF(E1="售价",ROUND(PRODUCT(R41,AA7:AA40),0),ROUND(PRODUCT(R41,AA7:AA40),1))</f>
        <v>#DIV/0!</v>
      </c>
      <c r="S42" s="3031"/>
      <c r="T42" s="3031" t="e">
        <f>IF(E1="售价",ROUND(PRODUCT(T41,AB7:AB40),0),ROUND(PRODUCT(T41,AB7:AB40),1))</f>
        <v>#DIV/0!</v>
      </c>
      <c r="U42" s="3031"/>
      <c r="V42" s="3031" t="e">
        <f>IF(E1="售价",ROUND(PRODUCT(V41,AC7:AC40),0),ROUND(PRODUCT(V41,AC7:AC40),1))</f>
        <v>#DIV/0!</v>
      </c>
      <c r="W42" s="3031"/>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3036" t="str">
        <f>A43</f>
        <v>估价对象XX用房的比较价值（楼面单价，元/平方米）</v>
      </c>
      <c r="Q43" s="3037"/>
      <c r="R43" s="3038" t="e">
        <f>IF(E1="售价",ROUND(AVERAGE(R42:V42),0),ROUND(AVERAGE(R42:V42),1))</f>
        <v>#DIV/0!</v>
      </c>
      <c r="S43" s="3038"/>
      <c r="T43" s="3038"/>
      <c r="U43" s="3038"/>
      <c r="V43" s="3038"/>
      <c r="W43" s="303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8" t="str">
        <f>YEAR(C7)&amp;"-"&amp;MONTH(C7)</f>
        <v>2009-6</v>
      </c>
      <c r="D52" s="1679">
        <f>EDATE(C52,-1)</f>
        <v>39934</v>
      </c>
      <c r="E52" s="1680">
        <f t="shared" ref="E52:O52" si="16">EDATE(D52,-1)</f>
        <v>39904</v>
      </c>
      <c r="F52" s="1680">
        <f t="shared" si="16"/>
        <v>39873</v>
      </c>
      <c r="G52" s="1680">
        <f t="shared" si="16"/>
        <v>39845</v>
      </c>
      <c r="H52" s="1680">
        <f t="shared" si="16"/>
        <v>39814</v>
      </c>
      <c r="I52" s="1680">
        <f t="shared" si="16"/>
        <v>39783</v>
      </c>
      <c r="J52" s="1680">
        <f t="shared" si="16"/>
        <v>39753</v>
      </c>
      <c r="K52" s="1680">
        <f t="shared" si="16"/>
        <v>39722</v>
      </c>
      <c r="L52" s="1680">
        <f t="shared" si="16"/>
        <v>39692</v>
      </c>
      <c r="M52" s="1680">
        <f t="shared" si="16"/>
        <v>39661</v>
      </c>
      <c r="N52" s="1680">
        <f t="shared" si="16"/>
        <v>39630</v>
      </c>
      <c r="O52" s="1680">
        <f t="shared" si="16"/>
        <v>39600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78"/>
      <c r="C1" s="1729"/>
      <c r="D1" s="1730"/>
      <c r="E1" s="2380"/>
      <c r="F1" s="1731" t="s">
        <v>2334</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2335</v>
      </c>
      <c r="D3" s="378">
        <f>IF(C1="仅计算典型户型",'数据-取费表'!E5,'数据-取费表'!B5)</f>
        <v>91.5</v>
      </c>
      <c r="E3" s="1092" t="s">
        <v>2502</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2336</v>
      </c>
      <c r="B4" s="381"/>
      <c r="C4" s="2994" t="s">
        <v>2337</v>
      </c>
      <c r="D4" s="2995"/>
      <c r="E4" s="2996" t="s">
        <v>2338</v>
      </c>
      <c r="F4" s="2997"/>
      <c r="G4" s="2994" t="s">
        <v>2339</v>
      </c>
      <c r="H4" s="2995"/>
      <c r="I4" s="2994" t="s">
        <v>2340</v>
      </c>
      <c r="J4" s="2995"/>
      <c r="K4" s="594" t="s">
        <v>2341</v>
      </c>
      <c r="L4" s="1514"/>
      <c r="M4" s="425"/>
      <c r="N4" s="425"/>
      <c r="O4" s="425"/>
      <c r="P4" s="2998" t="s">
        <v>2342</v>
      </c>
      <c r="Q4" s="2999"/>
      <c r="R4" s="3004" t="s">
        <v>2338</v>
      </c>
      <c r="S4" s="3005"/>
      <c r="T4" s="3004" t="s">
        <v>2339</v>
      </c>
      <c r="U4" s="3005"/>
      <c r="V4" s="3010" t="s">
        <v>2340</v>
      </c>
      <c r="W4" s="3010"/>
      <c r="X4" s="1900"/>
      <c r="Y4" s="3004" t="s">
        <v>2342</v>
      </c>
      <c r="Z4" s="3005"/>
      <c r="AA4" s="2991" t="s">
        <v>2338</v>
      </c>
      <c r="AB4" s="2992" t="s">
        <v>2339</v>
      </c>
      <c r="AC4" s="2991" t="s">
        <v>2340</v>
      </c>
    </row>
    <row r="5" spans="1:29" ht="15">
      <c r="A5" s="383"/>
      <c r="B5" s="384"/>
      <c r="C5" s="3013" t="s">
        <v>2343</v>
      </c>
      <c r="D5" s="3014"/>
      <c r="E5" s="3011" t="s">
        <v>2344</v>
      </c>
      <c r="F5" s="3012"/>
      <c r="G5" s="3013" t="s">
        <v>2345</v>
      </c>
      <c r="H5" s="3014"/>
      <c r="I5" s="3013" t="s">
        <v>2346</v>
      </c>
      <c r="J5" s="3014"/>
      <c r="K5" s="594"/>
      <c r="L5" s="1514"/>
      <c r="M5" s="425"/>
      <c r="N5" s="425"/>
      <c r="O5" s="425"/>
      <c r="P5" s="3000"/>
      <c r="Q5" s="3001"/>
      <c r="R5" s="3006"/>
      <c r="S5" s="3007"/>
      <c r="T5" s="3006"/>
      <c r="U5" s="3007"/>
      <c r="V5" s="3010"/>
      <c r="W5" s="3010"/>
      <c r="X5" s="1900"/>
      <c r="Y5" s="3006"/>
      <c r="Z5" s="3007"/>
      <c r="AA5" s="2992"/>
      <c r="AB5" s="2992"/>
      <c r="AC5" s="2992"/>
    </row>
    <row r="6" spans="1:29" ht="15.75" thickBot="1">
      <c r="A6" s="385"/>
      <c r="B6" s="386"/>
      <c r="C6" s="3015" t="s">
        <v>2347</v>
      </c>
      <c r="D6" s="3016"/>
      <c r="E6" s="3017" t="s">
        <v>2347</v>
      </c>
      <c r="F6" s="3018"/>
      <c r="G6" s="3015" t="s">
        <v>2347</v>
      </c>
      <c r="H6" s="3016"/>
      <c r="I6" s="3015" t="s">
        <v>2347</v>
      </c>
      <c r="J6" s="3016"/>
      <c r="K6" s="594" t="s">
        <v>2348</v>
      </c>
      <c r="L6" s="1514"/>
      <c r="M6" s="425"/>
      <c r="N6" s="425"/>
      <c r="O6" s="425"/>
      <c r="P6" s="3002"/>
      <c r="Q6" s="3003"/>
      <c r="R6" s="3006"/>
      <c r="S6" s="3007"/>
      <c r="T6" s="3008"/>
      <c r="U6" s="3009"/>
      <c r="V6" s="3010"/>
      <c r="W6" s="3010"/>
      <c r="X6" s="1900"/>
      <c r="Y6" s="3008"/>
      <c r="Z6" s="3009"/>
      <c r="AA6" s="2993"/>
      <c r="AB6" s="2993"/>
      <c r="AC6" s="2993"/>
    </row>
    <row r="7" spans="1:29" s="35" customFormat="1" ht="15.75" thickBot="1">
      <c r="A7" s="387" t="s">
        <v>2349</v>
      </c>
      <c r="B7" s="388"/>
      <c r="C7" s="389">
        <f>'数据-取费表'!B2</f>
        <v>39990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6" t="s">
        <v>2350</v>
      </c>
      <c r="Q7" s="3028"/>
      <c r="R7" s="749" t="s">
        <v>25</v>
      </c>
      <c r="S7" s="750">
        <f t="shared" ref="S7:S14" si="0">F7</f>
        <v>0</v>
      </c>
      <c r="T7" s="749" t="s">
        <v>25</v>
      </c>
      <c r="U7" s="750">
        <f t="shared" ref="U7:U14" si="1">H7</f>
        <v>0</v>
      </c>
      <c r="V7" s="749" t="s">
        <v>25</v>
      </c>
      <c r="W7" s="750">
        <f t="shared" ref="W7:W14" si="2">J7</f>
        <v>0</v>
      </c>
      <c r="X7" s="751"/>
      <c r="Y7" s="3026" t="s">
        <v>2350</v>
      </c>
      <c r="Z7" s="3027"/>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6" t="s">
        <v>2353</v>
      </c>
      <c r="Q8" s="3027"/>
      <c r="R8" s="749" t="s">
        <v>25</v>
      </c>
      <c r="S8" s="750">
        <f t="shared" si="0"/>
        <v>0</v>
      </c>
      <c r="T8" s="749" t="s">
        <v>25</v>
      </c>
      <c r="U8" s="750">
        <f t="shared" si="1"/>
        <v>0</v>
      </c>
      <c r="V8" s="749" t="s">
        <v>25</v>
      </c>
      <c r="W8" s="750">
        <f t="shared" si="2"/>
        <v>0</v>
      </c>
      <c r="X8" s="751"/>
      <c r="Y8" s="3026" t="s">
        <v>2353</v>
      </c>
      <c r="Z8" s="3027"/>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0" t="s">
        <v>2356</v>
      </c>
      <c r="Q9" s="1887" t="str">
        <f t="shared" ref="Q9:Q14" si="6">B9</f>
        <v>用途</v>
      </c>
      <c r="R9" s="749" t="s">
        <v>25</v>
      </c>
      <c r="S9" s="750">
        <f t="shared" si="0"/>
        <v>100</v>
      </c>
      <c r="T9" s="749" t="s">
        <v>25</v>
      </c>
      <c r="U9" s="750">
        <f t="shared" si="1"/>
        <v>100</v>
      </c>
      <c r="V9" s="749" t="s">
        <v>25</v>
      </c>
      <c r="W9" s="750">
        <f t="shared" si="2"/>
        <v>100</v>
      </c>
      <c r="X9" s="751"/>
      <c r="Y9" s="2842"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0"/>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0"/>
      <c r="Q11" s="1887">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0"/>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380" t="s">
        <v>2360</v>
      </c>
      <c r="B14" s="613" t="s">
        <v>2503</v>
      </c>
      <c r="C14" s="1480" t="str">
        <f>IF(B1="工业",估价对象房地状况!G4,估价对象房地状况!C6)</f>
        <v>估价对象周边有29、34、35路等多条公交线路，综合评价交通便捷度较好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2361</v>
      </c>
      <c r="Q14" s="1899" t="str">
        <f t="shared" si="6"/>
        <v>交通便捷度</v>
      </c>
      <c r="R14" s="753" t="s">
        <v>25</v>
      </c>
      <c r="S14" s="754">
        <f t="shared" si="0"/>
        <v>100</v>
      </c>
      <c r="T14" s="753" t="s">
        <v>25</v>
      </c>
      <c r="U14" s="754">
        <f t="shared" si="1"/>
        <v>100</v>
      </c>
      <c r="V14" s="753" t="s">
        <v>25</v>
      </c>
      <c r="W14" s="754">
        <f t="shared" si="2"/>
        <v>100</v>
      </c>
      <c r="X14" s="1900"/>
      <c r="Y14" s="3019" t="s">
        <v>2361</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2475</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28.5">
      <c r="A18" s="383"/>
      <c r="B18" s="617" t="s">
        <v>2476</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57">
      <c r="A20" s="383"/>
      <c r="B20" s="615" t="s">
        <v>2504</v>
      </c>
      <c r="C20" s="1482" t="str">
        <f>IF(B1="工业",估价对象房地状况!G7,估价对象房地状况!C9)</f>
        <v>区域自然环境：龙潭湖公园、通惠河；人文环境；综合评价环境状况一般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29.25">
      <c r="A26" s="635" t="s">
        <v>2365</v>
      </c>
      <c r="B26" s="27" t="s">
        <v>2506</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6"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2367</v>
      </c>
      <c r="Z26" s="1902" t="str">
        <f t="shared" ref="Z26:Z36" si="15">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2367</v>
      </c>
      <c r="Q32" s="1899" t="str">
        <f t="shared" si="11"/>
        <v>车位类型</v>
      </c>
      <c r="R32" s="753" t="s">
        <v>25</v>
      </c>
      <c r="S32" s="754">
        <f t="shared" si="12"/>
        <v>100</v>
      </c>
      <c r="T32" s="753" t="s">
        <v>25</v>
      </c>
      <c r="U32" s="754">
        <f t="shared" si="13"/>
        <v>100</v>
      </c>
      <c r="V32" s="753" t="s">
        <v>25</v>
      </c>
      <c r="W32" s="754">
        <f t="shared" si="14"/>
        <v>100</v>
      </c>
      <c r="X32" s="1900"/>
      <c r="Y32" s="3024" t="s">
        <v>2367</v>
      </c>
      <c r="Z32" s="1902" t="str">
        <f t="shared" si="15"/>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2514</v>
      </c>
      <c r="B37" s="1093" t="s">
        <v>2515</v>
      </c>
      <c r="C37" s="1502" t="s">
        <v>1</v>
      </c>
      <c r="D37" s="1503"/>
      <c r="E37" s="1504"/>
      <c r="F37" s="1505"/>
      <c r="G37" s="1506"/>
      <c r="H37" s="1507"/>
      <c r="I37" s="1504"/>
      <c r="J37" s="1507"/>
      <c r="K37" s="603"/>
      <c r="L37" s="1525"/>
      <c r="M37" s="738"/>
      <c r="N37" s="425"/>
      <c r="O37" s="738"/>
      <c r="P37" s="3030" t="str">
        <f>A37</f>
        <v>成交单价</v>
      </c>
      <c r="Q37" s="3030"/>
      <c r="R37" s="3031">
        <f>E37</f>
        <v>0</v>
      </c>
      <c r="S37" s="3031"/>
      <c r="T37" s="3031">
        <f>G37</f>
        <v>0</v>
      </c>
      <c r="U37" s="3031"/>
      <c r="V37" s="3031">
        <f>I37</f>
        <v>0</v>
      </c>
      <c r="W37" s="3031"/>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0" t="str">
        <f>A38</f>
        <v>比较价值</v>
      </c>
      <c r="Q38" s="3030"/>
      <c r="R38" s="3031" t="e">
        <f>IF(E1="售价",ROUND(PRODUCT(R37,AA7:AA36),0),ROUND(PRODUCT(R37,AA7:AA36),1))</f>
        <v>#DIV/0!</v>
      </c>
      <c r="S38" s="3031"/>
      <c r="T38" s="3031" t="e">
        <f>IF(E1="售价",ROUND(PRODUCT(T37,AB7:AB36),0),ROUND(PRODUCT(T37,AB7:AB36),1))</f>
        <v>#DIV/0!</v>
      </c>
      <c r="U38" s="3031"/>
      <c r="V38" s="3031" t="e">
        <f>IF(E1="售价",ROUND(PRODUCT(V37,AC7:AC36),0),ROUND(PRODUCT(V37,AC7:AC36),1))</f>
        <v>#DIV/0!</v>
      </c>
      <c r="W38" s="3031"/>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3036" t="str">
        <f>A39</f>
        <v>估价对象XX用房的比较价值（楼面单价，元/平方米）</v>
      </c>
      <c r="Q39" s="3037"/>
      <c r="R39" s="3038" t="e">
        <f>IF(E1="售价",ROUND(AVERAGE(R38:V38),0),ROUND(AVERAGE(R38:V38),1))</f>
        <v>#DIV/0!</v>
      </c>
      <c r="S39" s="3038"/>
      <c r="T39" s="3038"/>
      <c r="U39" s="3038"/>
      <c r="V39" s="3038"/>
      <c r="W39" s="303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8" t="str">
        <f>YEAR(C7)&amp;"-"&amp;MONTH(C7)</f>
        <v>2009-6</v>
      </c>
      <c r="D48" s="1679">
        <f>EDATE(C48,-1)</f>
        <v>39934</v>
      </c>
      <c r="E48" s="1679">
        <f t="shared" ref="E48:O48" si="16">EDATE(D48,-1)</f>
        <v>39904</v>
      </c>
      <c r="F48" s="1679">
        <f t="shared" si="16"/>
        <v>39873</v>
      </c>
      <c r="G48" s="1679">
        <f t="shared" si="16"/>
        <v>39845</v>
      </c>
      <c r="H48" s="1679">
        <f t="shared" si="16"/>
        <v>39814</v>
      </c>
      <c r="I48" s="1679">
        <f t="shared" si="16"/>
        <v>39783</v>
      </c>
      <c r="J48" s="1679">
        <f t="shared" si="16"/>
        <v>39753</v>
      </c>
      <c r="K48" s="1679">
        <f t="shared" si="16"/>
        <v>39722</v>
      </c>
      <c r="L48" s="1679">
        <f t="shared" si="16"/>
        <v>39692</v>
      </c>
      <c r="M48" s="1679">
        <f t="shared" si="16"/>
        <v>39661</v>
      </c>
      <c r="N48" s="1679">
        <f t="shared" si="16"/>
        <v>39630</v>
      </c>
      <c r="O48" s="1679">
        <f t="shared" si="16"/>
        <v>39600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78"/>
      <c r="C1" s="1729"/>
      <c r="D1" s="1739"/>
      <c r="E1" s="2380"/>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2335</v>
      </c>
      <c r="D3" s="378">
        <f>IF(C1="仅计算典型户型",'数据-取费表'!E5,'数据-取费表'!B5)</f>
        <v>91.5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2994" t="s">
        <v>2337</v>
      </c>
      <c r="D4" s="2995"/>
      <c r="E4" s="2996" t="s">
        <v>2338</v>
      </c>
      <c r="F4" s="2997"/>
      <c r="G4" s="2994" t="s">
        <v>2339</v>
      </c>
      <c r="H4" s="2995"/>
      <c r="I4" s="2994" t="s">
        <v>2340</v>
      </c>
      <c r="J4" s="2995"/>
      <c r="K4" s="594" t="s">
        <v>2341</v>
      </c>
      <c r="L4" s="1243"/>
      <c r="M4" s="1244"/>
      <c r="N4" s="1244"/>
      <c r="O4" s="1244"/>
      <c r="P4" s="2998" t="s">
        <v>2342</v>
      </c>
      <c r="Q4" s="2999"/>
      <c r="R4" s="3004" t="s">
        <v>2338</v>
      </c>
      <c r="S4" s="3005"/>
      <c r="T4" s="3004" t="s">
        <v>2339</v>
      </c>
      <c r="U4" s="3005"/>
      <c r="V4" s="3010" t="s">
        <v>2340</v>
      </c>
      <c r="W4" s="3010"/>
      <c r="X4" s="1900"/>
      <c r="Y4" s="3004" t="s">
        <v>2342</v>
      </c>
      <c r="Z4" s="3005"/>
      <c r="AA4" s="2991" t="s">
        <v>2338</v>
      </c>
      <c r="AB4" s="2992" t="s">
        <v>2339</v>
      </c>
      <c r="AC4" s="2991" t="s">
        <v>2340</v>
      </c>
    </row>
    <row r="5" spans="1:29" ht="15">
      <c r="A5" s="383"/>
      <c r="B5" s="384"/>
      <c r="C5" s="3013" t="s">
        <v>2343</v>
      </c>
      <c r="D5" s="3014"/>
      <c r="E5" s="3011" t="s">
        <v>2344</v>
      </c>
      <c r="F5" s="3012"/>
      <c r="G5" s="3013" t="s">
        <v>2345</v>
      </c>
      <c r="H5" s="3014"/>
      <c r="I5" s="3013" t="s">
        <v>2346</v>
      </c>
      <c r="J5" s="3014"/>
      <c r="K5" s="594"/>
      <c r="L5" s="1243"/>
      <c r="M5" s="1244"/>
      <c r="N5" s="1244"/>
      <c r="O5" s="1244"/>
      <c r="P5" s="3000"/>
      <c r="Q5" s="3001"/>
      <c r="R5" s="3006"/>
      <c r="S5" s="3007"/>
      <c r="T5" s="3006"/>
      <c r="U5" s="3007"/>
      <c r="V5" s="3010"/>
      <c r="W5" s="3010"/>
      <c r="X5" s="1900"/>
      <c r="Y5" s="3006"/>
      <c r="Z5" s="3007"/>
      <c r="AA5" s="2992"/>
      <c r="AB5" s="2992"/>
      <c r="AC5" s="2992"/>
    </row>
    <row r="6" spans="1:29" ht="15.75" thickBot="1">
      <c r="A6" s="385"/>
      <c r="B6" s="386"/>
      <c r="C6" s="3015" t="s">
        <v>2347</v>
      </c>
      <c r="D6" s="3016"/>
      <c r="E6" s="3017" t="s">
        <v>2347</v>
      </c>
      <c r="F6" s="3018"/>
      <c r="G6" s="3015" t="s">
        <v>2347</v>
      </c>
      <c r="H6" s="3016"/>
      <c r="I6" s="3015" t="s">
        <v>2347</v>
      </c>
      <c r="J6" s="3016"/>
      <c r="K6" s="594" t="s">
        <v>2348</v>
      </c>
      <c r="L6" s="1243"/>
      <c r="M6" s="1244"/>
      <c r="N6" s="1244"/>
      <c r="O6" s="1244"/>
      <c r="P6" s="3002"/>
      <c r="Q6" s="3003"/>
      <c r="R6" s="3006"/>
      <c r="S6" s="3007"/>
      <c r="T6" s="3008"/>
      <c r="U6" s="3009"/>
      <c r="V6" s="3010"/>
      <c r="W6" s="3010"/>
      <c r="X6" s="1900"/>
      <c r="Y6" s="3008"/>
      <c r="Z6" s="3009"/>
      <c r="AA6" s="2993"/>
      <c r="AB6" s="2993"/>
      <c r="AC6" s="2993"/>
    </row>
    <row r="7" spans="1:29" s="35" customFormat="1" ht="15.75" thickBot="1">
      <c r="A7" s="387" t="s">
        <v>2349</v>
      </c>
      <c r="B7" s="388"/>
      <c r="C7" s="389">
        <f>'数据-取费表'!B2</f>
        <v>39990</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26" t="s">
        <v>2350</v>
      </c>
      <c r="Q7" s="3028"/>
      <c r="R7" s="749" t="s">
        <v>25</v>
      </c>
      <c r="S7" s="750">
        <f t="shared" ref="S7:S14" si="0">F7</f>
        <v>0</v>
      </c>
      <c r="T7" s="749" t="s">
        <v>25</v>
      </c>
      <c r="U7" s="750">
        <f t="shared" ref="U7:U14" si="1">H7</f>
        <v>0</v>
      </c>
      <c r="V7" s="749" t="s">
        <v>25</v>
      </c>
      <c r="W7" s="750">
        <f t="shared" ref="W7:W14" si="2">J7</f>
        <v>0</v>
      </c>
      <c r="X7" s="751"/>
      <c r="Y7" s="3026" t="s">
        <v>2350</v>
      </c>
      <c r="Z7" s="3027"/>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6" t="s">
        <v>2353</v>
      </c>
      <c r="Q8" s="3027"/>
      <c r="R8" s="749" t="s">
        <v>25</v>
      </c>
      <c r="S8" s="750">
        <f t="shared" si="0"/>
        <v>0</v>
      </c>
      <c r="T8" s="749" t="s">
        <v>25</v>
      </c>
      <c r="U8" s="750">
        <f t="shared" si="1"/>
        <v>0</v>
      </c>
      <c r="V8" s="749" t="s">
        <v>25</v>
      </c>
      <c r="W8" s="750">
        <f t="shared" si="2"/>
        <v>0</v>
      </c>
      <c r="X8" s="751"/>
      <c r="Y8" s="3026" t="s">
        <v>2353</v>
      </c>
      <c r="Z8" s="3027"/>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0" t="s">
        <v>2356</v>
      </c>
      <c r="Q9" s="1887" t="str">
        <f t="shared" ref="Q9:Q14" si="6">B9</f>
        <v>用途</v>
      </c>
      <c r="R9" s="749" t="s">
        <v>25</v>
      </c>
      <c r="S9" s="750">
        <f t="shared" si="0"/>
        <v>100</v>
      </c>
      <c r="T9" s="749" t="s">
        <v>25</v>
      </c>
      <c r="U9" s="750">
        <f t="shared" si="1"/>
        <v>100</v>
      </c>
      <c r="V9" s="749" t="s">
        <v>25</v>
      </c>
      <c r="W9" s="750">
        <f t="shared" si="2"/>
        <v>100</v>
      </c>
      <c r="X9" s="751"/>
      <c r="Y9" s="2842"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0"/>
      <c r="Q11" s="1887">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419" t="s">
        <v>2360</v>
      </c>
      <c r="B14" s="26" t="s">
        <v>2503</v>
      </c>
      <c r="C14" s="2477" t="str">
        <f>IF(B1="工业",估价对象房地状况!G4,估价对象房地状况!C6)</f>
        <v>估价对象周边有29、34、35路等多条公交线路，综合评价交通便捷度较好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2361</v>
      </c>
      <c r="Q14" s="1899" t="str">
        <f t="shared" si="6"/>
        <v>交通便捷度</v>
      </c>
      <c r="R14" s="753" t="s">
        <v>25</v>
      </c>
      <c r="S14" s="754">
        <f t="shared" si="0"/>
        <v>100</v>
      </c>
      <c r="T14" s="753" t="s">
        <v>25</v>
      </c>
      <c r="U14" s="754">
        <f t="shared" si="1"/>
        <v>100</v>
      </c>
      <c r="V14" s="753" t="s">
        <v>25</v>
      </c>
      <c r="W14" s="754">
        <f t="shared" si="2"/>
        <v>100</v>
      </c>
      <c r="X14" s="1900"/>
      <c r="Y14" s="3019" t="s">
        <v>2361</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2475</v>
      </c>
      <c r="C16" s="2404"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28.5">
      <c r="A18" s="408"/>
      <c r="B18" s="617" t="s">
        <v>2476</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57">
      <c r="A20" s="408"/>
      <c r="B20" s="431" t="s">
        <v>2504</v>
      </c>
      <c r="C20" s="2404" t="str">
        <f>IF(B1="工业",估价对象房地状况!G7,估价对象房地状况!C9)</f>
        <v>区域自然环境：龙潭湖公园、通惠河；人文环境；综合评价环境状况一般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29.25">
      <c r="A26" s="447" t="s">
        <v>2365</v>
      </c>
      <c r="B26" s="28" t="s">
        <v>2508</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46"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2367</v>
      </c>
      <c r="Z26" s="1902" t="str">
        <f t="shared" ref="Z26:Z34" si="15">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2367</v>
      </c>
      <c r="Q32" s="1899">
        <f t="shared" si="11"/>
        <v>111</v>
      </c>
      <c r="R32" s="753" t="s">
        <v>25</v>
      </c>
      <c r="S32" s="754">
        <f t="shared" si="12"/>
        <v>100</v>
      </c>
      <c r="T32" s="753" t="s">
        <v>25</v>
      </c>
      <c r="U32" s="754">
        <f t="shared" si="13"/>
        <v>100</v>
      </c>
      <c r="V32" s="753" t="s">
        <v>25</v>
      </c>
      <c r="W32" s="754">
        <f t="shared" si="14"/>
        <v>100</v>
      </c>
      <c r="X32" s="1900"/>
      <c r="Y32" s="3024" t="s">
        <v>2367</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3030" t="str">
        <f>A35</f>
        <v>成交单价（元/平方米）</v>
      </c>
      <c r="Q35" s="3030"/>
      <c r="R35" s="3031">
        <f>E35</f>
        <v>0</v>
      </c>
      <c r="S35" s="3031"/>
      <c r="T35" s="3031">
        <f>G35</f>
        <v>0</v>
      </c>
      <c r="U35" s="3031"/>
      <c r="V35" s="3031">
        <f>I35</f>
        <v>0</v>
      </c>
      <c r="W35" s="3031"/>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3030" t="str">
        <f>A36</f>
        <v>比较价值（元/平方米）</v>
      </c>
      <c r="Q36" s="3030"/>
      <c r="R36" s="3031" t="e">
        <f>IF(E1="售价",ROUND(PRODUCT(R35,AA7:AA34),0),ROUND(PRODUCT(R35,AA7:AA34),1))</f>
        <v>#DIV/0!</v>
      </c>
      <c r="S36" s="3031"/>
      <c r="T36" s="3031" t="e">
        <f>IF(E1="售价",ROUND(PRODUCT(T35,AB7:AB34),0),ROUND(PRODUCT(T35,AB7:AB34),1))</f>
        <v>#DIV/0!</v>
      </c>
      <c r="U36" s="3031"/>
      <c r="V36" s="3031" t="e">
        <f>IF(E1="售价",ROUND(PRODUCT(V35,AC7:AC34),0),ROUND(PRODUCT(V35,AC7:AC34),1))</f>
        <v>#DIV/0!</v>
      </c>
      <c r="W36" s="3031"/>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3036" t="str">
        <f>A37</f>
        <v>估价对象XX用房的比较价值（楼面单价，元/平方米）</v>
      </c>
      <c r="Q37" s="3037"/>
      <c r="R37" s="3038" t="e">
        <f>IF(E1="售价",ROUND(AVERAGE(R36:V36),0),ROUND(AVERAGE(R36:V36),1))</f>
        <v>#DIV/0!</v>
      </c>
      <c r="S37" s="3038"/>
      <c r="T37" s="3038"/>
      <c r="U37" s="3038"/>
      <c r="V37" s="3038"/>
      <c r="W37" s="303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8" t="str">
        <f>YEAR(C7)&amp;"-"&amp;MONTH(C7)</f>
        <v>2009-6</v>
      </c>
      <c r="D46" s="1679">
        <f>EDATE(C46,-1)</f>
        <v>39934</v>
      </c>
      <c r="E46" s="1679">
        <f t="shared" ref="E46:O46" si="16">EDATE(D46,-1)</f>
        <v>39904</v>
      </c>
      <c r="F46" s="1679">
        <f t="shared" si="16"/>
        <v>39873</v>
      </c>
      <c r="G46" s="1679">
        <f t="shared" si="16"/>
        <v>39845</v>
      </c>
      <c r="H46" s="1679">
        <f t="shared" si="16"/>
        <v>39814</v>
      </c>
      <c r="I46" s="1679">
        <f t="shared" si="16"/>
        <v>39783</v>
      </c>
      <c r="J46" s="1679">
        <f t="shared" si="16"/>
        <v>39753</v>
      </c>
      <c r="K46" s="1679">
        <f t="shared" si="16"/>
        <v>39722</v>
      </c>
      <c r="L46" s="1679">
        <f t="shared" si="16"/>
        <v>39692</v>
      </c>
      <c r="M46" s="1679">
        <f t="shared" si="16"/>
        <v>39661</v>
      </c>
      <c r="N46" s="1679">
        <f t="shared" si="16"/>
        <v>39630</v>
      </c>
      <c r="O46" s="1679">
        <f t="shared" si="16"/>
        <v>39600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2994" t="s">
        <v>2337</v>
      </c>
      <c r="D4" s="2995"/>
      <c r="E4" s="2996" t="s">
        <v>2338</v>
      </c>
      <c r="F4" s="2997"/>
      <c r="G4" s="2994" t="s">
        <v>2339</v>
      </c>
      <c r="H4" s="2995"/>
      <c r="I4" s="2994" t="s">
        <v>2340</v>
      </c>
      <c r="J4" s="2995"/>
      <c r="K4" s="594" t="s">
        <v>2341</v>
      </c>
      <c r="L4" s="1243"/>
      <c r="M4" s="1244"/>
      <c r="N4" s="1244"/>
      <c r="O4" s="1244"/>
      <c r="P4" s="2998" t="s">
        <v>2342</v>
      </c>
      <c r="Q4" s="2999"/>
      <c r="R4" s="3004" t="s">
        <v>2338</v>
      </c>
      <c r="S4" s="3005"/>
      <c r="T4" s="3004" t="s">
        <v>2339</v>
      </c>
      <c r="U4" s="3005"/>
      <c r="V4" s="3010" t="s">
        <v>2340</v>
      </c>
      <c r="W4" s="3010"/>
      <c r="X4" s="1900"/>
      <c r="Y4" s="3004" t="s">
        <v>2342</v>
      </c>
      <c r="Z4" s="3005"/>
      <c r="AA4" s="2991" t="s">
        <v>2338</v>
      </c>
      <c r="AB4" s="2992" t="s">
        <v>2339</v>
      </c>
      <c r="AC4" s="2991" t="s">
        <v>2340</v>
      </c>
    </row>
    <row r="5" spans="1:30" ht="15">
      <c r="A5" s="383"/>
      <c r="B5" s="384"/>
      <c r="C5" s="3013" t="s">
        <v>2343</v>
      </c>
      <c r="D5" s="3014"/>
      <c r="E5" s="3011" t="s">
        <v>2344</v>
      </c>
      <c r="F5" s="3012"/>
      <c r="G5" s="3013" t="s">
        <v>2345</v>
      </c>
      <c r="H5" s="3014"/>
      <c r="I5" s="3013" t="s">
        <v>2346</v>
      </c>
      <c r="J5" s="3014"/>
      <c r="K5" s="594"/>
      <c r="L5" s="1243"/>
      <c r="M5" s="1244"/>
      <c r="N5" s="1244"/>
      <c r="O5" s="1244"/>
      <c r="P5" s="3000"/>
      <c r="Q5" s="3001"/>
      <c r="R5" s="3006"/>
      <c r="S5" s="3007"/>
      <c r="T5" s="3006"/>
      <c r="U5" s="3007"/>
      <c r="V5" s="3010"/>
      <c r="W5" s="3010"/>
      <c r="X5" s="1900"/>
      <c r="Y5" s="3006"/>
      <c r="Z5" s="3007"/>
      <c r="AA5" s="2992"/>
      <c r="AB5" s="2992"/>
      <c r="AC5" s="2992"/>
    </row>
    <row r="6" spans="1:30" ht="15.75" thickBot="1">
      <c r="A6" s="385"/>
      <c r="B6" s="386"/>
      <c r="C6" s="3015" t="s">
        <v>2347</v>
      </c>
      <c r="D6" s="3016"/>
      <c r="E6" s="3017" t="s">
        <v>2347</v>
      </c>
      <c r="F6" s="3018"/>
      <c r="G6" s="3015" t="s">
        <v>2347</v>
      </c>
      <c r="H6" s="3016"/>
      <c r="I6" s="3015" t="s">
        <v>2347</v>
      </c>
      <c r="J6" s="3016"/>
      <c r="K6" s="594" t="s">
        <v>2348</v>
      </c>
      <c r="L6" s="1243"/>
      <c r="M6" s="1244"/>
      <c r="N6" s="1244"/>
      <c r="O6" s="1244"/>
      <c r="P6" s="3002"/>
      <c r="Q6" s="3003"/>
      <c r="R6" s="3006"/>
      <c r="S6" s="3007"/>
      <c r="T6" s="3008"/>
      <c r="U6" s="3009"/>
      <c r="V6" s="3010"/>
      <c r="W6" s="3010"/>
      <c r="X6" s="1900"/>
      <c r="Y6" s="3008"/>
      <c r="Z6" s="3009"/>
      <c r="AA6" s="2993"/>
      <c r="AB6" s="2993"/>
      <c r="AC6" s="2993"/>
    </row>
    <row r="7" spans="1:30" s="35" customFormat="1" ht="15.75" thickBot="1">
      <c r="A7" s="387" t="s">
        <v>2349</v>
      </c>
      <c r="B7" s="388"/>
      <c r="C7" s="389">
        <f>'数据-取费表'!B2</f>
        <v>39990</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26" t="s">
        <v>2350</v>
      </c>
      <c r="Q7" s="3028"/>
      <c r="R7" s="749" t="s">
        <v>25</v>
      </c>
      <c r="S7" s="750">
        <f t="shared" ref="S7:S15" si="0">F7</f>
        <v>0</v>
      </c>
      <c r="T7" s="749" t="s">
        <v>25</v>
      </c>
      <c r="U7" s="750">
        <f t="shared" ref="U7:U15" si="1">H7</f>
        <v>0</v>
      </c>
      <c r="V7" s="749" t="s">
        <v>25</v>
      </c>
      <c r="W7" s="750">
        <f t="shared" ref="W7:W15" si="2">J7</f>
        <v>0</v>
      </c>
      <c r="X7" s="751"/>
      <c r="Y7" s="3026" t="s">
        <v>2350</v>
      </c>
      <c r="Z7" s="3027"/>
      <c r="AA7" s="752" t="e">
        <f>D7/F7</f>
        <v>#DIV/0!</v>
      </c>
      <c r="AB7" s="752" t="e">
        <f>D7/H7</f>
        <v>#DIV/0!</v>
      </c>
      <c r="AC7" s="752" t="e">
        <f>D7/J7</f>
        <v>#DIV/0!</v>
      </c>
    </row>
    <row r="8" spans="1:30" s="35" customFormat="1" ht="15.75" thickBot="1">
      <c r="A8" s="387" t="s">
        <v>2351</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6" t="s">
        <v>2353</v>
      </c>
      <c r="Q8" s="3027"/>
      <c r="R8" s="749" t="s">
        <v>25</v>
      </c>
      <c r="S8" s="750">
        <f t="shared" si="0"/>
        <v>0</v>
      </c>
      <c r="T8" s="749" t="s">
        <v>25</v>
      </c>
      <c r="U8" s="750">
        <f t="shared" si="1"/>
        <v>0</v>
      </c>
      <c r="V8" s="749" t="s">
        <v>25</v>
      </c>
      <c r="W8" s="750">
        <f t="shared" si="2"/>
        <v>0</v>
      </c>
      <c r="X8" s="751"/>
      <c r="Y8" s="3026" t="s">
        <v>2353</v>
      </c>
      <c r="Z8" s="3027"/>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30" t="s">
        <v>2356</v>
      </c>
      <c r="Q9" s="1887" t="str">
        <f t="shared" ref="Q9:Q15" si="6">B9</f>
        <v>用途</v>
      </c>
      <c r="R9" s="749" t="s">
        <v>25</v>
      </c>
      <c r="S9" s="750">
        <f t="shared" si="0"/>
        <v>100</v>
      </c>
      <c r="T9" s="749" t="s">
        <v>25</v>
      </c>
      <c r="U9" s="750">
        <f t="shared" si="1"/>
        <v>100</v>
      </c>
      <c r="V9" s="749" t="s">
        <v>25</v>
      </c>
      <c r="W9" s="750">
        <f t="shared" si="2"/>
        <v>100</v>
      </c>
      <c r="X9" s="751"/>
      <c r="Y9" s="2842"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30" s="35" customFormat="1" ht="15">
      <c r="A12" s="411"/>
      <c r="B12" s="2397"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0"/>
      <c r="Q12" s="1887" t="str">
        <f t="shared" si="6"/>
        <v>配建</v>
      </c>
      <c r="R12" s="749" t="s">
        <v>25</v>
      </c>
      <c r="S12" s="750">
        <f t="shared" si="0"/>
        <v>100</v>
      </c>
      <c r="T12" s="749" t="s">
        <v>25</v>
      </c>
      <c r="U12" s="750">
        <f t="shared" si="1"/>
        <v>100</v>
      </c>
      <c r="V12" s="749" t="s">
        <v>25</v>
      </c>
      <c r="W12" s="750">
        <f t="shared" si="2"/>
        <v>100</v>
      </c>
      <c r="X12" s="751"/>
      <c r="Y12" s="2842"/>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42"/>
      <c r="Z14" s="23">
        <f t="shared" si="7"/>
        <v>111</v>
      </c>
      <c r="AA14" s="752">
        <f>D14/F14</f>
        <v>1</v>
      </c>
      <c r="AB14" s="752">
        <f>D14/H14</f>
        <v>1</v>
      </c>
      <c r="AC14" s="752">
        <f>D14/J14</f>
        <v>1</v>
      </c>
    </row>
    <row r="15" spans="1:30" ht="99.75">
      <c r="A15" s="380" t="s">
        <v>2360</v>
      </c>
      <c r="B15" s="1487" t="s">
        <v>1738</v>
      </c>
      <c r="C15" s="2465" t="str">
        <f>估价对象房地状况!C15</f>
        <v>估价对象周边有劲松二区、广和南里二条、劲松六区等，综合评价居住社区成熟度较好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2361</v>
      </c>
      <c r="Q15" s="1899" t="str">
        <f t="shared" si="6"/>
        <v>居住社区成熟度</v>
      </c>
      <c r="R15" s="753" t="s">
        <v>25</v>
      </c>
      <c r="S15" s="754">
        <f t="shared" si="0"/>
        <v>100</v>
      </c>
      <c r="T15" s="753" t="s">
        <v>25</v>
      </c>
      <c r="U15" s="754">
        <f t="shared" si="1"/>
        <v>100</v>
      </c>
      <c r="V15" s="753" t="s">
        <v>25</v>
      </c>
      <c r="W15" s="754">
        <f t="shared" si="2"/>
        <v>100</v>
      </c>
      <c r="X15" s="1900"/>
      <c r="Y15" s="3019" t="s">
        <v>2361</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71.25">
      <c r="A17" s="383"/>
      <c r="B17" s="1489" t="s">
        <v>2445</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71.25">
      <c r="A19" s="383"/>
      <c r="B19" s="1489" t="s">
        <v>2474</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85.5">
      <c r="A21" s="383"/>
      <c r="B21" s="1489" t="s">
        <v>2503</v>
      </c>
      <c r="C21" s="2466" t="str">
        <f>估价对象房地状况!C18</f>
        <v>估价对象周边有29、34、35路等多条公交线路，综合评价交通便捷度较好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2543</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20"/>
      <c r="Q24" s="1899"/>
      <c r="R24" s="753"/>
      <c r="S24" s="754"/>
      <c r="T24" s="753"/>
      <c r="U24" s="754"/>
      <c r="V24" s="753"/>
      <c r="W24" s="754"/>
      <c r="X24" s="1900"/>
      <c r="Y24" s="3020"/>
      <c r="Z24" s="1902"/>
      <c r="AA24" s="1903"/>
      <c r="AB24" s="1903"/>
      <c r="AC24" s="1903"/>
    </row>
    <row r="25" spans="1:29" ht="57">
      <c r="A25" s="383"/>
      <c r="B25" s="1491" t="s">
        <v>2544</v>
      </c>
      <c r="C25" s="2483" t="str">
        <f>估价对象房地状况!C20</f>
        <v>区域自然环境：龙潭湖公园、通惠河；人文环境；综合评价环境状况一般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2446</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28.5">
      <c r="A29" s="633"/>
      <c r="B29" s="1491" t="s">
        <v>2447</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6" t="s">
        <v>2367</v>
      </c>
      <c r="Q36" s="1899">
        <f t="shared" si="8"/>
        <v>111</v>
      </c>
      <c r="R36" s="753" t="s">
        <v>25</v>
      </c>
      <c r="S36" s="754">
        <f t="shared" si="10"/>
        <v>100</v>
      </c>
      <c r="T36" s="753" t="s">
        <v>25</v>
      </c>
      <c r="U36" s="754">
        <f t="shared" si="11"/>
        <v>100</v>
      </c>
      <c r="V36" s="753" t="s">
        <v>25</v>
      </c>
      <c r="W36" s="754">
        <f t="shared" si="12"/>
        <v>100</v>
      </c>
      <c r="X36" s="1900"/>
      <c r="Y36" s="3024"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2365</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2547</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2548</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2549</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2550</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24" t="s">
        <v>2367</v>
      </c>
      <c r="Q42" s="1899" t="str">
        <f t="shared" si="14"/>
        <v>工程地质条件</v>
      </c>
      <c r="R42" s="753" t="s">
        <v>25</v>
      </c>
      <c r="S42" s="754">
        <f t="shared" si="10"/>
        <v>100</v>
      </c>
      <c r="T42" s="753" t="s">
        <v>25</v>
      </c>
      <c r="U42" s="754">
        <f t="shared" si="11"/>
        <v>100</v>
      </c>
      <c r="V42" s="753" t="s">
        <v>25</v>
      </c>
      <c r="W42" s="754">
        <f t="shared" si="12"/>
        <v>100</v>
      </c>
      <c r="X42" s="1900"/>
      <c r="Y42" s="3024" t="s">
        <v>2367</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2514</v>
      </c>
      <c r="B46" s="2490" t="s">
        <v>2551</v>
      </c>
      <c r="C46" s="665" t="s">
        <v>1</v>
      </c>
      <c r="D46" s="462"/>
      <c r="E46" s="463"/>
      <c r="F46" s="464"/>
      <c r="G46" s="465"/>
      <c r="H46" s="466"/>
      <c r="I46" s="463"/>
      <c r="J46" s="466"/>
      <c r="K46" s="762"/>
      <c r="L46" s="1256"/>
      <c r="M46" s="1257"/>
      <c r="N46" s="1244"/>
      <c r="O46" s="1257"/>
      <c r="P46" s="3030" t="str">
        <f>A46</f>
        <v>成交单价</v>
      </c>
      <c r="Q46" s="3030"/>
      <c r="R46" s="3010">
        <f>E46</f>
        <v>0</v>
      </c>
      <c r="S46" s="3010"/>
      <c r="T46" s="3010">
        <f>G46</f>
        <v>0</v>
      </c>
      <c r="U46" s="3010"/>
      <c r="V46" s="3010">
        <f>I46</f>
        <v>0</v>
      </c>
      <c r="W46" s="3010"/>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30" t="str">
        <f>A47</f>
        <v>比较价值（元/平方米）</v>
      </c>
      <c r="Q47" s="3030"/>
      <c r="R47" s="3047" t="e">
        <f>ROUND(PRODUCT(R46,AA7:AA45),0)</f>
        <v>#DIV/0!</v>
      </c>
      <c r="S47" s="3047"/>
      <c r="T47" s="3047" t="e">
        <f>ROUND(PRODUCT(T46,AB7:AB45),0)</f>
        <v>#DIV/0!</v>
      </c>
      <c r="U47" s="3047"/>
      <c r="V47" s="3047" t="e">
        <f>ROUND(PRODUCT(V46,AC7:AC45),0)</f>
        <v>#DIV/0!</v>
      </c>
      <c r="W47" s="3047"/>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36" t="str">
        <f>A48</f>
        <v>估价对象XX用房的比较价值（楼面单价，元/平方米）</v>
      </c>
      <c r="Q48" s="3037"/>
      <c r="R48" s="3048" t="e">
        <f>ROUND(AVERAGE(R47:V47),0)</f>
        <v>#DIV/0!</v>
      </c>
      <c r="S48" s="3048"/>
      <c r="T48" s="3048"/>
      <c r="U48" s="3048"/>
      <c r="V48" s="3048"/>
      <c r="W48" s="304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91" t="s">
        <v>2554</v>
      </c>
      <c r="D55" s="2492" t="s">
        <v>2555</v>
      </c>
      <c r="E55" s="669" t="s">
        <v>2556</v>
      </c>
      <c r="F55" s="670" t="s">
        <v>2557</v>
      </c>
      <c r="G55" s="62" t="s">
        <v>2558</v>
      </c>
      <c r="H55" s="62" t="str">
        <f>项目基本情况!G8</f>
        <v>朝阳区和平村</v>
      </c>
      <c r="I55" s="2493"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2563</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2564</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2565</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2566</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2567</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2568</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2569</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2009-6-1</v>
      </c>
      <c r="D68" s="1670">
        <f>EDATE(C68,-3)</f>
        <v>39873</v>
      </c>
      <c r="E68" s="1670">
        <f t="shared" ref="E68:O68" si="18">EDATE(D68,-3)</f>
        <v>39783</v>
      </c>
      <c r="F68" s="1670">
        <f t="shared" si="18"/>
        <v>39692</v>
      </c>
      <c r="G68" s="1670">
        <f t="shared" si="18"/>
        <v>39600</v>
      </c>
      <c r="H68" s="1670">
        <f t="shared" si="18"/>
        <v>39508</v>
      </c>
      <c r="I68" s="1670">
        <f t="shared" si="18"/>
        <v>39417</v>
      </c>
      <c r="J68" s="1670">
        <f t="shared" si="18"/>
        <v>39326</v>
      </c>
      <c r="K68" s="1670">
        <f t="shared" si="18"/>
        <v>39234</v>
      </c>
      <c r="L68" s="1670">
        <f t="shared" si="18"/>
        <v>39142</v>
      </c>
      <c r="M68" s="1670">
        <f t="shared" si="18"/>
        <v>39052</v>
      </c>
      <c r="N68" s="1670">
        <f t="shared" si="18"/>
        <v>38961</v>
      </c>
      <c r="O68" s="1670">
        <f t="shared" si="18"/>
        <v>38869</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4" customFormat="1" ht="15">
      <c r="A70" s="2494" t="s">
        <v>2571</v>
      </c>
      <c r="B70" s="1456"/>
      <c r="C70" s="1671" t="str">
        <f>YEAR(C68)&amp;"-"&amp;ROUNDUP(MONTH(C68)/3,0)</f>
        <v>2009-2</v>
      </c>
      <c r="D70" s="1671" t="str">
        <f>YEAR(D68)&amp;"-"&amp;ROUNDUP(MONTH(D68)/3,0)</f>
        <v>2009-1</v>
      </c>
      <c r="E70" s="1671" t="str">
        <f t="shared" ref="E70:O70" si="19">YEAR(E68)&amp;"-"&amp;ROUNDUP(MONTH(E68)/3,0)</f>
        <v>2008-4</v>
      </c>
      <c r="F70" s="1671" t="str">
        <f t="shared" si="19"/>
        <v>2008-3</v>
      </c>
      <c r="G70" s="1671" t="str">
        <f t="shared" si="19"/>
        <v>2008-2</v>
      </c>
      <c r="H70" s="1671" t="str">
        <f t="shared" si="19"/>
        <v>2008-1</v>
      </c>
      <c r="I70" s="1671" t="str">
        <f t="shared" si="19"/>
        <v>2007-4</v>
      </c>
      <c r="J70" s="1671" t="str">
        <f t="shared" si="19"/>
        <v>2007-3</v>
      </c>
      <c r="K70" s="1671" t="str">
        <f t="shared" si="19"/>
        <v>2007-2</v>
      </c>
      <c r="L70" s="1671" t="str">
        <f t="shared" si="19"/>
        <v>2007-1</v>
      </c>
      <c r="M70" s="1671" t="str">
        <f t="shared" si="19"/>
        <v>2006-4</v>
      </c>
      <c r="N70" s="1671" t="str">
        <f t="shared" si="19"/>
        <v>2006-3</v>
      </c>
      <c r="O70" s="1671" t="str">
        <f t="shared" si="19"/>
        <v>2006-2</v>
      </c>
      <c r="P70" s="1673"/>
    </row>
    <row r="71" spans="1:17" s="35" customFormat="1" ht="29.25" customHeight="1">
      <c r="A71" s="2495" t="s">
        <v>2572</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2386</v>
      </c>
      <c r="B72" s="497"/>
      <c r="C72" s="498"/>
      <c r="D72" s="499"/>
      <c r="E72" s="499"/>
      <c r="F72" s="499"/>
      <c r="G72" s="499"/>
      <c r="H72" s="499"/>
      <c r="I72" s="499"/>
      <c r="J72" s="499"/>
      <c r="K72" s="499"/>
      <c r="L72" s="499"/>
      <c r="M72" s="500"/>
      <c r="N72" s="499"/>
      <c r="O72" s="1676"/>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2994" t="s">
        <v>2337</v>
      </c>
      <c r="D4" s="2995"/>
      <c r="E4" s="2996" t="s">
        <v>2338</v>
      </c>
      <c r="F4" s="2997"/>
      <c r="G4" s="2994" t="s">
        <v>2339</v>
      </c>
      <c r="H4" s="2995"/>
      <c r="I4" s="2994" t="s">
        <v>2340</v>
      </c>
      <c r="J4" s="2995"/>
      <c r="K4" s="594" t="s">
        <v>2341</v>
      </c>
      <c r="L4" s="1243"/>
      <c r="M4" s="1244"/>
      <c r="N4" s="1244"/>
      <c r="O4" s="1244"/>
      <c r="P4" s="2998" t="s">
        <v>2342</v>
      </c>
      <c r="Q4" s="2999"/>
      <c r="R4" s="3004" t="s">
        <v>2338</v>
      </c>
      <c r="S4" s="3005"/>
      <c r="T4" s="3004" t="s">
        <v>2339</v>
      </c>
      <c r="U4" s="3005"/>
      <c r="V4" s="3010" t="s">
        <v>2340</v>
      </c>
      <c r="W4" s="3010"/>
      <c r="X4" s="1900"/>
      <c r="Y4" s="3004" t="s">
        <v>2342</v>
      </c>
      <c r="Z4" s="3005"/>
      <c r="AA4" s="2991" t="s">
        <v>2338</v>
      </c>
      <c r="AB4" s="2992" t="s">
        <v>2339</v>
      </c>
      <c r="AC4" s="2991" t="s">
        <v>2340</v>
      </c>
    </row>
    <row r="5" spans="1:29" ht="15">
      <c r="A5" s="383"/>
      <c r="B5" s="384"/>
      <c r="C5" s="3013" t="s">
        <v>2343</v>
      </c>
      <c r="D5" s="3014"/>
      <c r="E5" s="3011" t="s">
        <v>2344</v>
      </c>
      <c r="F5" s="3012"/>
      <c r="G5" s="3013" t="s">
        <v>2345</v>
      </c>
      <c r="H5" s="3014"/>
      <c r="I5" s="3013" t="s">
        <v>2346</v>
      </c>
      <c r="J5" s="3014"/>
      <c r="K5" s="594"/>
      <c r="L5" s="1243"/>
      <c r="M5" s="1244"/>
      <c r="N5" s="1244"/>
      <c r="O5" s="1244"/>
      <c r="P5" s="3000"/>
      <c r="Q5" s="3001"/>
      <c r="R5" s="3006"/>
      <c r="S5" s="3007"/>
      <c r="T5" s="3006"/>
      <c r="U5" s="3007"/>
      <c r="V5" s="3010"/>
      <c r="W5" s="3010"/>
      <c r="X5" s="1900"/>
      <c r="Y5" s="3006"/>
      <c r="Z5" s="3007"/>
      <c r="AA5" s="2992"/>
      <c r="AB5" s="2992"/>
      <c r="AC5" s="2992"/>
    </row>
    <row r="6" spans="1:29" ht="15.75" thickBot="1">
      <c r="A6" s="385"/>
      <c r="B6" s="386"/>
      <c r="C6" s="3015" t="s">
        <v>2347</v>
      </c>
      <c r="D6" s="3016"/>
      <c r="E6" s="3017" t="s">
        <v>2347</v>
      </c>
      <c r="F6" s="3018"/>
      <c r="G6" s="3015" t="s">
        <v>2347</v>
      </c>
      <c r="H6" s="3016"/>
      <c r="I6" s="3015" t="s">
        <v>2347</v>
      </c>
      <c r="J6" s="3016"/>
      <c r="K6" s="594" t="s">
        <v>2348</v>
      </c>
      <c r="L6" s="1243"/>
      <c r="M6" s="1244"/>
      <c r="N6" s="1244"/>
      <c r="O6" s="1244"/>
      <c r="P6" s="3002"/>
      <c r="Q6" s="3003"/>
      <c r="R6" s="3006"/>
      <c r="S6" s="3007"/>
      <c r="T6" s="3008"/>
      <c r="U6" s="3009"/>
      <c r="V6" s="3010"/>
      <c r="W6" s="3010"/>
      <c r="X6" s="1900"/>
      <c r="Y6" s="3008"/>
      <c r="Z6" s="3009"/>
      <c r="AA6" s="2993"/>
      <c r="AB6" s="2993"/>
      <c r="AC6" s="2993"/>
    </row>
    <row r="7" spans="1:29" s="35" customFormat="1" ht="15.75" thickBot="1">
      <c r="A7" s="387" t="s">
        <v>2349</v>
      </c>
      <c r="B7" s="388"/>
      <c r="C7" s="389">
        <f>'数据-取费表'!B2</f>
        <v>39990</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26" t="s">
        <v>2350</v>
      </c>
      <c r="Q7" s="3028"/>
      <c r="R7" s="749" t="s">
        <v>25</v>
      </c>
      <c r="S7" s="750">
        <f t="shared" ref="S7:S15" si="0">F7</f>
        <v>0</v>
      </c>
      <c r="T7" s="749" t="s">
        <v>25</v>
      </c>
      <c r="U7" s="750">
        <f t="shared" ref="U7:U15" si="1">H7</f>
        <v>0</v>
      </c>
      <c r="V7" s="749" t="s">
        <v>25</v>
      </c>
      <c r="W7" s="750">
        <f t="shared" ref="W7:W15" si="2">J7</f>
        <v>0</v>
      </c>
      <c r="X7" s="751"/>
      <c r="Y7" s="3026" t="s">
        <v>2350</v>
      </c>
      <c r="Z7" s="3027"/>
      <c r="AA7" s="752" t="e">
        <f>D7/F7</f>
        <v>#DIV/0!</v>
      </c>
      <c r="AB7" s="752" t="e">
        <f>D7/H7</f>
        <v>#DIV/0!</v>
      </c>
      <c r="AC7" s="752" t="e">
        <f>D7/J7</f>
        <v>#DIV/0!</v>
      </c>
    </row>
    <row r="8" spans="1:29" s="35" customFormat="1" ht="15.75" thickBot="1">
      <c r="A8" s="387" t="s">
        <v>2351</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6" t="s">
        <v>2353</v>
      </c>
      <c r="Q8" s="3027"/>
      <c r="R8" s="749" t="s">
        <v>25</v>
      </c>
      <c r="S8" s="750">
        <f t="shared" si="0"/>
        <v>0</v>
      </c>
      <c r="T8" s="749" t="s">
        <v>25</v>
      </c>
      <c r="U8" s="750">
        <f t="shared" si="1"/>
        <v>0</v>
      </c>
      <c r="V8" s="749" t="s">
        <v>25</v>
      </c>
      <c r="W8" s="750">
        <f t="shared" si="2"/>
        <v>0</v>
      </c>
      <c r="X8" s="751"/>
      <c r="Y8" s="3026" t="s">
        <v>2353</v>
      </c>
      <c r="Z8" s="3027"/>
      <c r="AA8" s="752" t="e">
        <f t="shared" ref="AA8:AA40" si="3">D8/F8</f>
        <v>#DIV/0!</v>
      </c>
      <c r="AB8" s="752" t="e">
        <f t="shared" ref="AB8:AB40" si="4">D8/H8</f>
        <v>#DIV/0!</v>
      </c>
      <c r="AC8" s="752" t="e">
        <f t="shared" ref="AC8:AC40" si="5">D8/J8</f>
        <v>#DIV/0!</v>
      </c>
    </row>
    <row r="9" spans="1:29" s="35" customFormat="1">
      <c r="A9" s="395" t="s">
        <v>2354</v>
      </c>
      <c r="B9" s="28" t="s">
        <v>2355</v>
      </c>
      <c r="C9" s="2482" t="s">
        <v>2586</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30" t="s">
        <v>2356</v>
      </c>
      <c r="Q9" s="1887" t="str">
        <f t="shared" ref="Q9:Q15" si="6">B9</f>
        <v>用途</v>
      </c>
      <c r="R9" s="749" t="s">
        <v>25</v>
      </c>
      <c r="S9" s="750">
        <f t="shared" si="0"/>
        <v>100</v>
      </c>
      <c r="T9" s="749" t="s">
        <v>25</v>
      </c>
      <c r="U9" s="750">
        <f t="shared" si="1"/>
        <v>100</v>
      </c>
      <c r="V9" s="749" t="s">
        <v>25</v>
      </c>
      <c r="W9" s="750">
        <f t="shared" si="2"/>
        <v>100</v>
      </c>
      <c r="X9" s="751"/>
      <c r="Y9" s="2842"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2360</v>
      </c>
      <c r="B15" s="613" t="s">
        <v>2587</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2361</v>
      </c>
      <c r="Q15" s="1899" t="str">
        <f t="shared" si="6"/>
        <v>产业集聚程度</v>
      </c>
      <c r="R15" s="753" t="s">
        <v>25</v>
      </c>
      <c r="S15" s="754">
        <f t="shared" si="0"/>
        <v>100</v>
      </c>
      <c r="T15" s="753" t="s">
        <v>25</v>
      </c>
      <c r="U15" s="754">
        <f t="shared" si="1"/>
        <v>100</v>
      </c>
      <c r="V15" s="753" t="s">
        <v>25</v>
      </c>
      <c r="W15" s="754">
        <f t="shared" si="2"/>
        <v>100</v>
      </c>
      <c r="X15" s="1900"/>
      <c r="Y15" s="3019" t="s">
        <v>2361</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2503</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2543</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2588</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2446</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2447</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2478</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6" t="s">
        <v>2367</v>
      </c>
      <c r="Q32" s="1899">
        <f t="shared" si="8"/>
        <v>111</v>
      </c>
      <c r="R32" s="753" t="s">
        <v>25</v>
      </c>
      <c r="S32" s="754">
        <f t="shared" si="10"/>
        <v>100</v>
      </c>
      <c r="T32" s="753" t="s">
        <v>25</v>
      </c>
      <c r="U32" s="754">
        <f t="shared" si="11"/>
        <v>100</v>
      </c>
      <c r="V32" s="753" t="s">
        <v>25</v>
      </c>
      <c r="W32" s="754">
        <f t="shared" si="12"/>
        <v>100</v>
      </c>
      <c r="X32" s="1900"/>
      <c r="Y32" s="3024" t="s">
        <v>2367</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2365</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2547</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2549</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2550</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24" t="s">
        <v>2367</v>
      </c>
      <c r="Q37" s="1899" t="str">
        <f t="shared" si="14"/>
        <v>工程地质条件</v>
      </c>
      <c r="R37" s="753" t="s">
        <v>25</v>
      </c>
      <c r="S37" s="754">
        <f t="shared" si="10"/>
        <v>100</v>
      </c>
      <c r="T37" s="753" t="s">
        <v>25</v>
      </c>
      <c r="U37" s="754">
        <f t="shared" si="11"/>
        <v>100</v>
      </c>
      <c r="V37" s="753" t="s">
        <v>25</v>
      </c>
      <c r="W37" s="754">
        <f t="shared" si="12"/>
        <v>100</v>
      </c>
      <c r="X37" s="1900"/>
      <c r="Y37" s="3024" t="s">
        <v>2367</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2514</v>
      </c>
      <c r="B41" s="2490" t="s">
        <v>2589</v>
      </c>
      <c r="C41" s="665" t="s">
        <v>1</v>
      </c>
      <c r="D41" s="462"/>
      <c r="E41" s="463"/>
      <c r="F41" s="464"/>
      <c r="G41" s="465"/>
      <c r="H41" s="466"/>
      <c r="I41" s="463"/>
      <c r="J41" s="466"/>
      <c r="K41" s="762"/>
      <c r="L41" s="1256"/>
      <c r="M41" s="1244"/>
      <c r="N41" s="1244"/>
      <c r="O41" s="1257"/>
      <c r="P41" s="3030" t="str">
        <f>A41</f>
        <v>成交单价</v>
      </c>
      <c r="Q41" s="3030"/>
      <c r="R41" s="3010">
        <f>E41</f>
        <v>0</v>
      </c>
      <c r="S41" s="3010"/>
      <c r="T41" s="3010">
        <f>G41</f>
        <v>0</v>
      </c>
      <c r="U41" s="3010"/>
      <c r="V41" s="3010">
        <f>I41</f>
        <v>0</v>
      </c>
      <c r="W41" s="3010"/>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30" t="str">
        <f>A42</f>
        <v>比较价值（元/平方米）</v>
      </c>
      <c r="Q42" s="3030"/>
      <c r="R42" s="3047" t="e">
        <f>ROUND(PRODUCT(R41,AA7:AA40),0)</f>
        <v>#DIV/0!</v>
      </c>
      <c r="S42" s="3047"/>
      <c r="T42" s="3047" t="e">
        <f>ROUND(PRODUCT(T41,AB7:AB40),0)</f>
        <v>#DIV/0!</v>
      </c>
      <c r="U42" s="3047"/>
      <c r="V42" s="3047" t="e">
        <f>ROUND(PRODUCT(V41,AC7:AC40),0)</f>
        <v>#DIV/0!</v>
      </c>
      <c r="W42" s="3047"/>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36" t="str">
        <f>A43</f>
        <v>估价对象XX用房的比较价值（楼面单价，元/平方米）</v>
      </c>
      <c r="Q43" s="3037"/>
      <c r="R43" s="3048" t="e">
        <f>ROUND(AVERAGE(R42:V42),0)</f>
        <v>#DIV/0!</v>
      </c>
      <c r="S43" s="3048"/>
      <c r="T43" s="3048"/>
      <c r="U43" s="3048"/>
      <c r="V43" s="3048"/>
      <c r="W43" s="304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91" t="s">
        <v>2554</v>
      </c>
      <c r="D50" s="2492" t="s">
        <v>2555</v>
      </c>
      <c r="E50" s="669" t="s">
        <v>2556</v>
      </c>
      <c r="F50" s="670" t="s">
        <v>2557</v>
      </c>
      <c r="G50" s="1902" t="s">
        <v>2590</v>
      </c>
      <c r="H50" s="1902" t="str">
        <f>项目基本情况!G8</f>
        <v>朝阳区和平村</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2563</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2564</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2565</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2566</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2567</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2568</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2569</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2009-6-1</v>
      </c>
      <c r="D63" s="1670">
        <f>EDATE(C63,-3)</f>
        <v>39873</v>
      </c>
      <c r="E63" s="1670">
        <f t="shared" ref="E63:O63" si="18">EDATE(D63,-3)</f>
        <v>39783</v>
      </c>
      <c r="F63" s="1670">
        <f t="shared" si="18"/>
        <v>39692</v>
      </c>
      <c r="G63" s="1670">
        <f t="shared" si="18"/>
        <v>39600</v>
      </c>
      <c r="H63" s="1670">
        <f t="shared" si="18"/>
        <v>39508</v>
      </c>
      <c r="I63" s="1670">
        <f t="shared" si="18"/>
        <v>39417</v>
      </c>
      <c r="J63" s="1670">
        <f t="shared" si="18"/>
        <v>39326</v>
      </c>
      <c r="K63" s="1670">
        <f t="shared" si="18"/>
        <v>39234</v>
      </c>
      <c r="L63" s="1670">
        <f t="shared" si="18"/>
        <v>39142</v>
      </c>
      <c r="M63" s="1670">
        <f t="shared" si="18"/>
        <v>39052</v>
      </c>
      <c r="N63" s="1670">
        <f t="shared" si="18"/>
        <v>38961</v>
      </c>
      <c r="O63" s="1670">
        <f t="shared" si="18"/>
        <v>38869</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4" t="s">
        <v>2571</v>
      </c>
      <c r="B65" s="1456"/>
      <c r="C65" s="1671" t="str">
        <f>YEAR(C63)&amp;"-"&amp;ROUNDUP(MONTH(C63)/3,0)</f>
        <v>2009-2</v>
      </c>
      <c r="D65" s="1671" t="str">
        <f t="shared" ref="D65:O65" si="19">YEAR(D63)&amp;"-"&amp;ROUNDUP(MONTH(D63)/3,0)</f>
        <v>2009-1</v>
      </c>
      <c r="E65" s="1671" t="str">
        <f t="shared" si="19"/>
        <v>2008-4</v>
      </c>
      <c r="F65" s="1671" t="str">
        <f t="shared" si="19"/>
        <v>2008-3</v>
      </c>
      <c r="G65" s="1671" t="str">
        <f t="shared" si="19"/>
        <v>2008-2</v>
      </c>
      <c r="H65" s="1671" t="str">
        <f t="shared" si="19"/>
        <v>2008-1</v>
      </c>
      <c r="I65" s="1671" t="str">
        <f t="shared" si="19"/>
        <v>2007-4</v>
      </c>
      <c r="J65" s="1671" t="str">
        <f t="shared" si="19"/>
        <v>2007-3</v>
      </c>
      <c r="K65" s="1671" t="str">
        <f t="shared" si="19"/>
        <v>2007-2</v>
      </c>
      <c r="L65" s="1671" t="str">
        <f t="shared" si="19"/>
        <v>2007-1</v>
      </c>
      <c r="M65" s="1671" t="str">
        <f t="shared" si="19"/>
        <v>2006-4</v>
      </c>
      <c r="N65" s="1671" t="str">
        <f t="shared" si="19"/>
        <v>2006-3</v>
      </c>
      <c r="O65" s="1671" t="str">
        <f t="shared" si="19"/>
        <v>2006-2</v>
      </c>
      <c r="P65" s="488"/>
    </row>
    <row r="66" spans="1:17" s="35" customFormat="1" ht="33.75" customHeight="1">
      <c r="A66" s="2500" t="s">
        <v>2591</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2386</v>
      </c>
      <c r="B67" s="497"/>
      <c r="C67" s="498"/>
      <c r="D67" s="499"/>
      <c r="E67" s="499"/>
      <c r="F67" s="499"/>
      <c r="G67" s="499"/>
      <c r="H67" s="499"/>
      <c r="I67" s="499"/>
      <c r="J67" s="499"/>
      <c r="K67" s="499"/>
      <c r="L67" s="499"/>
      <c r="M67" s="500"/>
      <c r="N67" s="499"/>
      <c r="O67" s="1676"/>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93"/>
  <sheetViews>
    <sheetView zoomScale="90" zoomScaleNormal="90" zoomScaleSheetLayoutView="89" workbookViewId="0">
      <selection activeCell="G10" sqref="G10"/>
    </sheetView>
  </sheetViews>
  <sheetFormatPr defaultRowHeight="12"/>
  <cols>
    <col min="1" max="1" width="13.375" style="3238" customWidth="1"/>
    <col min="2" max="2" width="19.25" style="3383" customWidth="1"/>
    <col min="3" max="4" width="12" style="3237" customWidth="1"/>
    <col min="5" max="5" width="14.625" style="3237" customWidth="1"/>
    <col min="6" max="6" width="16.875" style="3237" customWidth="1"/>
    <col min="7" max="8" width="12" style="3237" customWidth="1"/>
    <col min="9" max="9" width="12.25" style="3237" bestFit="1" customWidth="1"/>
    <col min="10" max="10" width="12" style="3237" customWidth="1"/>
    <col min="11" max="11" width="9.5" style="3236" customWidth="1"/>
    <col min="12" max="12" width="12" style="3237" customWidth="1"/>
    <col min="13" max="13" width="8.5" style="3237" customWidth="1"/>
    <col min="14" max="14" width="9.75" style="3237" customWidth="1"/>
    <col min="15" max="25" width="12" style="3237" customWidth="1"/>
    <col min="26" max="26" width="9.375" style="3238" customWidth="1"/>
    <col min="27" max="32" width="9.375" style="3239" customWidth="1"/>
    <col min="33" max="36" width="9.375" style="3238" customWidth="1"/>
    <col min="37" max="38" width="9.375" style="3237" customWidth="1"/>
    <col min="39" max="16384" width="9" style="3237"/>
  </cols>
  <sheetData>
    <row r="1" spans="1:36" ht="20.25">
      <c r="A1" s="3231" t="s">
        <v>3343</v>
      </c>
      <c r="B1" s="3232"/>
      <c r="C1" s="3233"/>
      <c r="D1" s="3233"/>
      <c r="E1" s="3233"/>
      <c r="F1" s="3233"/>
      <c r="G1" s="3234" t="s">
        <v>3344</v>
      </c>
      <c r="H1" s="3235">
        <f>[1]主表!B7</f>
        <v>0</v>
      </c>
      <c r="I1" s="3234" t="s">
        <v>3345</v>
      </c>
      <c r="J1" s="3235">
        <f>[1]主表!B6</f>
        <v>0</v>
      </c>
      <c r="AE1" s="3240"/>
      <c r="AF1" s="3240"/>
    </row>
    <row r="2" spans="1:36" ht="24">
      <c r="A2" s="3241" t="s">
        <v>3346</v>
      </c>
      <c r="B2" s="3242" t="s">
        <v>3347</v>
      </c>
      <c r="C2" s="3243" t="s">
        <v>3348</v>
      </c>
      <c r="D2" s="3244" t="s">
        <v>3349</v>
      </c>
      <c r="E2" s="3245">
        <f>[1]主表!B12</f>
        <v>0</v>
      </c>
      <c r="F2" s="3244" t="s">
        <v>3350</v>
      </c>
      <c r="G2" s="3246">
        <f>[1]主表!B10</f>
        <v>0</v>
      </c>
      <c r="H2" s="3245" t="s">
        <v>3351</v>
      </c>
      <c r="I2" s="3247" t="s">
        <v>3483</v>
      </c>
      <c r="J2" s="3248"/>
      <c r="AE2" s="3240"/>
      <c r="AF2" s="3240"/>
    </row>
    <row r="3" spans="1:36" ht="15.75">
      <c r="A3" s="3249" t="s">
        <v>3352</v>
      </c>
      <c r="B3" s="3250">
        <f>C18</f>
        <v>0</v>
      </c>
      <c r="C3" s="3243" t="s">
        <v>3353</v>
      </c>
      <c r="D3" s="3244" t="s">
        <v>3354</v>
      </c>
      <c r="E3" s="3251"/>
      <c r="F3" s="3252" t="s">
        <v>3482</v>
      </c>
      <c r="G3" s="3253">
        <f>IF(F3="容积率",[1]主表!B8,[1]主表!B9)</f>
        <v>0</v>
      </c>
      <c r="H3" s="3254" t="s">
        <v>3356</v>
      </c>
      <c r="I3" s="3255">
        <f>SUMPRODUCT((A89:A92=E2)*(B88:K88=G2)*(B89:K92))</f>
        <v>0</v>
      </c>
      <c r="J3" s="3248"/>
      <c r="AE3" s="3240"/>
      <c r="AF3" s="3240"/>
    </row>
    <row r="4" spans="1:36" ht="15.75">
      <c r="A4" s="3241" t="s">
        <v>3357</v>
      </c>
      <c r="B4" s="3242">
        <f>C20</f>
        <v>0</v>
      </c>
      <c r="C4" s="3256" t="s">
        <v>3353</v>
      </c>
      <c r="D4" s="3257"/>
      <c r="E4" s="3258"/>
      <c r="F4" s="3258"/>
      <c r="G4" s="3259"/>
      <c r="H4" s="3260"/>
      <c r="I4" s="3261"/>
      <c r="J4" s="3248"/>
      <c r="AE4" s="3240"/>
      <c r="AF4" s="3240"/>
    </row>
    <row r="5" spans="1:36" ht="16.5" thickBot="1">
      <c r="A5" s="3234" t="s">
        <v>3358</v>
      </c>
      <c r="B5" s="3262">
        <f>C22</f>
        <v>0</v>
      </c>
      <c r="C5" s="3263" t="s">
        <v>3359</v>
      </c>
      <c r="D5" s="3264"/>
      <c r="E5" s="3264"/>
      <c r="F5" s="3264"/>
      <c r="G5" s="3264"/>
      <c r="H5" s="3264"/>
      <c r="I5" s="3264"/>
      <c r="J5" s="3265"/>
      <c r="AE5" s="3240"/>
      <c r="AF5" s="3240"/>
    </row>
    <row r="6" spans="1:36" s="3273" customFormat="1" ht="14.25">
      <c r="A6" s="3266" t="s">
        <v>3360</v>
      </c>
      <c r="B6" s="3267" t="s">
        <v>3361</v>
      </c>
      <c r="C6" s="3268"/>
      <c r="D6" s="3269"/>
      <c r="E6" s="3269"/>
      <c r="F6" s="3269"/>
      <c r="G6" s="3270"/>
      <c r="H6" s="3270"/>
      <c r="I6" s="3270"/>
      <c r="J6" s="3271"/>
      <c r="K6" s="3272"/>
      <c r="AE6" s="3274"/>
      <c r="AF6" s="3274"/>
      <c r="AG6" s="3275"/>
      <c r="AH6" s="3275"/>
      <c r="AI6" s="3275"/>
      <c r="AJ6" s="3275"/>
    </row>
    <row r="7" spans="1:36" ht="15.75">
      <c r="A7" s="3276">
        <v>1</v>
      </c>
      <c r="B7" s="3277" t="s">
        <v>3362</v>
      </c>
      <c r="C7" s="3278">
        <f>IF(I2="地上",'[1]2002地价表'!M1,ROUND('[1]2002地价表'!M1/3,0))</f>
        <v>0</v>
      </c>
      <c r="D7" s="3279" t="s">
        <v>3363</v>
      </c>
      <c r="E7" s="3280"/>
      <c r="F7" s="3280"/>
      <c r="G7" s="3281"/>
      <c r="H7" s="3281"/>
      <c r="I7" s="3281"/>
      <c r="J7" s="3282"/>
      <c r="K7" s="3283"/>
      <c r="AE7" s="3240"/>
      <c r="AF7" s="3240"/>
    </row>
    <row r="8" spans="1:36" ht="16.5" thickBot="1">
      <c r="A8" s="3284">
        <v>2</v>
      </c>
      <c r="B8" s="3285" t="s">
        <v>3364</v>
      </c>
      <c r="C8" s="3286"/>
      <c r="D8" s="3287" t="str">
        <f>"取值范围:"&amp;SUMPRODUCT(('[1]2002地价表'!K15:K24=G2)*('[1]2002地价表'!L14:O14=E2)*('[1]2002地价表'!L15:O24))&amp;"—"&amp;SUMPRODUCT(('[1]2002地价表'!K15:K24=G2)*('[1]2002地价表'!P14:S14=E2)*('[1]2002地价表'!P15:S24))</f>
        <v>取值范围:0—0</v>
      </c>
      <c r="E8" s="3288"/>
      <c r="F8" s="3289" t="s">
        <v>3365</v>
      </c>
      <c r="G8" s="3290"/>
      <c r="H8" s="3290"/>
      <c r="I8" s="3290"/>
      <c r="J8" s="3291"/>
      <c r="K8" s="3283"/>
      <c r="AE8" s="3240"/>
      <c r="AF8" s="3240"/>
    </row>
    <row r="9" spans="1:36" ht="16.5" thickBot="1">
      <c r="A9" s="3292" t="s">
        <v>3366</v>
      </c>
      <c r="B9" s="3293" t="s">
        <v>3367</v>
      </c>
      <c r="C9" s="3294">
        <f>IF(OR(H9&gt;=DATE(2014,8,28),H9&lt;DATE(2002,12,10)),0,ROUND(I9/F9,4))</f>
        <v>0</v>
      </c>
      <c r="D9" s="3295" t="s">
        <v>3368</v>
      </c>
      <c r="E9" s="3296">
        <v>37257</v>
      </c>
      <c r="F9" s="3297">
        <f>ROUND(SUMIF([1]地价!B3:F3,E2,[1]地价!B71:F71),0)</f>
        <v>0</v>
      </c>
      <c r="G9" s="3298" t="s">
        <v>3369</v>
      </c>
      <c r="H9" s="3299">
        <f>[1]主表!B4</f>
        <v>0</v>
      </c>
      <c r="I9" s="3300">
        <f>ROUND(SUMPRODUCT(([1]地价!A21:A71=YEAR(H9)&amp;"-"&amp;ROUNDUP(MONTH(H9)/3,0))*([1]地价!B3:F3=E2)*([1]地价!B21:F71)),0)</f>
        <v>0</v>
      </c>
      <c r="J9" s="3301"/>
      <c r="AE9" s="3240"/>
      <c r="AF9" s="3240"/>
    </row>
    <row r="10" spans="1:36" ht="16.5" thickBot="1">
      <c r="A10" s="3302" t="s">
        <v>3370</v>
      </c>
      <c r="B10" s="3303" t="s">
        <v>3371</v>
      </c>
      <c r="C10" s="3304">
        <f>ROUND(POWER(1+E10,H10-G10)*(POWER(1+E10,G10)-1)/(POWER(1+E10,H10)-1),4)</f>
        <v>-2.6866199279046402E+32</v>
      </c>
      <c r="D10" s="3305" t="s">
        <v>3372</v>
      </c>
      <c r="E10" s="3306">
        <v>0.04</v>
      </c>
      <c r="F10" s="3307" t="s">
        <v>3484</v>
      </c>
      <c r="G10" s="3308">
        <f>IF(F10="剩余土地使用年限",[1]主表!B15,[1]主表!B16)</f>
        <v>-1900</v>
      </c>
      <c r="H10" s="3308">
        <f>IF(E2="住宅/居住",70,IF(E2="商业",40,50))</f>
        <v>50</v>
      </c>
      <c r="I10" s="3309"/>
      <c r="J10" s="3310"/>
      <c r="AE10" s="3240"/>
      <c r="AF10" s="3240"/>
    </row>
    <row r="11" spans="1:36" ht="15">
      <c r="A11" s="3311" t="s">
        <v>3373</v>
      </c>
      <c r="B11" s="3312" t="s">
        <v>3374</v>
      </c>
      <c r="C11" s="3313">
        <f>IF(E2="工业",1,IF(G3&gt;10,D14,IF(D11="郊区",D13,D12)))</f>
        <v>0</v>
      </c>
      <c r="D11" s="3314"/>
      <c r="E11" s="3270"/>
      <c r="F11" s="3270"/>
      <c r="G11" s="3270"/>
      <c r="H11" s="3270"/>
      <c r="I11" s="3270"/>
      <c r="J11" s="3315"/>
      <c r="AE11" s="3240"/>
      <c r="AF11" s="3240"/>
    </row>
    <row r="12" spans="1:36" ht="15">
      <c r="A12" s="3316"/>
      <c r="B12" s="3317" t="s">
        <v>3375</v>
      </c>
      <c r="C12" s="3318" t="s">
        <v>3376</v>
      </c>
      <c r="D12" s="3319">
        <f>IF(E12=G12,F12,IF(G3&lt;=10,ROUND(F12+(H12-F12)*(G3-E12)/(G12-E12),4),"——"))</f>
        <v>0</v>
      </c>
      <c r="E12" s="3320">
        <f>ROUNDDOWN(G3,1)</f>
        <v>0</v>
      </c>
      <c r="F12" s="3321">
        <f>IF(G3&lt;=10,SUMPRODUCT(('[1]2002容积率修正'!A3:A102=E12)*('[1]2002容积率修正'!B2:D2=E2)*('[1]2002容积率修正'!B3:D102)),"——")</f>
        <v>0</v>
      </c>
      <c r="G12" s="3322">
        <f>ROUNDUP(G3,1)</f>
        <v>0</v>
      </c>
      <c r="H12" s="3318">
        <f>IF(G3&lt;=10,SUMPRODUCT(('[1]2002容积率修正'!A3:A102=G12)*('[1]2002容积率修正'!B2:D2=E2)*('[1]2002容积率修正'!B3:D102)),"——")</f>
        <v>0</v>
      </c>
      <c r="I12" s="3323"/>
      <c r="J12" s="3324"/>
      <c r="AE12" s="3240"/>
      <c r="AF12" s="3240"/>
    </row>
    <row r="13" spans="1:36" ht="15">
      <c r="A13" s="3316"/>
      <c r="B13" s="3317" t="s">
        <v>3377</v>
      </c>
      <c r="C13" s="3318" t="s">
        <v>3376</v>
      </c>
      <c r="D13" s="3319">
        <f>IF(E12=G12,F12,IF(G3&lt;=10,ROUND(F12+(H12-F12)*(G3-E12)/(G12-E12),4),"——"))</f>
        <v>0</v>
      </c>
      <c r="E13" s="3320">
        <f>ROUNDDOWN(G3,1)</f>
        <v>0</v>
      </c>
      <c r="F13" s="3321">
        <f>IF(G3&lt;=10,SUMPRODUCT(('[1]2002容积率修正'!A3:A102=E13)*('[1]2002容积率修正'!E2:G2=E2)*('[1]2002容积率修正'!E3:G102)),"——")</f>
        <v>0</v>
      </c>
      <c r="G13" s="3322">
        <f>ROUNDUP(G3,1)</f>
        <v>0</v>
      </c>
      <c r="H13" s="3318">
        <f>IF(G3&lt;=10,SUMPRODUCT(('[1]2002容积率修正'!A3:A102=G13)*('[1]2002容积率修正'!E2:G2=E2)*('[1]2002容积率修正'!E3:G102)),"——")</f>
        <v>0</v>
      </c>
      <c r="I13" s="3325"/>
      <c r="J13" s="3326"/>
      <c r="AE13" s="3240"/>
      <c r="AF13" s="3240"/>
    </row>
    <row r="14" spans="1:36" ht="15.75" thickBot="1">
      <c r="A14" s="3327"/>
      <c r="B14" s="3328"/>
      <c r="C14" s="3329" t="s">
        <v>3378</v>
      </c>
      <c r="D14" s="3330" t="str">
        <f>IF(G3&gt;10,B81,"——")</f>
        <v>——</v>
      </c>
      <c r="E14" s="3331"/>
      <c r="F14" s="3329"/>
      <c r="G14" s="3332"/>
      <c r="H14" s="3329"/>
      <c r="I14" s="3333"/>
      <c r="J14" s="3334"/>
      <c r="AE14" s="3240"/>
      <c r="AF14" s="3240"/>
    </row>
    <row r="15" spans="1:36" ht="16.5" thickBot="1">
      <c r="A15" s="3335" t="s">
        <v>3379</v>
      </c>
      <c r="B15" s="3336" t="s">
        <v>3380</v>
      </c>
      <c r="C15" s="3337">
        <f>SUMIF(A40:A76,E2,B40:B76)</f>
        <v>0</v>
      </c>
      <c r="D15" s="3338"/>
      <c r="E15" s="3339"/>
      <c r="F15" s="3339"/>
      <c r="G15" s="3339"/>
      <c r="H15" s="3339"/>
      <c r="I15" s="3339"/>
      <c r="J15" s="3340"/>
      <c r="AE15" s="3240"/>
      <c r="AF15" s="3240"/>
    </row>
    <row r="16" spans="1:36" ht="29.25" thickBot="1">
      <c r="A16" s="3302" t="s">
        <v>3381</v>
      </c>
      <c r="B16" s="3303" t="s">
        <v>3382</v>
      </c>
      <c r="C16" s="3341"/>
      <c r="D16" s="3342" t="s">
        <v>3383</v>
      </c>
      <c r="E16" s="3343" t="s">
        <v>3384</v>
      </c>
      <c r="F16" s="3344"/>
      <c r="G16" s="3345" t="s">
        <v>3385</v>
      </c>
      <c r="H16" s="3346" t="str">
        <f>IF(E2="工业",IF(OR(G2="六级",G2="七级",G2="八级",G2="九级"),"五通一平","七通一平"),IF(OR(G2="七级",G2="八级",G2="九级",G2="十级"),"五通一平","七通一平"))</f>
        <v>七通一平</v>
      </c>
      <c r="I16" s="3347"/>
      <c r="J16" s="3348"/>
      <c r="L16" s="3236"/>
      <c r="M16" s="3236"/>
      <c r="N16" s="3236"/>
      <c r="O16" s="3236"/>
      <c r="P16" s="3236"/>
      <c r="Q16" s="3236"/>
      <c r="R16" s="3236"/>
      <c r="S16" s="3236"/>
      <c r="T16" s="3236"/>
      <c r="U16" s="3236"/>
      <c r="V16" s="3236"/>
      <c r="W16" s="3236"/>
      <c r="X16" s="3236"/>
      <c r="Y16" s="3236"/>
      <c r="Z16" s="3236"/>
      <c r="AA16" s="3236"/>
      <c r="AB16" s="3236"/>
      <c r="AC16" s="3236"/>
      <c r="AD16" s="3236"/>
      <c r="AE16" s="3240"/>
      <c r="AF16" s="3240"/>
    </row>
    <row r="17" spans="1:37" ht="12" customHeight="1">
      <c r="A17" s="3266" t="s">
        <v>3386</v>
      </c>
      <c r="B17" s="3349" t="s">
        <v>3387</v>
      </c>
      <c r="C17" s="3350" t="s">
        <v>3388</v>
      </c>
      <c r="D17" s="3351" t="s">
        <v>3389</v>
      </c>
      <c r="E17" s="3352" t="s">
        <v>3390</v>
      </c>
      <c r="F17" s="3269"/>
      <c r="G17" s="3270"/>
      <c r="H17" s="3270"/>
      <c r="I17" s="3270"/>
      <c r="J17" s="3271"/>
      <c r="L17" s="3236"/>
      <c r="M17" s="3236"/>
      <c r="N17" s="3236"/>
      <c r="O17" s="3236"/>
      <c r="P17" s="3236"/>
      <c r="Q17" s="3236"/>
      <c r="R17" s="3236"/>
      <c r="S17" s="3236"/>
      <c r="T17" s="3236"/>
      <c r="U17" s="3236"/>
      <c r="V17" s="3236"/>
      <c r="W17" s="3236"/>
      <c r="X17" s="3236"/>
      <c r="Y17" s="3236"/>
      <c r="Z17" s="3236"/>
      <c r="AA17" s="3236"/>
      <c r="AB17" s="3236"/>
      <c r="AC17" s="3236"/>
      <c r="AD17" s="3236"/>
      <c r="AE17" s="3240"/>
      <c r="AF17" s="3240"/>
    </row>
    <row r="18" spans="1:37" s="3273" customFormat="1" ht="15.75">
      <c r="A18" s="3353" t="s">
        <v>3391</v>
      </c>
      <c r="B18" s="3354" t="s">
        <v>3361</v>
      </c>
      <c r="C18" s="3355">
        <f>ROUND(C7*C9*C10*C11*C15*C16,0)</f>
        <v>0</v>
      </c>
      <c r="D18" s="3356">
        <f>H1</f>
        <v>0</v>
      </c>
      <c r="E18" s="3357">
        <f>ROUND(C18*D18,0)</f>
        <v>0</v>
      </c>
      <c r="F18" s="3358" t="s">
        <v>3392</v>
      </c>
      <c r="G18" s="3359"/>
      <c r="H18" s="3359"/>
      <c r="I18" s="3359"/>
      <c r="J18" s="3360"/>
      <c r="K18" s="3361"/>
      <c r="L18" s="3236"/>
      <c r="M18" s="3236"/>
      <c r="N18" s="3236"/>
      <c r="O18" s="3236"/>
      <c r="P18" s="3236"/>
      <c r="Q18" s="3236"/>
      <c r="R18" s="3236"/>
      <c r="S18" s="3236"/>
      <c r="T18" s="3236"/>
      <c r="U18" s="3236"/>
      <c r="V18" s="3236"/>
      <c r="W18" s="3236"/>
      <c r="X18" s="3236"/>
      <c r="Y18" s="3236"/>
      <c r="Z18" s="3240"/>
      <c r="AA18" s="3240"/>
      <c r="AB18" s="3240"/>
      <c r="AC18" s="3240"/>
      <c r="AD18" s="3240"/>
      <c r="AE18" s="3240"/>
      <c r="AF18" s="3240"/>
      <c r="AG18" s="3238"/>
      <c r="AH18" s="3238"/>
      <c r="AI18" s="3238"/>
    </row>
    <row r="19" spans="1:37" s="3273" customFormat="1" ht="15">
      <c r="A19" s="3362"/>
      <c r="B19" s="3363" t="s">
        <v>3393</v>
      </c>
      <c r="C19" s="3318">
        <f>ROUND(C7*C9*C10*C11*C15*C16*G3,0)</f>
        <v>0</v>
      </c>
      <c r="D19" s="3356">
        <f>J1</f>
        <v>0</v>
      </c>
      <c r="E19" s="3357">
        <f>ROUND(C19*D19,0)</f>
        <v>0</v>
      </c>
      <c r="F19" s="3364" t="s">
        <v>3394</v>
      </c>
      <c r="G19" s="3281"/>
      <c r="H19" s="3281"/>
      <c r="I19" s="3281"/>
      <c r="J19" s="3282"/>
      <c r="K19" s="3361"/>
      <c r="L19" s="3236"/>
      <c r="M19" s="3236"/>
      <c r="N19" s="3236"/>
      <c r="O19" s="3236"/>
      <c r="P19" s="3236"/>
      <c r="Q19" s="3236"/>
      <c r="R19" s="3236"/>
      <c r="S19" s="3236"/>
      <c r="T19" s="3236"/>
      <c r="U19" s="3236"/>
      <c r="V19" s="3236"/>
      <c r="W19" s="3236"/>
      <c r="X19" s="3236"/>
      <c r="Y19" s="3236"/>
      <c r="Z19" s="3240"/>
      <c r="AA19" s="3240"/>
      <c r="AB19" s="3240"/>
      <c r="AC19" s="3240"/>
      <c r="AD19" s="3240"/>
      <c r="AE19" s="3240"/>
      <c r="AF19" s="3240"/>
      <c r="AG19" s="3238"/>
      <c r="AH19" s="3238"/>
      <c r="AI19" s="3238"/>
    </row>
    <row r="20" spans="1:37" s="3273" customFormat="1" ht="15">
      <c r="A20" s="3365" t="s">
        <v>3395</v>
      </c>
      <c r="B20" s="3317" t="s">
        <v>3396</v>
      </c>
      <c r="C20" s="3366">
        <f>ROUND(IF(G3&gt;=I3,C8*C9*C10*C15,C8*C9*C10*C15*G3),0)</f>
        <v>0</v>
      </c>
      <c r="D20" s="3367">
        <f>H1</f>
        <v>0</v>
      </c>
      <c r="E20" s="3368">
        <f>ROUND(C20*D20,0)</f>
        <v>0</v>
      </c>
      <c r="F20" s="3369" t="s">
        <v>3397</v>
      </c>
      <c r="G20" s="3370"/>
      <c r="H20" s="3370"/>
      <c r="I20" s="3370"/>
      <c r="J20" s="3301"/>
      <c r="K20" s="3361"/>
      <c r="L20" s="3236"/>
      <c r="M20" s="3236"/>
      <c r="N20" s="3236"/>
      <c r="O20" s="3236"/>
      <c r="P20" s="3236"/>
      <c r="Q20" s="3236"/>
      <c r="R20" s="3236"/>
      <c r="S20" s="3236"/>
      <c r="T20" s="3236"/>
      <c r="U20" s="3236"/>
      <c r="V20" s="3236"/>
      <c r="W20" s="3236"/>
      <c r="X20" s="3236"/>
      <c r="Y20" s="3236"/>
      <c r="Z20" s="3240"/>
      <c r="AA20" s="3240"/>
      <c r="AB20" s="3240"/>
      <c r="AC20" s="3240"/>
      <c r="AD20" s="3240"/>
      <c r="AE20" s="3240"/>
      <c r="AF20" s="3240"/>
      <c r="AG20" s="3238"/>
      <c r="AH20" s="3238"/>
      <c r="AI20" s="3238"/>
    </row>
    <row r="21" spans="1:37" s="3273" customFormat="1" ht="15">
      <c r="A21" s="3365"/>
      <c r="B21" s="3371" t="s">
        <v>3398</v>
      </c>
      <c r="C21" s="3372">
        <f>ROUND(IF(G3&lt;I3,C8*C9*C10*C15,C8*C9*C10*C15*G3),0)</f>
        <v>0</v>
      </c>
      <c r="D21" s="3373">
        <f>J1</f>
        <v>0</v>
      </c>
      <c r="E21" s="3374">
        <f t="shared" ref="E21" si="0">ROUND(C21*D21,0)</f>
        <v>0</v>
      </c>
      <c r="F21" s="3375" t="s">
        <v>3399</v>
      </c>
      <c r="G21" s="3370"/>
      <c r="H21" s="3370"/>
      <c r="I21" s="3370"/>
      <c r="J21" s="3301"/>
      <c r="K21" s="3361"/>
      <c r="L21" s="3236"/>
      <c r="M21" s="3236"/>
      <c r="N21" s="3236"/>
      <c r="O21" s="3236"/>
      <c r="P21" s="3236"/>
      <c r="Q21" s="3236"/>
      <c r="R21" s="3236"/>
      <c r="S21" s="3236"/>
      <c r="T21" s="3236"/>
      <c r="U21" s="3236"/>
      <c r="V21" s="3236"/>
      <c r="W21" s="3236"/>
      <c r="X21" s="3236"/>
      <c r="Y21" s="3236"/>
      <c r="Z21" s="3240"/>
      <c r="AA21" s="3240"/>
      <c r="AB21" s="3240"/>
      <c r="AC21" s="3240"/>
      <c r="AD21" s="3240"/>
      <c r="AE21" s="3361"/>
      <c r="AF21" s="3376"/>
      <c r="AG21" s="3377"/>
      <c r="AH21" s="3238"/>
      <c r="AI21" s="3275"/>
      <c r="AJ21" s="3275"/>
      <c r="AK21" s="3275"/>
    </row>
    <row r="22" spans="1:37" s="3273" customFormat="1" ht="15.75" thickBot="1">
      <c r="A22" s="3378" t="s">
        <v>3400</v>
      </c>
      <c r="B22" s="3379"/>
      <c r="C22" s="3330">
        <f>ROUND(IF(D22="四环路内",C18*0.4,C18*0.6),0)</f>
        <v>0</v>
      </c>
      <c r="D22" s="3380"/>
      <c r="E22" s="3381"/>
      <c r="F22" s="3381"/>
      <c r="G22" s="3381"/>
      <c r="H22" s="3381"/>
      <c r="I22" s="3381"/>
      <c r="J22" s="3382"/>
      <c r="K22" s="3361"/>
      <c r="L22" s="3236"/>
      <c r="M22" s="3236"/>
      <c r="N22" s="3236"/>
      <c r="O22" s="3236"/>
      <c r="P22" s="3236"/>
      <c r="Q22" s="3236"/>
      <c r="R22" s="3236"/>
      <c r="S22" s="3236"/>
      <c r="T22" s="3236"/>
      <c r="U22" s="3236"/>
      <c r="V22" s="3236"/>
      <c r="W22" s="3236"/>
      <c r="X22" s="3236"/>
      <c r="Y22" s="3236"/>
      <c r="Z22" s="3240"/>
      <c r="AA22" s="3240"/>
      <c r="AB22" s="3240"/>
      <c r="AC22" s="3240"/>
      <c r="AD22" s="3240"/>
      <c r="AE22" s="3361"/>
      <c r="AF22" s="3361"/>
    </row>
    <row r="23" spans="1:37" s="3273" customFormat="1" ht="14.25" thickBot="1">
      <c r="A23" s="3238"/>
      <c r="B23" s="3383"/>
      <c r="C23" s="3384"/>
      <c r="D23" s="3237"/>
      <c r="E23" s="3237"/>
      <c r="F23" s="3237"/>
      <c r="G23" s="3237"/>
      <c r="H23" s="3237"/>
      <c r="I23" s="3237"/>
      <c r="J23" s="3237"/>
      <c r="K23" s="3361"/>
      <c r="L23" s="3236"/>
      <c r="M23" s="3236"/>
      <c r="N23" s="3236"/>
      <c r="O23" s="3236"/>
      <c r="P23" s="3236"/>
      <c r="Q23" s="3236"/>
      <c r="R23" s="3236"/>
      <c r="S23" s="3236"/>
      <c r="T23" s="3236"/>
      <c r="U23" s="3236"/>
      <c r="V23" s="3236"/>
      <c r="W23" s="3236"/>
      <c r="X23" s="3236"/>
      <c r="Y23" s="3236"/>
      <c r="Z23" s="3240"/>
      <c r="AA23" s="3240"/>
      <c r="AB23" s="3240"/>
      <c r="AC23" s="3240"/>
      <c r="AD23" s="3240"/>
      <c r="AE23" s="3361"/>
      <c r="AF23" s="3361"/>
    </row>
    <row r="24" spans="1:37" s="3273" customFormat="1" ht="14.25" thickBot="1">
      <c r="A24" s="3385" t="s">
        <v>3401</v>
      </c>
      <c r="B24" s="3386" t="e">
        <f>ROUNDDOWN(1+DATEDIF(E9,H9,"M")/3,0)</f>
        <v>#NUM!</v>
      </c>
      <c r="C24" s="3240"/>
      <c r="D24" s="3376"/>
      <c r="E24" s="3376"/>
      <c r="F24" s="3376"/>
      <c r="G24" s="3376"/>
      <c r="H24" s="3376"/>
      <c r="I24" s="3240"/>
      <c r="J24" s="3240"/>
      <c r="K24" s="3240"/>
      <c r="L24" s="3240"/>
      <c r="M24" s="3236"/>
      <c r="N24" s="3236"/>
      <c r="O24" s="3361"/>
      <c r="P24" s="3361"/>
      <c r="Q24" s="3361"/>
      <c r="R24" s="3361"/>
      <c r="S24" s="3361"/>
      <c r="T24" s="3236"/>
      <c r="U24" s="3236"/>
      <c r="V24" s="3236"/>
      <c r="W24" s="3236"/>
      <c r="X24" s="3236"/>
      <c r="Y24" s="3236"/>
      <c r="Z24" s="3240"/>
      <c r="AA24" s="3240"/>
      <c r="AB24" s="3240"/>
      <c r="AC24" s="3240"/>
      <c r="AD24" s="3240"/>
      <c r="AE24" s="3361"/>
      <c r="AF24" s="3361"/>
    </row>
    <row r="25" spans="1:37" s="3273" customFormat="1" ht="13.5">
      <c r="A25" s="3387" t="s">
        <v>3402</v>
      </c>
      <c r="B25" s="3388" t="s">
        <v>3403</v>
      </c>
      <c r="C25" s="3389" t="s">
        <v>96</v>
      </c>
      <c r="D25" s="3376"/>
      <c r="E25" s="3376"/>
      <c r="F25" s="3376"/>
      <c r="G25" s="3376"/>
      <c r="H25" s="3376"/>
      <c r="I25" s="3240"/>
      <c r="J25" s="3240"/>
      <c r="K25" s="3240"/>
      <c r="L25" s="3240"/>
      <c r="M25" s="3236"/>
      <c r="N25" s="3236"/>
      <c r="O25" s="3361"/>
      <c r="P25" s="3361"/>
      <c r="Q25" s="3361"/>
      <c r="R25" s="3361"/>
      <c r="S25" s="3361"/>
      <c r="T25" s="3236"/>
      <c r="U25" s="3236"/>
      <c r="V25" s="3236"/>
      <c r="W25" s="3236"/>
      <c r="X25" s="3236"/>
      <c r="Y25" s="3236"/>
      <c r="Z25" s="3240"/>
      <c r="AA25" s="3240"/>
      <c r="AB25" s="3240"/>
      <c r="AC25" s="3240"/>
      <c r="AD25" s="3240"/>
      <c r="AE25" s="3361"/>
      <c r="AF25" s="3361"/>
    </row>
    <row r="26" spans="1:37" s="3273" customFormat="1" ht="14.25">
      <c r="A26" s="3390" t="s">
        <v>3404</v>
      </c>
      <c r="B26" s="3391"/>
      <c r="C26" s="3392">
        <f>'[1]地价（废）'!L2</f>
        <v>1.9300000000000001E-2</v>
      </c>
      <c r="D26" s="3376"/>
      <c r="E26" s="3376"/>
      <c r="F26" s="3376"/>
      <c r="G26" s="3376"/>
      <c r="H26" s="3376"/>
      <c r="I26" s="3240"/>
      <c r="J26" s="3240"/>
      <c r="K26" s="3240"/>
      <c r="L26" s="3240"/>
      <c r="M26" s="3236"/>
      <c r="N26" s="3236"/>
      <c r="O26" s="3361"/>
      <c r="P26" s="3361"/>
      <c r="Q26" s="3361"/>
      <c r="R26" s="3361"/>
      <c r="S26" s="3361"/>
      <c r="T26" s="3236"/>
      <c r="U26" s="3236"/>
      <c r="V26" s="3236"/>
      <c r="W26" s="3236"/>
      <c r="X26" s="3236"/>
      <c r="Y26" s="3236"/>
      <c r="Z26" s="3240"/>
      <c r="AA26" s="3240"/>
      <c r="AB26" s="3240"/>
      <c r="AC26" s="3240"/>
      <c r="AD26" s="3240"/>
      <c r="AE26" s="3361"/>
      <c r="AF26" s="3361"/>
    </row>
    <row r="27" spans="1:37" s="3273" customFormat="1" ht="14.25">
      <c r="A27" s="3390" t="s">
        <v>3405</v>
      </c>
      <c r="B27" s="3393">
        <v>0.02</v>
      </c>
      <c r="C27" s="3392">
        <f>'[1]地价（废）'!M2</f>
        <v>1.78E-2</v>
      </c>
      <c r="D27" s="3376"/>
      <c r="E27" s="3376"/>
      <c r="F27" s="3376"/>
      <c r="G27" s="3376"/>
      <c r="H27" s="3376"/>
      <c r="I27" s="3240"/>
      <c r="J27" s="3240"/>
      <c r="K27" s="3240"/>
      <c r="L27" s="3240"/>
      <c r="M27" s="3236"/>
      <c r="N27" s="3236"/>
      <c r="O27" s="3361"/>
      <c r="P27" s="3361"/>
      <c r="Q27" s="3361"/>
      <c r="R27" s="3361"/>
      <c r="S27" s="3361"/>
      <c r="T27" s="3236"/>
      <c r="U27" s="3236"/>
      <c r="V27" s="3236"/>
      <c r="W27" s="3236"/>
      <c r="X27" s="3236"/>
      <c r="Y27" s="3236"/>
      <c r="Z27" s="3240"/>
      <c r="AA27" s="3240"/>
      <c r="AB27" s="3240"/>
      <c r="AC27" s="3240"/>
      <c r="AD27" s="3240"/>
      <c r="AE27" s="3361"/>
      <c r="AF27" s="3361"/>
    </row>
    <row r="28" spans="1:37" s="3273" customFormat="1" ht="14.25">
      <c r="A28" s="3390" t="s">
        <v>3406</v>
      </c>
      <c r="B28" s="3393">
        <v>0.02</v>
      </c>
      <c r="C28" s="3392">
        <f>'[1]地价（废）'!N2</f>
        <v>1.78E-2</v>
      </c>
      <c r="D28" s="3376"/>
      <c r="E28" s="3376"/>
      <c r="F28" s="3376"/>
      <c r="G28" s="3376"/>
      <c r="H28" s="3376"/>
      <c r="I28" s="3240"/>
      <c r="J28" s="3240"/>
      <c r="K28" s="3240"/>
      <c r="L28" s="3240"/>
      <c r="M28" s="3236"/>
      <c r="N28" s="3236"/>
      <c r="O28" s="3361"/>
      <c r="P28" s="3361"/>
      <c r="Q28" s="3361"/>
      <c r="R28" s="3361"/>
      <c r="S28" s="3361"/>
      <c r="T28" s="3236"/>
      <c r="U28" s="3236"/>
      <c r="V28" s="3236"/>
      <c r="W28" s="3236"/>
      <c r="X28" s="3236"/>
      <c r="Y28" s="3236"/>
      <c r="Z28" s="3240"/>
      <c r="AA28" s="3240"/>
      <c r="AB28" s="3240"/>
      <c r="AC28" s="3240"/>
      <c r="AD28" s="3240"/>
      <c r="AE28" s="3361"/>
      <c r="AF28" s="3361"/>
    </row>
    <row r="29" spans="1:37" s="3273" customFormat="1" ht="14.25">
      <c r="A29" s="3390" t="s">
        <v>3407</v>
      </c>
      <c r="B29" s="3393">
        <v>2.5899999999999999E-2</v>
      </c>
      <c r="C29" s="3392">
        <f>'[1]地价（废）'!O2</f>
        <v>1.9900000000000001E-2</v>
      </c>
      <c r="D29" s="3376"/>
      <c r="E29" s="3376"/>
      <c r="F29" s="3376"/>
      <c r="G29" s="3376"/>
      <c r="H29" s="3376"/>
      <c r="I29" s="3240"/>
      <c r="J29" s="3240"/>
      <c r="K29" s="3240"/>
      <c r="L29" s="3240"/>
      <c r="M29" s="3236"/>
      <c r="N29" s="3236"/>
      <c r="O29" s="3361"/>
      <c r="P29" s="3361"/>
      <c r="Q29" s="3361"/>
      <c r="R29" s="3361"/>
      <c r="S29" s="3361"/>
      <c r="T29" s="3236"/>
      <c r="U29" s="3236"/>
      <c r="V29" s="3236"/>
      <c r="W29" s="3236"/>
      <c r="X29" s="3236"/>
      <c r="Y29" s="3236"/>
      <c r="Z29" s="3240"/>
      <c r="AA29" s="3240"/>
      <c r="AB29" s="3240"/>
      <c r="AC29" s="3240"/>
      <c r="AD29" s="3240"/>
      <c r="AE29" s="3361"/>
      <c r="AF29" s="3361"/>
    </row>
    <row r="30" spans="1:37" s="3273" customFormat="1" ht="15" thickBot="1">
      <c r="A30" s="3394" t="s">
        <v>3408</v>
      </c>
      <c r="B30" s="3395">
        <v>0.02</v>
      </c>
      <c r="C30" s="3396">
        <f>'[1]地价（废）'!P2</f>
        <v>1.7899999999999999E-2</v>
      </c>
      <c r="D30" s="3376"/>
      <c r="E30" s="3376"/>
      <c r="F30" s="3376"/>
      <c r="G30" s="3376"/>
      <c r="H30" s="3376"/>
      <c r="I30" s="3240"/>
      <c r="J30" s="3240"/>
      <c r="K30" s="3240"/>
      <c r="L30" s="3240"/>
      <c r="M30" s="3236"/>
      <c r="N30" s="3236"/>
      <c r="O30" s="3361"/>
      <c r="P30" s="3361"/>
      <c r="Q30" s="3361"/>
      <c r="R30" s="3361"/>
      <c r="S30" s="3361"/>
      <c r="T30" s="3236"/>
      <c r="U30" s="3236"/>
      <c r="V30" s="3236"/>
      <c r="W30" s="3236"/>
      <c r="X30" s="3236"/>
      <c r="Y30" s="3236"/>
      <c r="Z30" s="3240"/>
      <c r="AA30" s="3240"/>
      <c r="AB30" s="3240"/>
      <c r="AC30" s="3240"/>
      <c r="AD30" s="3240"/>
      <c r="AE30" s="3361"/>
      <c r="AF30" s="3361"/>
    </row>
    <row r="31" spans="1:37" s="3273" customFormat="1" ht="13.5">
      <c r="A31" s="3376"/>
      <c r="B31" s="3376"/>
      <c r="C31" s="3376"/>
      <c r="D31" s="3376"/>
      <c r="E31" s="3376"/>
      <c r="F31" s="3376"/>
      <c r="G31" s="3376"/>
      <c r="H31" s="3376"/>
      <c r="I31" s="3240"/>
      <c r="J31" s="3240"/>
      <c r="K31" s="3240"/>
      <c r="L31" s="3240"/>
      <c r="M31" s="3236"/>
      <c r="N31" s="3236"/>
      <c r="O31" s="3361"/>
      <c r="P31" s="3361"/>
      <c r="Q31" s="3361"/>
      <c r="R31" s="3361"/>
      <c r="S31" s="3361"/>
      <c r="T31" s="3236"/>
      <c r="U31" s="3236"/>
      <c r="V31" s="3236"/>
      <c r="W31" s="3236"/>
      <c r="X31" s="3236"/>
      <c r="Y31" s="3236"/>
      <c r="Z31" s="3240"/>
      <c r="AA31" s="3240"/>
      <c r="AB31" s="3240"/>
      <c r="AC31" s="3240"/>
      <c r="AD31" s="3240"/>
      <c r="AE31" s="3361"/>
      <c r="AF31" s="3361"/>
    </row>
    <row r="32" spans="1:37" s="3273" customFormat="1" ht="13.5">
      <c r="A32" s="3376"/>
      <c r="B32" s="3376"/>
      <c r="C32" s="3376"/>
      <c r="D32" s="3376"/>
      <c r="E32" s="3376"/>
      <c r="F32" s="3376"/>
      <c r="G32" s="3376"/>
      <c r="H32" s="3376"/>
      <c r="I32" s="3240"/>
      <c r="J32" s="3240"/>
      <c r="K32" s="3240"/>
      <c r="L32" s="3240"/>
      <c r="M32" s="3236"/>
      <c r="N32" s="3236"/>
      <c r="O32" s="3361"/>
      <c r="P32" s="3361"/>
      <c r="Q32" s="3361"/>
      <c r="R32" s="3361"/>
      <c r="S32" s="3361"/>
      <c r="T32" s="3236"/>
      <c r="U32" s="3236"/>
      <c r="V32" s="3236"/>
      <c r="W32" s="3236"/>
      <c r="X32" s="3236"/>
      <c r="Y32" s="3236"/>
      <c r="Z32" s="3240"/>
      <c r="AA32" s="3240"/>
      <c r="AB32" s="3240"/>
      <c r="AC32" s="3240"/>
      <c r="AD32" s="3240"/>
      <c r="AE32" s="3361"/>
      <c r="AF32" s="3361"/>
    </row>
    <row r="33" spans="1:37" s="3273" customFormat="1" ht="13.5">
      <c r="A33" s="3376"/>
      <c r="B33" s="3376"/>
      <c r="C33" s="3376"/>
      <c r="D33" s="3376"/>
      <c r="E33" s="3376"/>
      <c r="F33" s="3376"/>
      <c r="G33" s="3376"/>
      <c r="H33" s="3376"/>
      <c r="I33" s="3240"/>
      <c r="J33" s="3240"/>
      <c r="K33" s="3240"/>
      <c r="L33" s="3240"/>
      <c r="M33" s="3236"/>
      <c r="N33" s="3236"/>
      <c r="O33" s="3361"/>
      <c r="P33" s="3361"/>
      <c r="Q33" s="3361"/>
      <c r="R33" s="3361"/>
      <c r="S33" s="3361"/>
      <c r="T33" s="3236"/>
      <c r="U33" s="3236"/>
      <c r="V33" s="3236"/>
      <c r="W33" s="3236"/>
      <c r="X33" s="3236"/>
      <c r="Y33" s="3236"/>
      <c r="Z33" s="3240"/>
      <c r="AA33" s="3240"/>
      <c r="AB33" s="3240"/>
      <c r="AC33" s="3240"/>
      <c r="AD33" s="3240"/>
      <c r="AE33" s="3361"/>
      <c r="AF33" s="3361"/>
    </row>
    <row r="34" spans="1:37" s="3273" customFormat="1" ht="13.5">
      <c r="A34" s="3376"/>
      <c r="B34" s="3376"/>
      <c r="C34" s="3376"/>
      <c r="D34" s="3376"/>
      <c r="E34" s="3376"/>
      <c r="F34" s="3376"/>
      <c r="G34" s="3376"/>
      <c r="H34" s="3376"/>
      <c r="I34" s="3240"/>
      <c r="J34" s="3240"/>
      <c r="K34" s="3240"/>
      <c r="L34" s="3240"/>
      <c r="M34" s="3236"/>
      <c r="N34" s="3236"/>
      <c r="O34" s="3361"/>
      <c r="P34" s="3361"/>
      <c r="Q34" s="3361"/>
      <c r="R34" s="3361"/>
      <c r="S34" s="3361"/>
      <c r="T34" s="3236"/>
      <c r="U34" s="3236"/>
      <c r="V34" s="3236"/>
      <c r="W34" s="3236"/>
      <c r="X34" s="3236"/>
      <c r="Y34" s="3236"/>
      <c r="Z34" s="3240"/>
      <c r="AA34" s="3240"/>
      <c r="AB34" s="3240"/>
      <c r="AC34" s="3240"/>
      <c r="AD34" s="3240"/>
      <c r="AE34" s="3361"/>
      <c r="AF34" s="3361"/>
    </row>
    <row r="35" spans="1:37" s="3273" customFormat="1" ht="13.5">
      <c r="A35" s="3376"/>
      <c r="B35" s="3376"/>
      <c r="C35" s="3376"/>
      <c r="D35" s="3376"/>
      <c r="E35" s="3376"/>
      <c r="F35" s="3376"/>
      <c r="G35" s="3376"/>
      <c r="H35" s="3376"/>
      <c r="I35" s="3240"/>
      <c r="J35" s="3240"/>
      <c r="K35" s="3240"/>
      <c r="L35" s="3240"/>
      <c r="M35" s="3236"/>
      <c r="N35" s="3236"/>
      <c r="O35" s="3361"/>
      <c r="P35" s="3361"/>
      <c r="Q35" s="3361"/>
      <c r="R35" s="3361"/>
      <c r="S35" s="3361"/>
      <c r="T35" s="3236"/>
      <c r="U35" s="3236"/>
      <c r="V35" s="3236"/>
      <c r="W35" s="3236"/>
      <c r="X35" s="3236"/>
      <c r="Y35" s="3236"/>
      <c r="Z35" s="3240"/>
      <c r="AA35" s="3240"/>
      <c r="AB35" s="3240"/>
      <c r="AC35" s="3240"/>
      <c r="AD35" s="3240"/>
      <c r="AE35" s="3361"/>
      <c r="AF35" s="3361"/>
    </row>
    <row r="36" spans="1:37" s="3273" customFormat="1" ht="13.5">
      <c r="A36" s="3238"/>
      <c r="B36" s="3383"/>
      <c r="C36" s="3237"/>
      <c r="D36" s="3376"/>
      <c r="E36" s="3376"/>
      <c r="F36" s="3376"/>
      <c r="G36" s="3376"/>
      <c r="H36" s="3376"/>
      <c r="I36" s="3240"/>
      <c r="J36" s="3240"/>
      <c r="K36" s="3240"/>
      <c r="L36" s="3240"/>
      <c r="M36" s="3236"/>
      <c r="N36" s="3236"/>
      <c r="O36" s="3361"/>
      <c r="P36" s="3361"/>
      <c r="Q36" s="3361"/>
      <c r="R36" s="3361"/>
      <c r="S36" s="3361"/>
      <c r="T36" s="3236"/>
      <c r="U36" s="3236"/>
      <c r="V36" s="3236"/>
      <c r="W36" s="3236"/>
      <c r="X36" s="3236"/>
      <c r="Y36" s="3236"/>
      <c r="Z36" s="3240"/>
      <c r="AA36" s="3240"/>
      <c r="AB36" s="3240"/>
      <c r="AC36" s="3240"/>
      <c r="AD36" s="3240"/>
      <c r="AE36" s="3361"/>
      <c r="AF36" s="3361"/>
    </row>
    <row r="37" spans="1:37">
      <c r="A37" s="3240"/>
      <c r="B37" s="3397"/>
      <c r="C37" s="3236"/>
      <c r="D37" s="3236"/>
      <c r="E37" s="3236"/>
      <c r="F37" s="3236"/>
      <c r="G37" s="3236"/>
      <c r="H37" s="3236"/>
      <c r="I37" s="3236"/>
      <c r="J37" s="3236"/>
      <c r="L37" s="3236"/>
      <c r="M37" s="3236"/>
      <c r="N37" s="3236"/>
      <c r="O37" s="3236"/>
      <c r="P37" s="3236"/>
      <c r="Q37" s="3236"/>
      <c r="R37" s="3236"/>
      <c r="S37" s="3236"/>
      <c r="T37" s="3236"/>
      <c r="U37" s="3236"/>
      <c r="V37" s="3236"/>
      <c r="W37" s="3236"/>
      <c r="X37" s="3236"/>
      <c r="Y37" s="3236"/>
      <c r="Z37" s="3240"/>
      <c r="AA37" s="3240"/>
      <c r="AB37" s="3240"/>
      <c r="AC37" s="3240"/>
      <c r="AD37" s="3240"/>
      <c r="AE37" s="3240"/>
      <c r="AF37" s="3240"/>
      <c r="AK37" s="3238"/>
    </row>
    <row r="38" spans="1:37" s="3273" customFormat="1" ht="13.5">
      <c r="A38" s="3240"/>
      <c r="B38" s="3397"/>
      <c r="C38" s="3236"/>
      <c r="D38" s="3236"/>
      <c r="E38" s="3236"/>
      <c r="F38" s="3236"/>
      <c r="G38" s="3236"/>
      <c r="H38" s="3236"/>
      <c r="I38" s="3236"/>
      <c r="J38" s="3236"/>
      <c r="K38" s="3361"/>
      <c r="L38" s="3236"/>
      <c r="M38" s="3236"/>
      <c r="N38" s="3236"/>
      <c r="O38" s="3236"/>
      <c r="P38" s="3236"/>
      <c r="Q38" s="3236"/>
      <c r="R38" s="3236"/>
      <c r="S38" s="3236"/>
      <c r="T38" s="3236"/>
      <c r="U38" s="3236"/>
      <c r="V38" s="3236"/>
      <c r="W38" s="3236"/>
      <c r="X38" s="3236"/>
      <c r="Y38" s="3236"/>
      <c r="Z38" s="3240"/>
      <c r="AA38" s="3240"/>
      <c r="AB38" s="3240"/>
      <c r="AC38" s="3240"/>
      <c r="AD38" s="3240"/>
      <c r="AE38" s="3361"/>
      <c r="AF38" s="3361"/>
    </row>
    <row r="39" spans="1:37" ht="14.25" thickBot="1">
      <c r="A39" s="3398" t="s">
        <v>3409</v>
      </c>
      <c r="B39" s="3399"/>
      <c r="C39" s="3400"/>
      <c r="D39" s="3400"/>
      <c r="E39" s="3400"/>
      <c r="F39" s="3401"/>
      <c r="G39" s="3400"/>
      <c r="H39" s="3401"/>
      <c r="I39" s="3400"/>
      <c r="J39" s="3400"/>
      <c r="L39" s="3236"/>
      <c r="M39" s="3236"/>
      <c r="N39" s="3236"/>
      <c r="O39" s="3236"/>
      <c r="P39" s="3236"/>
      <c r="Q39" s="3236"/>
      <c r="R39" s="3236"/>
      <c r="S39" s="3236"/>
      <c r="T39" s="3236"/>
      <c r="U39" s="3236"/>
      <c r="V39" s="3236"/>
      <c r="W39" s="3236"/>
      <c r="X39" s="3236"/>
      <c r="Y39" s="3236"/>
      <c r="Z39" s="3240"/>
      <c r="AA39" s="3240"/>
      <c r="AB39" s="3240"/>
      <c r="AC39" s="3240"/>
      <c r="AD39" s="3240"/>
      <c r="AE39" s="3240"/>
      <c r="AF39" s="3240"/>
    </row>
    <row r="40" spans="1:37" ht="13.5">
      <c r="A40" s="3402" t="s">
        <v>3405</v>
      </c>
      <c r="B40" s="3403">
        <f>1+E42</f>
        <v>1</v>
      </c>
      <c r="C40" s="3404"/>
      <c r="D40" s="3405"/>
      <c r="E40" s="3406"/>
      <c r="F40" s="3407"/>
      <c r="G40" s="3401"/>
      <c r="H40" s="3400"/>
      <c r="I40" s="3400"/>
      <c r="J40" s="3400"/>
      <c r="L40" s="3236"/>
      <c r="M40" s="3236"/>
      <c r="N40" s="3236"/>
      <c r="O40" s="3236"/>
      <c r="P40" s="3236"/>
      <c r="Q40" s="3236"/>
      <c r="R40" s="3236"/>
      <c r="S40" s="3236"/>
      <c r="T40" s="3236"/>
      <c r="U40" s="3236"/>
      <c r="V40" s="3236"/>
      <c r="W40" s="3236"/>
      <c r="X40" s="3236"/>
      <c r="Y40" s="3236"/>
      <c r="Z40" s="3240"/>
      <c r="AA40" s="3240"/>
      <c r="AB40" s="3240"/>
      <c r="AC40" s="3240"/>
      <c r="AD40" s="3240"/>
      <c r="AE40" s="3240"/>
      <c r="AF40" s="3240"/>
    </row>
    <row r="41" spans="1:37" ht="13.5">
      <c r="A41" s="3408" t="s">
        <v>3410</v>
      </c>
      <c r="B41" s="3409" t="s">
        <v>3411</v>
      </c>
      <c r="C41" s="3409" t="s">
        <v>3412</v>
      </c>
      <c r="D41" s="3409" t="s">
        <v>3413</v>
      </c>
      <c r="E41" s="3410" t="s">
        <v>3414</v>
      </c>
      <c r="F41" s="3411" t="s">
        <v>3415</v>
      </c>
      <c r="G41" s="3411" t="s">
        <v>3416</v>
      </c>
      <c r="H41" s="3411" t="s">
        <v>3417</v>
      </c>
      <c r="I41" s="3411" t="s">
        <v>3418</v>
      </c>
      <c r="J41" s="3411" t="s">
        <v>3419</v>
      </c>
      <c r="L41" s="3236"/>
      <c r="M41" s="3236"/>
      <c r="N41" s="3236"/>
      <c r="O41" s="3236"/>
      <c r="P41" s="3236"/>
      <c r="Q41" s="3236"/>
      <c r="R41" s="3236"/>
      <c r="S41" s="3236"/>
      <c r="T41" s="3236"/>
      <c r="U41" s="3236"/>
      <c r="V41" s="3236"/>
      <c r="W41" s="3236"/>
      <c r="X41" s="3236"/>
      <c r="Y41" s="3236"/>
      <c r="Z41" s="3240"/>
      <c r="AA41" s="3240"/>
      <c r="AB41" s="3240"/>
      <c r="AC41" s="3240"/>
      <c r="AD41" s="3240"/>
      <c r="AE41" s="3240"/>
      <c r="AF41" s="3240"/>
    </row>
    <row r="42" spans="1:37" ht="36">
      <c r="A42" s="3408" t="s">
        <v>3420</v>
      </c>
      <c r="B42" s="3412" t="str">
        <f>[1]估价对象房地状况!C4</f>
        <v>估价对象位于XX商圈，周边商业氛围成熟，人流量大，商业繁华度好</v>
      </c>
      <c r="C42" s="3413"/>
      <c r="D42" s="3414">
        <f t="shared" ref="D42:D48" si="1">SUMIF($F$41:$J$41,C42,F42:J42)</f>
        <v>0</v>
      </c>
      <c r="E42" s="3415">
        <f>SUM(D42:D48)</f>
        <v>0</v>
      </c>
      <c r="F42" s="3416">
        <f>SUMPRODUCT(('[1]2002因素修正幅度'!$A$36:$A$42=A42)*('[1]2002因素修正幅度'!$B$35:$K$35=$G$2)*('[1]2002因素修正幅度'!$B$36:$K$42))</f>
        <v>0</v>
      </c>
      <c r="G42" s="3416">
        <f>F42/2</f>
        <v>0</v>
      </c>
      <c r="H42" s="3417">
        <v>0</v>
      </c>
      <c r="I42" s="3416">
        <f>J42/2</f>
        <v>0</v>
      </c>
      <c r="J42" s="3416">
        <f>SUMPRODUCT(('[1]2002因素修正幅度'!$A$66:$A$72=A42)*('[1]2002因素修正幅度'!$B$35:$K$35=$G$2)*('[1]2002因素修正幅度'!$B$66:$K$72))</f>
        <v>0</v>
      </c>
      <c r="L42" s="3236"/>
      <c r="M42" s="3236"/>
      <c r="N42" s="3418"/>
      <c r="O42" s="3236"/>
      <c r="P42" s="3236"/>
      <c r="Q42" s="3236"/>
      <c r="R42" s="3236"/>
      <c r="S42" s="3236"/>
      <c r="T42" s="3236"/>
      <c r="U42" s="3236"/>
      <c r="V42" s="3236"/>
      <c r="W42" s="3236"/>
      <c r="X42" s="3236"/>
      <c r="Y42" s="3236"/>
      <c r="Z42" s="3240"/>
      <c r="AA42" s="3240"/>
      <c r="AB42" s="3240"/>
      <c r="AC42" s="3240"/>
      <c r="AD42" s="3240"/>
      <c r="AE42" s="3240"/>
      <c r="AF42" s="3240"/>
    </row>
    <row r="43" spans="1:37" ht="48">
      <c r="A43" s="3408" t="s">
        <v>3421</v>
      </c>
      <c r="B43" s="3419" t="str">
        <f>[1]估价对象房地状况!C6</f>
        <v>估价对象周边道路状况、公共交通通达情况、停车便捷程度，综合评价交通便捷度较好</v>
      </c>
      <c r="C43" s="3413"/>
      <c r="D43" s="3414">
        <f t="shared" si="1"/>
        <v>0</v>
      </c>
      <c r="E43" s="3420"/>
      <c r="F43" s="3416">
        <f>SUMPRODUCT(('[1]2002因素修正幅度'!$A$36:$A$42=A43)*('[1]2002因素修正幅度'!$B$35:$K$35=$G$2)*('[1]2002因素修正幅度'!$B$36:$K$42))</f>
        <v>0</v>
      </c>
      <c r="G43" s="3416">
        <f t="shared" ref="G43:G48" si="2">F43/2</f>
        <v>0</v>
      </c>
      <c r="H43" s="3417">
        <v>0</v>
      </c>
      <c r="I43" s="3416">
        <f t="shared" ref="I43:I48" si="3">J43/2</f>
        <v>0</v>
      </c>
      <c r="J43" s="3416">
        <f>SUMPRODUCT(('[1]2002因素修正幅度'!$A$66:$A$72=A43)*('[1]2002因素修正幅度'!$B$35:$K$35=$G$2)*('[1]2002因素修正幅度'!$B$66:$K$72))</f>
        <v>0</v>
      </c>
      <c r="L43" s="3236"/>
      <c r="M43" s="3236"/>
      <c r="N43" s="3236"/>
      <c r="O43" s="3236"/>
      <c r="P43" s="3236"/>
      <c r="Q43" s="3236"/>
      <c r="R43" s="3236"/>
      <c r="S43" s="3236"/>
      <c r="T43" s="3236"/>
      <c r="U43" s="3236"/>
      <c r="V43" s="3236"/>
      <c r="W43" s="3236"/>
      <c r="X43" s="3236"/>
      <c r="Y43" s="3240"/>
      <c r="Z43" s="3240"/>
      <c r="AA43" s="3240"/>
      <c r="AB43" s="3240"/>
      <c r="AC43" s="3240"/>
      <c r="AD43" s="3240"/>
      <c r="AE43" s="3236"/>
      <c r="AF43" s="3236"/>
      <c r="AG43" s="3237"/>
      <c r="AH43" s="3237"/>
      <c r="AI43" s="3237"/>
      <c r="AJ43" s="3237"/>
    </row>
    <row r="44" spans="1:37" ht="24">
      <c r="A44" s="3408" t="s">
        <v>3422</v>
      </c>
      <c r="B44" s="3419" t="str">
        <f>[1]估价对象房地状况!C7</f>
        <v>零星有其他用地，基本不影响本宗地</v>
      </c>
      <c r="C44" s="3413"/>
      <c r="D44" s="3414">
        <f t="shared" si="1"/>
        <v>0</v>
      </c>
      <c r="E44" s="3420"/>
      <c r="F44" s="3416">
        <f>SUMPRODUCT(('[1]2002因素修正幅度'!$A$36:$A$42=A44)*('[1]2002因素修正幅度'!$B$35:$K$35=$G$2)*('[1]2002因素修正幅度'!$B$36:$K$42))</f>
        <v>0</v>
      </c>
      <c r="G44" s="3416">
        <f t="shared" si="2"/>
        <v>0</v>
      </c>
      <c r="H44" s="3417">
        <v>0</v>
      </c>
      <c r="I44" s="3416">
        <f t="shared" si="3"/>
        <v>0</v>
      </c>
      <c r="J44" s="3416">
        <f>SUMPRODUCT(('[1]2002因素修正幅度'!$A$66:$A$72=A44)*('[1]2002因素修正幅度'!$B$35:$K$35=$G$2)*('[1]2002因素修正幅度'!$B$66:$K$72))</f>
        <v>0</v>
      </c>
      <c r="L44" s="3236"/>
      <c r="M44" s="3236"/>
      <c r="N44" s="3236"/>
      <c r="O44" s="3236"/>
      <c r="P44" s="3236"/>
      <c r="Q44" s="3236"/>
      <c r="R44" s="3236"/>
      <c r="S44" s="3236"/>
      <c r="T44" s="3236"/>
      <c r="U44" s="3236"/>
      <c r="V44" s="3236"/>
      <c r="W44" s="3240"/>
      <c r="X44" s="3240"/>
      <c r="Y44" s="3240"/>
      <c r="Z44" s="3240"/>
      <c r="AA44" s="3240"/>
      <c r="AB44" s="3240"/>
      <c r="AC44" s="3240"/>
      <c r="AE44" s="3236"/>
      <c r="AF44" s="3236"/>
      <c r="AG44" s="3237"/>
      <c r="AH44" s="3237"/>
      <c r="AI44" s="3237"/>
      <c r="AJ44" s="3237"/>
    </row>
    <row r="45" spans="1:37" ht="36">
      <c r="A45" s="3408" t="s">
        <v>3423</v>
      </c>
      <c r="B45" s="3421" t="s">
        <v>3424</v>
      </c>
      <c r="C45" s="3413"/>
      <c r="D45" s="3414">
        <f t="shared" si="1"/>
        <v>0</v>
      </c>
      <c r="E45" s="3420"/>
      <c r="F45" s="3416">
        <f>SUMPRODUCT(('[1]2002因素修正幅度'!$A$36:$A$42=A45)*('[1]2002因素修正幅度'!$B$35:$K$35=$G$2)*('[1]2002因素修正幅度'!$B$36:$K$42))</f>
        <v>0</v>
      </c>
      <c r="G45" s="3416">
        <f t="shared" si="2"/>
        <v>0</v>
      </c>
      <c r="H45" s="3417">
        <v>0</v>
      </c>
      <c r="I45" s="3416">
        <f t="shared" si="3"/>
        <v>0</v>
      </c>
      <c r="J45" s="3416">
        <f>SUMPRODUCT(('[1]2002因素修正幅度'!$A$66:$A$72=A45)*('[1]2002因素修正幅度'!$B$35:$K$35=$G$2)*('[1]2002因素修正幅度'!$B$66:$K$72))</f>
        <v>0</v>
      </c>
      <c r="L45" s="3236"/>
      <c r="M45" s="3236"/>
      <c r="N45" s="3236"/>
      <c r="O45" s="3236"/>
      <c r="P45" s="3236"/>
      <c r="Q45" s="3236"/>
      <c r="R45" s="3236"/>
      <c r="S45" s="3236"/>
      <c r="T45" s="3236"/>
      <c r="U45" s="3236"/>
      <c r="V45" s="3236"/>
      <c r="W45" s="3240"/>
      <c r="X45" s="3240"/>
      <c r="Y45" s="3240"/>
      <c r="Z45" s="3240"/>
      <c r="AA45" s="3240"/>
      <c r="AB45" s="3240"/>
      <c r="AC45" s="3240"/>
      <c r="AE45" s="3236"/>
      <c r="AF45" s="3236"/>
      <c r="AG45" s="3237"/>
      <c r="AH45" s="3237"/>
      <c r="AI45" s="3237"/>
      <c r="AJ45" s="3237"/>
    </row>
    <row r="46" spans="1:37" ht="14.25">
      <c r="A46" s="3408" t="s">
        <v>3425</v>
      </c>
      <c r="B46" s="3419">
        <f>[1]估价对象房地状况!C12</f>
        <v>0</v>
      </c>
      <c r="C46" s="3413"/>
      <c r="D46" s="3414">
        <f t="shared" si="1"/>
        <v>0</v>
      </c>
      <c r="E46" s="3420"/>
      <c r="F46" s="3416">
        <f>SUMPRODUCT(('[1]2002因素修正幅度'!$A$36:$A$42=A46)*('[1]2002因素修正幅度'!$B$35:$K$35=$G$2)*('[1]2002因素修正幅度'!$B$36:$K$42))</f>
        <v>0</v>
      </c>
      <c r="G46" s="3416">
        <f t="shared" si="2"/>
        <v>0</v>
      </c>
      <c r="H46" s="3417">
        <v>0</v>
      </c>
      <c r="I46" s="3416">
        <f t="shared" si="3"/>
        <v>0</v>
      </c>
      <c r="J46" s="3416">
        <f>SUMPRODUCT(('[1]2002因素修正幅度'!$A$66:$A$72=A46)*('[1]2002因素修正幅度'!$B$35:$K$35=$G$2)*('[1]2002因素修正幅度'!$B$66:$K$72))</f>
        <v>0</v>
      </c>
      <c r="L46" s="3236"/>
      <c r="M46" s="3236"/>
      <c r="N46" s="3236"/>
      <c r="O46" s="3236"/>
      <c r="P46" s="3236"/>
      <c r="Q46" s="3236"/>
      <c r="R46" s="3236"/>
      <c r="S46" s="3236"/>
      <c r="T46" s="3236"/>
      <c r="U46" s="3236"/>
      <c r="V46" s="3236"/>
      <c r="W46" s="3240"/>
      <c r="X46" s="3240"/>
      <c r="Y46" s="3240"/>
      <c r="Z46" s="3240"/>
      <c r="AA46" s="3240"/>
      <c r="AB46" s="3240"/>
      <c r="AC46" s="3240"/>
      <c r="AE46" s="3236"/>
      <c r="AF46" s="3236"/>
      <c r="AG46" s="3237"/>
      <c r="AH46" s="3237"/>
      <c r="AI46" s="3237"/>
      <c r="AJ46" s="3237"/>
    </row>
    <row r="47" spans="1:37" ht="24">
      <c r="A47" s="3408" t="s">
        <v>3426</v>
      </c>
      <c r="B47" s="3422" t="s">
        <v>3427</v>
      </c>
      <c r="C47" s="3413"/>
      <c r="D47" s="3414">
        <f t="shared" si="1"/>
        <v>0</v>
      </c>
      <c r="E47" s="3420"/>
      <c r="F47" s="3416">
        <f>SUMPRODUCT(('[1]2002因素修正幅度'!$A$36:$A$42=A47)*('[1]2002因素修正幅度'!$B$35:$K$35=$G$2)*('[1]2002因素修正幅度'!$B$36:$K$42))</f>
        <v>0</v>
      </c>
      <c r="G47" s="3416">
        <f t="shared" si="2"/>
        <v>0</v>
      </c>
      <c r="H47" s="3417">
        <v>0</v>
      </c>
      <c r="I47" s="3416">
        <f t="shared" si="3"/>
        <v>0</v>
      </c>
      <c r="J47" s="3416">
        <f>SUMPRODUCT(('[1]2002因素修正幅度'!$A$66:$A$72=A47)*('[1]2002因素修正幅度'!$B$35:$K$35=$G$2)*('[1]2002因素修正幅度'!$B$66:$K$72))</f>
        <v>0</v>
      </c>
      <c r="L47" s="3236"/>
      <c r="M47" s="3236"/>
      <c r="N47" s="3236"/>
      <c r="O47" s="3236"/>
      <c r="P47" s="3236"/>
      <c r="Q47" s="3236"/>
      <c r="R47" s="3236"/>
      <c r="S47" s="3236"/>
      <c r="T47" s="3236"/>
      <c r="U47" s="3236"/>
      <c r="V47" s="3236"/>
      <c r="W47" s="3240"/>
      <c r="X47" s="3240"/>
      <c r="Y47" s="3240"/>
      <c r="Z47" s="3240"/>
      <c r="AA47" s="3240"/>
      <c r="AB47" s="3240"/>
      <c r="AC47" s="3240"/>
      <c r="AE47" s="3240"/>
      <c r="AF47" s="3240"/>
    </row>
    <row r="48" spans="1:37" ht="24.75" thickBot="1">
      <c r="A48" s="3423" t="s">
        <v>3428</v>
      </c>
      <c r="B48" s="3419" t="str">
        <f>[1]估价对象房地状况!C10</f>
        <v>估价对象所在区域基础设施水平</v>
      </c>
      <c r="C48" s="3413"/>
      <c r="D48" s="3414">
        <f t="shared" si="1"/>
        <v>0</v>
      </c>
      <c r="E48" s="3420"/>
      <c r="F48" s="3416">
        <f>SUMPRODUCT(('[1]2002因素修正幅度'!$A$36:$A$42=A48)*('[1]2002因素修正幅度'!$B$35:$K$35=$G$2)*('[1]2002因素修正幅度'!$B$36:$K$42))</f>
        <v>0</v>
      </c>
      <c r="G48" s="3416">
        <f t="shared" si="2"/>
        <v>0</v>
      </c>
      <c r="H48" s="3417">
        <v>0</v>
      </c>
      <c r="I48" s="3416">
        <f t="shared" si="3"/>
        <v>0</v>
      </c>
      <c r="J48" s="3416">
        <f>SUMPRODUCT(('[1]2002因素修正幅度'!$A$66:$A$72=A48)*('[1]2002因素修正幅度'!$B$35:$K$35=$G$2)*('[1]2002因素修正幅度'!$B$66:$K$72))</f>
        <v>0</v>
      </c>
      <c r="L48" s="3236"/>
      <c r="M48" s="3236"/>
      <c r="N48" s="3236"/>
      <c r="O48" s="3236"/>
      <c r="P48" s="3236"/>
      <c r="Q48" s="3236"/>
      <c r="R48" s="3236"/>
      <c r="S48" s="3236"/>
      <c r="T48" s="3236"/>
      <c r="U48" s="3236"/>
      <c r="V48" s="3236"/>
      <c r="W48" s="3240"/>
      <c r="X48" s="3240"/>
      <c r="Y48" s="3240"/>
      <c r="Z48" s="3240"/>
      <c r="AA48" s="3240"/>
      <c r="AB48" s="3240"/>
      <c r="AC48" s="3240"/>
      <c r="AE48" s="3240"/>
      <c r="AF48" s="3240"/>
    </row>
    <row r="49" spans="1:36" ht="15">
      <c r="A49" s="3402" t="s">
        <v>3406</v>
      </c>
      <c r="B49" s="3424">
        <f>1+E51</f>
        <v>1</v>
      </c>
      <c r="C49" s="3405"/>
      <c r="D49" s="3425"/>
      <c r="E49" s="3426"/>
      <c r="F49" s="3427"/>
      <c r="G49" s="3427"/>
      <c r="H49" s="3427"/>
      <c r="I49" s="3427"/>
      <c r="J49" s="3427"/>
      <c r="L49" s="3236"/>
      <c r="M49" s="3236"/>
      <c r="N49" s="3236"/>
      <c r="O49" s="3236"/>
      <c r="P49" s="3236"/>
      <c r="Q49" s="3236"/>
      <c r="R49" s="3236"/>
      <c r="S49" s="3236"/>
      <c r="T49" s="3236"/>
      <c r="U49" s="3236"/>
      <c r="V49" s="3236"/>
      <c r="W49" s="3240"/>
      <c r="X49" s="3240"/>
      <c r="Y49" s="3240"/>
      <c r="Z49" s="3240"/>
      <c r="AA49" s="3240"/>
      <c r="AB49" s="3240"/>
      <c r="AC49" s="3240"/>
      <c r="AE49" s="3240"/>
      <c r="AF49" s="3240"/>
    </row>
    <row r="50" spans="1:36" ht="13.5">
      <c r="A50" s="3408" t="s">
        <v>3410</v>
      </c>
      <c r="B50" s="3419"/>
      <c r="C50" s="3409" t="s">
        <v>3412</v>
      </c>
      <c r="D50" s="3428" t="s">
        <v>3429</v>
      </c>
      <c r="E50" s="3429" t="s">
        <v>3430</v>
      </c>
      <c r="F50" s="3430" t="s">
        <v>3431</v>
      </c>
      <c r="G50" s="3430" t="s">
        <v>3432</v>
      </c>
      <c r="H50" s="3430" t="s">
        <v>3433</v>
      </c>
      <c r="I50" s="3430" t="s">
        <v>3434</v>
      </c>
      <c r="J50" s="3430" t="s">
        <v>3435</v>
      </c>
      <c r="L50" s="3236"/>
      <c r="M50" s="3236"/>
      <c r="N50" s="3236"/>
      <c r="O50" s="3236"/>
      <c r="P50" s="3236"/>
      <c r="Q50" s="3236"/>
      <c r="R50" s="3236"/>
      <c r="S50" s="3236"/>
      <c r="T50" s="3236"/>
      <c r="U50" s="3236"/>
      <c r="V50" s="3236"/>
      <c r="W50" s="3240"/>
      <c r="X50" s="3240"/>
      <c r="Y50" s="3240"/>
      <c r="Z50" s="3240"/>
      <c r="AA50" s="3240"/>
      <c r="AB50" s="3240"/>
      <c r="AC50" s="3240"/>
      <c r="AE50" s="3240"/>
      <c r="AF50" s="3240"/>
    </row>
    <row r="51" spans="1:36" ht="36">
      <c r="A51" s="3408" t="s">
        <v>3436</v>
      </c>
      <c r="B51" s="3412" t="str">
        <f>[1]估价对象房地状况!C5</f>
        <v>估价对象位于XX商圈，周边办公楼项目较多，入驻率高，办公集聚程度较好</v>
      </c>
      <c r="C51" s="3413"/>
      <c r="D51" s="3414">
        <f t="shared" ref="D51:D57" si="4">SUMIF($F$50:$J$50,C51,F51:J51)</f>
        <v>0</v>
      </c>
      <c r="E51" s="3415">
        <f>SUM(D51:D57)</f>
        <v>0</v>
      </c>
      <c r="F51" s="3416">
        <f>SUMPRODUCT(('[1]2002因素修正幅度'!$A$43:$A$49=A51)*('[1]2002因素修正幅度'!$B$35:$K$35=$G$2)*('[1]2002因素修正幅度'!$B$43:$K$49))</f>
        <v>0</v>
      </c>
      <c r="G51" s="3416">
        <f>F51/2</f>
        <v>0</v>
      </c>
      <c r="H51" s="3417">
        <v>0</v>
      </c>
      <c r="I51" s="3416">
        <f>J51/2</f>
        <v>0</v>
      </c>
      <c r="J51" s="3416">
        <f>SUMPRODUCT(('[1]2002因素修正幅度'!$A$73:$A$79=A51)*('[1]2002因素修正幅度'!$B$35:$K$35=$G$2)*('[1]2002因素修正幅度'!$B$73:$K$79))</f>
        <v>0</v>
      </c>
      <c r="L51" s="3236"/>
      <c r="M51" s="3236"/>
      <c r="N51" s="3236"/>
      <c r="O51" s="3236"/>
      <c r="P51" s="3236"/>
      <c r="Q51" s="3236"/>
      <c r="R51" s="3236"/>
      <c r="S51" s="3236"/>
      <c r="T51" s="3236"/>
      <c r="U51" s="3236"/>
      <c r="V51" s="3236"/>
      <c r="W51" s="3240"/>
      <c r="X51" s="3240"/>
      <c r="Y51" s="3240"/>
      <c r="Z51" s="3240"/>
      <c r="AA51" s="3240"/>
      <c r="AB51" s="3240"/>
      <c r="AC51" s="3240"/>
      <c r="AE51" s="3240"/>
      <c r="AF51" s="3240"/>
    </row>
    <row r="52" spans="1:36" ht="48">
      <c r="A52" s="3408" t="s">
        <v>3421</v>
      </c>
      <c r="B52" s="3419" t="str">
        <f>[1]估价对象房地状况!C6</f>
        <v>估价对象周边道路状况、公共交通通达情况、停车便捷程度，综合评价交通便捷度较好</v>
      </c>
      <c r="C52" s="3413"/>
      <c r="D52" s="3414">
        <f t="shared" si="4"/>
        <v>0</v>
      </c>
      <c r="E52" s="3420"/>
      <c r="F52" s="3416">
        <f>SUMPRODUCT(('[1]2002因素修正幅度'!$A$43:$A$49=A52)*('[1]2002因素修正幅度'!$B$35:$K$35=$G$2)*('[1]2002因素修正幅度'!$B$43:$K$49))</f>
        <v>0</v>
      </c>
      <c r="G52" s="3416">
        <f t="shared" ref="G52:G57" si="5">F52/2</f>
        <v>0</v>
      </c>
      <c r="H52" s="3417">
        <v>0</v>
      </c>
      <c r="I52" s="3416">
        <f t="shared" ref="I52:I57" si="6">J52/2</f>
        <v>0</v>
      </c>
      <c r="J52" s="3416">
        <f>SUMPRODUCT(('[1]2002因素修正幅度'!$A$73:$A$79=A52)*('[1]2002因素修正幅度'!$B$35:$K$35=$G$2)*('[1]2002因素修正幅度'!$B$73:$K$79))</f>
        <v>0</v>
      </c>
      <c r="L52" s="3236"/>
      <c r="M52" s="3236"/>
      <c r="N52" s="3236"/>
      <c r="O52" s="3236"/>
      <c r="P52" s="3236"/>
      <c r="Q52" s="3236"/>
      <c r="R52" s="3236"/>
      <c r="S52" s="3236"/>
      <c r="T52" s="3236"/>
      <c r="U52" s="3236"/>
      <c r="V52" s="3236"/>
      <c r="W52" s="3240"/>
      <c r="X52" s="3240"/>
      <c r="Y52" s="3240"/>
      <c r="Z52" s="3240"/>
      <c r="AA52" s="3240"/>
      <c r="AB52" s="3240"/>
      <c r="AC52" s="3240"/>
      <c r="AE52" s="3240"/>
      <c r="AF52" s="3240"/>
    </row>
    <row r="53" spans="1:36" ht="24">
      <c r="A53" s="3408" t="s">
        <v>3422</v>
      </c>
      <c r="B53" s="3419" t="str">
        <f>[1]估价对象房地状况!C7</f>
        <v>零星有其他用地，基本不影响本宗地</v>
      </c>
      <c r="C53" s="3413"/>
      <c r="D53" s="3414">
        <f t="shared" si="4"/>
        <v>0</v>
      </c>
      <c r="E53" s="3420"/>
      <c r="F53" s="3416">
        <f>SUMPRODUCT(('[1]2002因素修正幅度'!$A$43:$A$49=A53)*('[1]2002因素修正幅度'!$B$35:$K$35=$G$2)*('[1]2002因素修正幅度'!$B$43:$K$49))</f>
        <v>0</v>
      </c>
      <c r="G53" s="3416">
        <f t="shared" si="5"/>
        <v>0</v>
      </c>
      <c r="H53" s="3417">
        <v>0</v>
      </c>
      <c r="I53" s="3416">
        <f t="shared" si="6"/>
        <v>0</v>
      </c>
      <c r="J53" s="3416">
        <f>SUMPRODUCT(('[1]2002因素修正幅度'!$A$73:$A$79=A53)*('[1]2002因素修正幅度'!$B$35:$K$35=$G$2)*('[1]2002因素修正幅度'!$B$73:$K$79))</f>
        <v>0</v>
      </c>
      <c r="L53" s="3236"/>
      <c r="M53" s="3236"/>
      <c r="N53" s="3236"/>
      <c r="O53" s="3236"/>
      <c r="P53" s="3236"/>
      <c r="Q53" s="3236"/>
      <c r="R53" s="3236"/>
      <c r="S53" s="3236"/>
      <c r="T53" s="3236"/>
      <c r="U53" s="3236"/>
      <c r="V53" s="3236"/>
      <c r="W53" s="3240"/>
      <c r="X53" s="3240"/>
      <c r="Y53" s="3240"/>
      <c r="Z53" s="3240"/>
      <c r="AA53" s="3240"/>
      <c r="AB53" s="3240"/>
      <c r="AC53" s="3240"/>
      <c r="AE53" s="3240"/>
      <c r="AF53" s="3240"/>
    </row>
    <row r="54" spans="1:36" s="3418" customFormat="1" ht="36">
      <c r="A54" s="3408" t="s">
        <v>3423</v>
      </c>
      <c r="B54" s="3421" t="s">
        <v>3424</v>
      </c>
      <c r="C54" s="3413"/>
      <c r="D54" s="3414">
        <f t="shared" si="4"/>
        <v>0</v>
      </c>
      <c r="E54" s="3420"/>
      <c r="F54" s="3416">
        <f>SUMPRODUCT(('[1]2002因素修正幅度'!$A$43:$A$49=A54)*('[1]2002因素修正幅度'!$B$35:$K$35=$G$2)*('[1]2002因素修正幅度'!$B$43:$K$49))</f>
        <v>0</v>
      </c>
      <c r="G54" s="3416">
        <f t="shared" si="5"/>
        <v>0</v>
      </c>
      <c r="H54" s="3417">
        <v>0</v>
      </c>
      <c r="I54" s="3416">
        <f t="shared" si="6"/>
        <v>0</v>
      </c>
      <c r="J54" s="3416">
        <f>SUMPRODUCT(('[1]2002因素修正幅度'!$A$73:$A$79=A54)*('[1]2002因素修正幅度'!$B$35:$K$35=$G$2)*('[1]2002因素修正幅度'!$B$73:$K$79))</f>
        <v>0</v>
      </c>
      <c r="K54" s="3236"/>
      <c r="L54" s="3236"/>
      <c r="M54" s="3236"/>
      <c r="N54" s="3236"/>
      <c r="O54" s="3236"/>
      <c r="P54" s="3236"/>
      <c r="Q54" s="3236"/>
      <c r="R54" s="3236"/>
      <c r="S54" s="3236"/>
      <c r="T54" s="3236"/>
      <c r="U54" s="3236"/>
      <c r="V54" s="3236"/>
      <c r="W54" s="3240"/>
      <c r="X54" s="3240"/>
      <c r="Y54" s="3240"/>
      <c r="Z54" s="3240"/>
      <c r="AA54" s="3240"/>
      <c r="AB54" s="3240"/>
      <c r="AC54" s="3240"/>
      <c r="AD54" s="3239"/>
      <c r="AE54" s="3240"/>
      <c r="AF54" s="3240"/>
      <c r="AG54" s="3239"/>
      <c r="AH54" s="3239"/>
      <c r="AI54" s="3239"/>
      <c r="AJ54" s="3239"/>
    </row>
    <row r="55" spans="1:36" s="3418" customFormat="1" ht="14.25">
      <c r="A55" s="3408" t="s">
        <v>3425</v>
      </c>
      <c r="B55" s="3419">
        <f>[1]估价对象房地状况!C12</f>
        <v>0</v>
      </c>
      <c r="C55" s="3413"/>
      <c r="D55" s="3414">
        <f t="shared" si="4"/>
        <v>0</v>
      </c>
      <c r="E55" s="3420"/>
      <c r="F55" s="3416">
        <f>SUMPRODUCT(('[1]2002因素修正幅度'!$A$43:$A$49=A55)*('[1]2002因素修正幅度'!$B$35:$K$35=$G$2)*('[1]2002因素修正幅度'!$B$43:$K$49))</f>
        <v>0</v>
      </c>
      <c r="G55" s="3416">
        <f t="shared" si="5"/>
        <v>0</v>
      </c>
      <c r="H55" s="3417">
        <v>0</v>
      </c>
      <c r="I55" s="3416">
        <f t="shared" si="6"/>
        <v>0</v>
      </c>
      <c r="J55" s="3416">
        <f>SUMPRODUCT(('[1]2002因素修正幅度'!$A$73:$A$79=A55)*('[1]2002因素修正幅度'!$B$35:$K$35=$G$2)*('[1]2002因素修正幅度'!$B$73:$K$79))</f>
        <v>0</v>
      </c>
      <c r="K55" s="3236"/>
      <c r="L55" s="3236"/>
      <c r="M55" s="3236"/>
      <c r="N55" s="3236"/>
      <c r="O55" s="3236"/>
      <c r="P55" s="3236"/>
      <c r="Q55" s="3236"/>
      <c r="R55" s="3236"/>
      <c r="S55" s="3236"/>
      <c r="T55" s="3236"/>
      <c r="U55" s="3236"/>
      <c r="V55" s="3236"/>
      <c r="W55" s="3240"/>
      <c r="X55" s="3240"/>
      <c r="Y55" s="3240"/>
      <c r="Z55" s="3240"/>
      <c r="AA55" s="3240"/>
      <c r="AB55" s="3240"/>
      <c r="AC55" s="3240"/>
      <c r="AD55" s="3239"/>
      <c r="AE55" s="3240"/>
      <c r="AF55" s="3240"/>
      <c r="AG55" s="3239"/>
      <c r="AH55" s="3239"/>
      <c r="AI55" s="3239"/>
      <c r="AJ55" s="3239"/>
    </row>
    <row r="56" spans="1:36" s="3418" customFormat="1" ht="24">
      <c r="A56" s="3408" t="s">
        <v>3426</v>
      </c>
      <c r="B56" s="3422" t="s">
        <v>3427</v>
      </c>
      <c r="C56" s="3413"/>
      <c r="D56" s="3414">
        <f t="shared" si="4"/>
        <v>0</v>
      </c>
      <c r="E56" s="3420"/>
      <c r="F56" s="3416">
        <f>SUMPRODUCT(('[1]2002因素修正幅度'!$A$43:$A$49=A56)*('[1]2002因素修正幅度'!$B$35:$K$35=$G$2)*('[1]2002因素修正幅度'!$B$43:$K$49))</f>
        <v>0</v>
      </c>
      <c r="G56" s="3416">
        <f t="shared" si="5"/>
        <v>0</v>
      </c>
      <c r="H56" s="3417">
        <v>0</v>
      </c>
      <c r="I56" s="3416">
        <f t="shared" si="6"/>
        <v>0</v>
      </c>
      <c r="J56" s="3416">
        <f>SUMPRODUCT(('[1]2002因素修正幅度'!$A$73:$A$79=A56)*('[1]2002因素修正幅度'!$B$35:$K$35=$G$2)*('[1]2002因素修正幅度'!$B$73:$K$79))</f>
        <v>0</v>
      </c>
      <c r="K56" s="3236"/>
      <c r="L56" s="3236"/>
      <c r="M56" s="3236"/>
      <c r="N56" s="3236"/>
      <c r="O56" s="3236"/>
      <c r="P56" s="3236"/>
      <c r="Q56" s="3236"/>
      <c r="R56" s="3236"/>
      <c r="S56" s="3236"/>
      <c r="T56" s="3236"/>
      <c r="U56" s="3236"/>
      <c r="V56" s="3236"/>
      <c r="W56" s="3240"/>
      <c r="X56" s="3240"/>
      <c r="Y56" s="3240"/>
      <c r="Z56" s="3240"/>
      <c r="AA56" s="3240"/>
      <c r="AB56" s="3240"/>
      <c r="AC56" s="3240"/>
      <c r="AD56" s="3239"/>
      <c r="AE56" s="3240"/>
      <c r="AF56" s="3240"/>
      <c r="AG56" s="3239"/>
      <c r="AH56" s="3239"/>
      <c r="AI56" s="3239"/>
      <c r="AJ56" s="3239"/>
    </row>
    <row r="57" spans="1:36" s="3418" customFormat="1" ht="36.75" thickBot="1">
      <c r="A57" s="3408" t="s">
        <v>3437</v>
      </c>
      <c r="B57" s="3431" t="str">
        <f>[1]估价对象房地状况!C9&amp;","&amp;[1]估价对象房地状况!C10</f>
        <v>估价对象所在区域公共配套设施齐备情况,估价对象所在区域基础设施水平</v>
      </c>
      <c r="C57" s="3413"/>
      <c r="D57" s="3414">
        <f t="shared" si="4"/>
        <v>0</v>
      </c>
      <c r="E57" s="3420"/>
      <c r="F57" s="3416">
        <f>SUMPRODUCT(('[1]2002因素修正幅度'!$A$43:$A$49=A57)*('[1]2002因素修正幅度'!$B$35:$K$35=$G$2)*('[1]2002因素修正幅度'!$B$43:$K$49))</f>
        <v>0</v>
      </c>
      <c r="G57" s="3416">
        <f t="shared" si="5"/>
        <v>0</v>
      </c>
      <c r="H57" s="3417">
        <v>0</v>
      </c>
      <c r="I57" s="3416">
        <f t="shared" si="6"/>
        <v>0</v>
      </c>
      <c r="J57" s="3416">
        <f>SUMPRODUCT(('[1]2002因素修正幅度'!$A$73:$A$79=A57)*('[1]2002因素修正幅度'!$B$35:$K$35=$G$2)*('[1]2002因素修正幅度'!$B$73:$K$79))</f>
        <v>0</v>
      </c>
      <c r="K57" s="3236"/>
      <c r="L57" s="3236"/>
      <c r="M57" s="3236"/>
      <c r="N57" s="3236"/>
      <c r="O57" s="3236"/>
      <c r="P57" s="3236"/>
      <c r="Q57" s="3236"/>
      <c r="R57" s="3236"/>
      <c r="S57" s="3236"/>
      <c r="T57" s="3236"/>
      <c r="U57" s="3236"/>
      <c r="V57" s="3236"/>
      <c r="W57" s="3240"/>
      <c r="X57" s="3240"/>
      <c r="Y57" s="3240"/>
      <c r="Z57" s="3240"/>
      <c r="AA57" s="3240"/>
      <c r="AB57" s="3240"/>
      <c r="AC57" s="3240"/>
      <c r="AD57" s="3239"/>
      <c r="AE57" s="3240"/>
      <c r="AF57" s="3240"/>
      <c r="AG57" s="3239"/>
      <c r="AH57" s="3239"/>
      <c r="AI57" s="3239"/>
      <c r="AJ57" s="3239"/>
    </row>
    <row r="58" spans="1:36" s="3418" customFormat="1" ht="15">
      <c r="A58" s="3402" t="s">
        <v>3438</v>
      </c>
      <c r="B58" s="3424">
        <f>1+E60</f>
        <v>1</v>
      </c>
      <c r="C58" s="3405"/>
      <c r="D58" s="3425"/>
      <c r="E58" s="3426"/>
      <c r="F58" s="3427"/>
      <c r="G58" s="3427"/>
      <c r="H58" s="3427"/>
      <c r="I58" s="3427"/>
      <c r="J58" s="3427"/>
      <c r="K58" s="3236"/>
      <c r="L58" s="3236"/>
      <c r="M58" s="3236"/>
      <c r="N58" s="3236"/>
      <c r="O58" s="3236"/>
      <c r="P58" s="3236"/>
      <c r="Q58" s="3236"/>
      <c r="R58" s="3236"/>
      <c r="S58" s="3236"/>
      <c r="T58" s="3236"/>
      <c r="U58" s="3236"/>
      <c r="V58" s="3236"/>
      <c r="W58" s="3240"/>
      <c r="X58" s="3240"/>
      <c r="Y58" s="3240"/>
      <c r="Z58" s="3240"/>
      <c r="AA58" s="3240"/>
      <c r="AB58" s="3240"/>
      <c r="AC58" s="3240"/>
      <c r="AD58" s="3239"/>
      <c r="AE58" s="3240"/>
      <c r="AF58" s="3240"/>
      <c r="AG58" s="3239"/>
      <c r="AH58" s="3239"/>
      <c r="AI58" s="3239"/>
      <c r="AJ58" s="3239"/>
    </row>
    <row r="59" spans="1:36" s="3418" customFormat="1" ht="13.5">
      <c r="A59" s="3408" t="s">
        <v>3410</v>
      </c>
      <c r="B59" s="3419"/>
      <c r="C59" s="3409" t="s">
        <v>3412</v>
      </c>
      <c r="D59" s="3428" t="s">
        <v>3429</v>
      </c>
      <c r="E59" s="3429" t="s">
        <v>3430</v>
      </c>
      <c r="F59" s="3430" t="s">
        <v>3431</v>
      </c>
      <c r="G59" s="3430" t="s">
        <v>3432</v>
      </c>
      <c r="H59" s="3430" t="s">
        <v>3433</v>
      </c>
      <c r="I59" s="3430" t="s">
        <v>3434</v>
      </c>
      <c r="J59" s="3430" t="s">
        <v>3435</v>
      </c>
      <c r="K59" s="3236"/>
      <c r="L59" s="3236"/>
      <c r="M59" s="3236"/>
      <c r="N59" s="3236"/>
      <c r="O59" s="3236"/>
      <c r="P59" s="3236"/>
      <c r="Q59" s="3236"/>
      <c r="R59" s="3236"/>
      <c r="S59" s="3236"/>
      <c r="T59" s="3236"/>
      <c r="U59" s="3236"/>
      <c r="V59" s="3236"/>
      <c r="W59" s="3240"/>
      <c r="X59" s="3240"/>
      <c r="Y59" s="3240"/>
      <c r="Z59" s="3240"/>
      <c r="AA59" s="3240"/>
      <c r="AB59" s="3240"/>
      <c r="AC59" s="3240"/>
      <c r="AD59" s="3239"/>
      <c r="AE59" s="3240"/>
      <c r="AF59" s="3240"/>
      <c r="AG59" s="3239"/>
      <c r="AH59" s="3239"/>
      <c r="AI59" s="3239"/>
      <c r="AJ59" s="3239"/>
    </row>
    <row r="60" spans="1:36" s="3418" customFormat="1" ht="48">
      <c r="A60" s="3408" t="s">
        <v>3439</v>
      </c>
      <c r="B60" s="3412" t="str">
        <f>[1]估价对象房地状况!C3</f>
        <v>估价对象周边居住用地比例、居住小区规模和社区发展完善程度，综合评价居住社区成熟度一般</v>
      </c>
      <c r="C60" s="3413"/>
      <c r="D60" s="3414">
        <f t="shared" ref="D60:D67" si="7">SUMIF($F$59:$J$59,C60,F60:J60)</f>
        <v>0</v>
      </c>
      <c r="E60" s="3415">
        <f>SUM(D60:D67)</f>
        <v>0</v>
      </c>
      <c r="F60" s="3416">
        <f>SUMPRODUCT(('[1]2002因素修正幅度'!$A$50:$A$57=A60)*('[1]2002因素修正幅度'!$B$35:$K$35=$G$2)*('[1]2002因素修正幅度'!$B$50:$K$57))</f>
        <v>0</v>
      </c>
      <c r="G60" s="3416">
        <f>F60/2</f>
        <v>0</v>
      </c>
      <c r="H60" s="3417">
        <v>0</v>
      </c>
      <c r="I60" s="3416">
        <f>J60/2</f>
        <v>0</v>
      </c>
      <c r="J60" s="3416">
        <f>SUMPRODUCT(('[1]2002因素修正幅度'!$A$80:$A$87=A60)*('[1]2002因素修正幅度'!$B$35:$K$35=$G$2)*('[1]2002因素修正幅度'!$B$80:$K$87))</f>
        <v>0</v>
      </c>
      <c r="K60" s="3236"/>
      <c r="L60" s="3236"/>
      <c r="M60" s="3236"/>
      <c r="N60" s="3236"/>
      <c r="O60" s="3236"/>
      <c r="P60" s="3236"/>
      <c r="Q60" s="3236"/>
      <c r="R60" s="3236"/>
      <c r="S60" s="3236"/>
      <c r="T60" s="3236"/>
      <c r="U60" s="3236"/>
      <c r="V60" s="3236"/>
      <c r="W60" s="3240"/>
      <c r="X60" s="3240"/>
      <c r="Y60" s="3240"/>
      <c r="Z60" s="3240"/>
      <c r="AA60" s="3240"/>
      <c r="AB60" s="3240"/>
      <c r="AC60" s="3240"/>
      <c r="AD60" s="3239"/>
      <c r="AE60" s="3240"/>
      <c r="AF60" s="3239"/>
      <c r="AG60" s="3239"/>
      <c r="AH60" s="3239"/>
      <c r="AI60" s="3239"/>
    </row>
    <row r="61" spans="1:36" s="3418" customFormat="1" ht="48">
      <c r="A61" s="3408" t="s">
        <v>3421</v>
      </c>
      <c r="B61" s="3419" t="str">
        <f>[1]估价对象房地状况!C6</f>
        <v>估价对象周边道路状况、公共交通通达情况、停车便捷程度，综合评价交通便捷度较好</v>
      </c>
      <c r="C61" s="3413"/>
      <c r="D61" s="3414">
        <f t="shared" si="7"/>
        <v>0</v>
      </c>
      <c r="E61" s="3432"/>
      <c r="F61" s="3416">
        <f>SUMPRODUCT(('[1]2002因素修正幅度'!$A$50:$A$57=A61)*('[1]2002因素修正幅度'!$B$35:$K$35=$G$2)*('[1]2002因素修正幅度'!$B$50:$K$57))</f>
        <v>0</v>
      </c>
      <c r="G61" s="3416">
        <f t="shared" ref="G61:G67" si="8">F61/2</f>
        <v>0</v>
      </c>
      <c r="H61" s="3417">
        <v>0</v>
      </c>
      <c r="I61" s="3416">
        <f t="shared" ref="I61:I67" si="9">J61/2</f>
        <v>0</v>
      </c>
      <c r="J61" s="3416">
        <f>SUMPRODUCT(('[1]2002因素修正幅度'!$A$80:$A$87=A61)*('[1]2002因素修正幅度'!$B$35:$K$35=$G$2)*('[1]2002因素修正幅度'!$B$80:$K$87))</f>
        <v>0</v>
      </c>
      <c r="K61" s="3236"/>
      <c r="L61" s="3236"/>
      <c r="M61" s="3236"/>
      <c r="N61" s="3236"/>
      <c r="O61" s="3236"/>
      <c r="P61" s="3236"/>
      <c r="Q61" s="3236"/>
      <c r="R61" s="3236"/>
      <c r="S61" s="3236"/>
      <c r="T61" s="3236"/>
      <c r="U61" s="3236"/>
      <c r="V61" s="3236"/>
      <c r="W61" s="3240"/>
      <c r="X61" s="3240"/>
      <c r="Y61" s="3240"/>
      <c r="Z61" s="3240"/>
      <c r="AA61" s="3240"/>
      <c r="AB61" s="3240"/>
      <c r="AC61" s="3240"/>
      <c r="AD61" s="3239"/>
      <c r="AE61" s="3239"/>
      <c r="AF61" s="3239"/>
      <c r="AG61" s="3239"/>
    </row>
    <row r="62" spans="1:36" s="3418" customFormat="1" ht="24">
      <c r="A62" s="3408" t="s">
        <v>3440</v>
      </c>
      <c r="B62" s="3419" t="str">
        <f>[1]估价对象房地状况!C7</f>
        <v>零星有其他用地，基本不影响本宗地</v>
      </c>
      <c r="C62" s="3413"/>
      <c r="D62" s="3414">
        <f t="shared" si="7"/>
        <v>0</v>
      </c>
      <c r="E62" s="3432"/>
      <c r="F62" s="3416">
        <f>SUMPRODUCT(('[1]2002因素修正幅度'!$A$50:$A$57=A62)*('[1]2002因素修正幅度'!$B$35:$K$35=$G$2)*('[1]2002因素修正幅度'!$B$50:$K$57))</f>
        <v>0</v>
      </c>
      <c r="G62" s="3416">
        <f t="shared" si="8"/>
        <v>0</v>
      </c>
      <c r="H62" s="3417">
        <v>0</v>
      </c>
      <c r="I62" s="3416">
        <f t="shared" si="9"/>
        <v>0</v>
      </c>
      <c r="J62" s="3416">
        <f>SUMPRODUCT(('[1]2002因素修正幅度'!$A$80:$A$87=A62)*('[1]2002因素修正幅度'!$B$35:$K$35=$G$2)*('[1]2002因素修正幅度'!$B$80:$K$87))</f>
        <v>0</v>
      </c>
      <c r="K62" s="3236"/>
      <c r="L62" s="3236"/>
      <c r="M62" s="3236"/>
      <c r="N62" s="3236"/>
      <c r="O62" s="3236"/>
      <c r="P62" s="3236"/>
      <c r="Q62" s="3236"/>
      <c r="R62" s="3236"/>
      <c r="S62" s="3236"/>
      <c r="T62" s="3236"/>
      <c r="U62" s="3236"/>
      <c r="V62" s="3236"/>
      <c r="W62" s="3240"/>
      <c r="X62" s="3240"/>
      <c r="Y62" s="3240"/>
      <c r="Z62" s="3240"/>
      <c r="AA62" s="3240"/>
      <c r="AB62" s="3240"/>
      <c r="AC62" s="3240"/>
      <c r="AD62" s="3239"/>
      <c r="AE62" s="3239"/>
      <c r="AF62" s="3239"/>
      <c r="AG62" s="3239"/>
    </row>
    <row r="63" spans="1:36" s="3418" customFormat="1" ht="14.25">
      <c r="A63" s="3408" t="s">
        <v>3441</v>
      </c>
      <c r="B63" s="3419">
        <f>[1]估价对象房地状况!C12</f>
        <v>0</v>
      </c>
      <c r="C63" s="3413"/>
      <c r="D63" s="3414">
        <f t="shared" si="7"/>
        <v>0</v>
      </c>
      <c r="E63" s="3432"/>
      <c r="F63" s="3416">
        <f>SUMPRODUCT(('[1]2002因素修正幅度'!$A$50:$A$57=A63)*('[1]2002因素修正幅度'!$B$35:$K$35=$G$2)*('[1]2002因素修正幅度'!$B$50:$K$57))</f>
        <v>0</v>
      </c>
      <c r="G63" s="3416">
        <f t="shared" si="8"/>
        <v>0</v>
      </c>
      <c r="H63" s="3417">
        <v>0</v>
      </c>
      <c r="I63" s="3416">
        <f t="shared" si="9"/>
        <v>0</v>
      </c>
      <c r="J63" s="3416">
        <f>SUMPRODUCT(('[1]2002因素修正幅度'!$A$80:$A$87=A63)*('[1]2002因素修正幅度'!$B$35:$K$35=$G$2)*('[1]2002因素修正幅度'!$B$80:$K$87))</f>
        <v>0</v>
      </c>
      <c r="K63" s="3236"/>
      <c r="L63" s="3236"/>
      <c r="M63" s="3236"/>
      <c r="N63" s="3236"/>
      <c r="O63" s="3236"/>
      <c r="P63" s="3236"/>
      <c r="Q63" s="3236"/>
      <c r="R63" s="3236"/>
      <c r="S63" s="3236"/>
      <c r="T63" s="3236"/>
      <c r="U63" s="3236"/>
      <c r="V63" s="3236"/>
      <c r="W63" s="3240"/>
      <c r="X63" s="3240"/>
      <c r="Y63" s="3240"/>
      <c r="Z63" s="3240"/>
      <c r="AA63" s="3240"/>
      <c r="AB63" s="3240"/>
      <c r="AC63" s="3240"/>
      <c r="AD63" s="3239"/>
      <c r="AE63" s="3239"/>
      <c r="AF63" s="3239"/>
      <c r="AG63" s="3239"/>
    </row>
    <row r="64" spans="1:36" s="3418" customFormat="1" ht="24">
      <c r="A64" s="3408" t="s">
        <v>3442</v>
      </c>
      <c r="B64" s="3422" t="s">
        <v>3443</v>
      </c>
      <c r="C64" s="3413"/>
      <c r="D64" s="3414">
        <f t="shared" si="7"/>
        <v>0</v>
      </c>
      <c r="E64" s="3432"/>
      <c r="F64" s="3416">
        <f>SUMPRODUCT(('[1]2002因素修正幅度'!$A$50:$A$57=A64)*('[1]2002因素修正幅度'!$B$35:$K$35=$G$2)*('[1]2002因素修正幅度'!$B$50:$K$57))</f>
        <v>0</v>
      </c>
      <c r="G64" s="3416">
        <f t="shared" si="8"/>
        <v>0</v>
      </c>
      <c r="H64" s="3417">
        <v>0</v>
      </c>
      <c r="I64" s="3416">
        <f t="shared" si="9"/>
        <v>0</v>
      </c>
      <c r="J64" s="3416">
        <f>SUMPRODUCT(('[1]2002因素修正幅度'!$A$80:$A$87=A64)*('[1]2002因素修正幅度'!$B$35:$K$35=$G$2)*('[1]2002因素修正幅度'!$B$80:$K$87))</f>
        <v>0</v>
      </c>
      <c r="K64" s="3236"/>
      <c r="L64" s="3236"/>
      <c r="M64" s="3236"/>
      <c r="N64" s="3236"/>
      <c r="O64" s="3236"/>
      <c r="P64" s="3236"/>
      <c r="Q64" s="3236"/>
      <c r="R64" s="3236"/>
      <c r="S64" s="3236"/>
      <c r="T64" s="3236"/>
      <c r="U64" s="3236"/>
      <c r="V64" s="3236"/>
      <c r="W64" s="3240"/>
      <c r="X64" s="3240"/>
      <c r="Y64" s="3240"/>
      <c r="Z64" s="3240"/>
      <c r="AA64" s="3240"/>
      <c r="AB64" s="3240"/>
      <c r="AC64" s="3240"/>
      <c r="AD64" s="3239"/>
      <c r="AE64" s="3239"/>
      <c r="AF64" s="3239"/>
      <c r="AG64" s="3239"/>
    </row>
    <row r="65" spans="1:33" s="3418" customFormat="1" ht="36">
      <c r="A65" s="3408" t="s">
        <v>3444</v>
      </c>
      <c r="B65" s="3431" t="str">
        <f>[1]估价对象房地状况!C9&amp;","&amp;[1]估价对象房地状况!C10</f>
        <v>估价对象所在区域公共配套设施齐备情况,估价对象所在区域基础设施水平</v>
      </c>
      <c r="C65" s="3413"/>
      <c r="D65" s="3414">
        <f t="shared" si="7"/>
        <v>0</v>
      </c>
      <c r="E65" s="3432"/>
      <c r="F65" s="3416">
        <f>SUMPRODUCT(('[1]2002因素修正幅度'!$A$50:$A$57=A65)*('[1]2002因素修正幅度'!$B$35:$K$35=$G$2)*('[1]2002因素修正幅度'!$B$50:$K$57))</f>
        <v>0</v>
      </c>
      <c r="G65" s="3416">
        <f t="shared" si="8"/>
        <v>0</v>
      </c>
      <c r="H65" s="3417">
        <v>0</v>
      </c>
      <c r="I65" s="3416">
        <f t="shared" si="9"/>
        <v>0</v>
      </c>
      <c r="J65" s="3416">
        <f>SUMPRODUCT(('[1]2002因素修正幅度'!$A$80:$A$87=A65)*('[1]2002因素修正幅度'!$B$35:$K$35=$G$2)*('[1]2002因素修正幅度'!$B$80:$K$87))</f>
        <v>0</v>
      </c>
      <c r="K65" s="3236"/>
      <c r="L65" s="3236"/>
      <c r="M65" s="3236"/>
      <c r="N65" s="3236"/>
      <c r="O65" s="3236"/>
      <c r="P65" s="3236"/>
      <c r="Q65" s="3236"/>
      <c r="R65" s="3236"/>
      <c r="S65" s="3236"/>
      <c r="T65" s="3236"/>
      <c r="U65" s="3236"/>
      <c r="V65" s="3236"/>
      <c r="W65" s="3240"/>
      <c r="X65" s="3240"/>
      <c r="Y65" s="3240"/>
      <c r="Z65" s="3240"/>
      <c r="AA65" s="3240"/>
      <c r="AB65" s="3240"/>
      <c r="AC65" s="3240"/>
      <c r="AD65" s="3239"/>
      <c r="AE65" s="3239"/>
      <c r="AF65" s="3239"/>
      <c r="AG65" s="3239"/>
    </row>
    <row r="66" spans="1:33" s="3418" customFormat="1" ht="36">
      <c r="A66" s="3408" t="s">
        <v>3445</v>
      </c>
      <c r="B66" s="3412" t="str">
        <f>[1]估价对象房地状况!C8</f>
        <v>区域自然环境：；人文环境；综合评价环境状况一般</v>
      </c>
      <c r="C66" s="3413"/>
      <c r="D66" s="3414">
        <f t="shared" si="7"/>
        <v>0</v>
      </c>
      <c r="E66" s="3432"/>
      <c r="F66" s="3416">
        <f>SUMPRODUCT(('[1]2002因素修正幅度'!$A$50:$A$57=A66)*('[1]2002因素修正幅度'!$B$35:$K$35=$G$2)*('[1]2002因素修正幅度'!$B$50:$K$57))</f>
        <v>0</v>
      </c>
      <c r="G66" s="3416">
        <f t="shared" si="8"/>
        <v>0</v>
      </c>
      <c r="H66" s="3417">
        <v>0</v>
      </c>
      <c r="I66" s="3416">
        <f t="shared" si="9"/>
        <v>0</v>
      </c>
      <c r="J66" s="3416">
        <f>SUMPRODUCT(('[1]2002因素修正幅度'!$A$80:$A$87=A66)*('[1]2002因素修正幅度'!$B$35:$K$35=$G$2)*('[1]2002因素修正幅度'!$B$80:$K$87))</f>
        <v>0</v>
      </c>
      <c r="K66" s="3236"/>
      <c r="L66" s="3236"/>
      <c r="M66" s="3236"/>
      <c r="N66" s="3236"/>
      <c r="O66" s="3236"/>
      <c r="P66" s="3236"/>
      <c r="Q66" s="3236"/>
      <c r="R66" s="3236"/>
      <c r="S66" s="3236"/>
      <c r="T66" s="3236"/>
      <c r="U66" s="3236"/>
      <c r="V66" s="3236"/>
      <c r="W66" s="3240"/>
      <c r="X66" s="3240"/>
      <c r="Y66" s="3240"/>
      <c r="Z66" s="3240"/>
      <c r="AA66" s="3240"/>
      <c r="AB66" s="3240"/>
      <c r="AC66" s="3240"/>
      <c r="AD66" s="3239"/>
      <c r="AE66" s="3239"/>
      <c r="AF66" s="3239"/>
      <c r="AG66" s="3239"/>
    </row>
    <row r="67" spans="1:33" s="3418" customFormat="1" ht="24.75" thickBot="1">
      <c r="A67" s="3433" t="s">
        <v>3446</v>
      </c>
      <c r="B67" s="3434"/>
      <c r="C67" s="3413"/>
      <c r="D67" s="3414">
        <f t="shared" si="7"/>
        <v>0</v>
      </c>
      <c r="E67" s="3435"/>
      <c r="F67" s="3416">
        <f>SUMPRODUCT(('[1]2002因素修正幅度'!$A$50:$A$57=A67)*('[1]2002因素修正幅度'!$B$35:$K$35=$G$2)*('[1]2002因素修正幅度'!$B$50:$K$57))</f>
        <v>0</v>
      </c>
      <c r="G67" s="3416">
        <f t="shared" si="8"/>
        <v>0</v>
      </c>
      <c r="H67" s="3417">
        <v>0</v>
      </c>
      <c r="I67" s="3416">
        <f t="shared" si="9"/>
        <v>0</v>
      </c>
      <c r="J67" s="3416">
        <f>SUMPRODUCT(('[1]2002因素修正幅度'!$A$80:$A$87=A67)*('[1]2002因素修正幅度'!$B$35:$K$35=$G$2)*('[1]2002因素修正幅度'!$B$80:$K$87))</f>
        <v>0</v>
      </c>
      <c r="K67" s="3236"/>
      <c r="L67" s="3237"/>
      <c r="M67" s="3237"/>
      <c r="N67" s="3237"/>
      <c r="O67" s="3237"/>
      <c r="P67" s="3237"/>
      <c r="Q67" s="3237"/>
      <c r="R67" s="3237"/>
      <c r="S67" s="3237"/>
      <c r="T67" s="3237"/>
      <c r="U67" s="3237"/>
      <c r="V67" s="3237"/>
      <c r="W67" s="3238"/>
      <c r="X67" s="3239"/>
      <c r="Y67" s="3239"/>
      <c r="Z67" s="3239"/>
      <c r="AA67" s="3239"/>
      <c r="AB67" s="3239"/>
      <c r="AC67" s="3239"/>
      <c r="AD67" s="3238"/>
      <c r="AE67" s="3239"/>
      <c r="AF67" s="3239"/>
      <c r="AG67" s="3239"/>
    </row>
    <row r="68" spans="1:33" s="3418" customFormat="1" ht="15">
      <c r="A68" s="3402" t="s">
        <v>3447</v>
      </c>
      <c r="B68" s="3424">
        <f>1+E70</f>
        <v>1</v>
      </c>
      <c r="C68" s="3405"/>
      <c r="D68" s="3425"/>
      <c r="E68" s="3426"/>
      <c r="F68" s="3427"/>
      <c r="G68" s="3427"/>
      <c r="H68" s="3427"/>
      <c r="I68" s="3427"/>
      <c r="J68" s="3427"/>
      <c r="K68" s="3236"/>
      <c r="L68" s="3236"/>
      <c r="M68" s="3236"/>
      <c r="N68" s="3236"/>
      <c r="O68" s="3236"/>
      <c r="P68" s="3236"/>
      <c r="Q68" s="3236"/>
      <c r="R68" s="3236"/>
      <c r="S68" s="3236"/>
      <c r="T68" s="3236"/>
      <c r="U68" s="3236"/>
      <c r="V68" s="3236"/>
      <c r="W68" s="3240"/>
      <c r="X68" s="3240"/>
      <c r="Y68" s="3240"/>
      <c r="Z68" s="3240"/>
      <c r="AA68" s="3240"/>
      <c r="AB68" s="3240"/>
      <c r="AC68" s="3240"/>
      <c r="AD68" s="3239"/>
      <c r="AE68" s="3239"/>
      <c r="AF68" s="3239"/>
      <c r="AG68" s="3239"/>
    </row>
    <row r="69" spans="1:33" s="3418" customFormat="1" ht="13.5">
      <c r="A69" s="3408" t="s">
        <v>3448</v>
      </c>
      <c r="B69" s="3419"/>
      <c r="C69" s="3409" t="s">
        <v>3449</v>
      </c>
      <c r="D69" s="3428" t="s">
        <v>3450</v>
      </c>
      <c r="E69" s="3429" t="s">
        <v>3451</v>
      </c>
      <c r="F69" s="3430" t="s">
        <v>3452</v>
      </c>
      <c r="G69" s="3430" t="s">
        <v>3453</v>
      </c>
      <c r="H69" s="3430" t="s">
        <v>3454</v>
      </c>
      <c r="I69" s="3430" t="s">
        <v>3455</v>
      </c>
      <c r="J69" s="3430" t="s">
        <v>3456</v>
      </c>
      <c r="K69" s="3236"/>
      <c r="L69" s="3237"/>
      <c r="M69" s="3237"/>
      <c r="N69" s="3237"/>
      <c r="O69" s="3237"/>
      <c r="P69" s="3237"/>
      <c r="Q69" s="3237"/>
      <c r="R69" s="3237"/>
      <c r="S69" s="3237"/>
      <c r="T69" s="3237"/>
      <c r="U69" s="3237"/>
      <c r="V69" s="3237"/>
      <c r="W69" s="3238"/>
      <c r="X69" s="3239"/>
      <c r="Y69" s="3239"/>
      <c r="Z69" s="3239"/>
      <c r="AA69" s="3239"/>
      <c r="AB69" s="3239"/>
      <c r="AC69" s="3239"/>
      <c r="AD69" s="3238"/>
      <c r="AE69" s="3239"/>
      <c r="AF69" s="3239"/>
      <c r="AG69" s="3239"/>
    </row>
    <row r="70" spans="1:33" s="3418" customFormat="1" ht="36">
      <c r="A70" s="3408" t="s">
        <v>3457</v>
      </c>
      <c r="B70" s="3419" t="str">
        <f>[1]估价对象房地状况!G3</f>
        <v>估价对象位于XX开发区，园区建设成熟度？产业集聚程度？</v>
      </c>
      <c r="C70" s="3413"/>
      <c r="D70" s="3414">
        <f t="shared" ref="D70:D76" si="10">SUMIF($F$69:$J$69,C70,F70:J70)</f>
        <v>0</v>
      </c>
      <c r="E70" s="3415">
        <f>SUM(D70:D76)</f>
        <v>0</v>
      </c>
      <c r="F70" s="3416">
        <f>SUMPRODUCT(('[1]2002因素修正幅度'!$A$58:$A$64=A70)*('[1]2002因素修正幅度'!$B$35:$K$35=$G$2)*('[1]2002因素修正幅度'!$B$58:$K$64))</f>
        <v>0</v>
      </c>
      <c r="G70" s="3416">
        <f t="shared" ref="G70:G76" si="11">F70/2</f>
        <v>0</v>
      </c>
      <c r="H70" s="3417">
        <v>0</v>
      </c>
      <c r="I70" s="3416">
        <f t="shared" ref="I70:I76" si="12">J70/2</f>
        <v>0</v>
      </c>
      <c r="J70" s="3416">
        <f>SUMPRODUCT(('[1]2002因素修正幅度'!$A$88:$A$94=A70)*('[1]2002因素修正幅度'!$B$35:$K$35=$G$2)*('[1]2002因素修正幅度'!$B$88:$K$94))</f>
        <v>0</v>
      </c>
      <c r="K70" s="3236"/>
      <c r="L70" s="3237"/>
      <c r="M70" s="3237"/>
      <c r="N70" s="3237"/>
      <c r="O70" s="3237"/>
      <c r="P70" s="3237"/>
      <c r="Q70" s="3237"/>
      <c r="R70" s="3237"/>
      <c r="S70" s="3237"/>
      <c r="T70" s="3237"/>
      <c r="U70" s="3237"/>
      <c r="V70" s="3237"/>
      <c r="W70" s="3238"/>
      <c r="X70" s="3239"/>
      <c r="Y70" s="3239"/>
      <c r="Z70" s="3239"/>
      <c r="AA70" s="3239"/>
      <c r="AB70" s="3239"/>
      <c r="AC70" s="3239"/>
      <c r="AD70" s="3238"/>
      <c r="AE70" s="3239"/>
      <c r="AF70" s="3239"/>
      <c r="AG70" s="3239"/>
    </row>
    <row r="71" spans="1:33" s="3418" customFormat="1" ht="48">
      <c r="A71" s="3408" t="s">
        <v>3458</v>
      </c>
      <c r="B71" s="3419" t="str">
        <f>[1]估价对象房地状况!G4</f>
        <v>估价对象周边道路状况、公共交通通达情况、停车便捷程度，综合评价交通便捷度较好</v>
      </c>
      <c r="C71" s="3413"/>
      <c r="D71" s="3414">
        <f t="shared" si="10"/>
        <v>0</v>
      </c>
      <c r="E71" s="3432"/>
      <c r="F71" s="3416">
        <f>SUMPRODUCT(('[1]2002因素修正幅度'!$A$58:$A$64=A71)*('[1]2002因素修正幅度'!$B$35:$K$35=$G$2)*('[1]2002因素修正幅度'!$B$58:$K$64))</f>
        <v>0</v>
      </c>
      <c r="G71" s="3416">
        <f t="shared" si="11"/>
        <v>0</v>
      </c>
      <c r="H71" s="3417">
        <v>0</v>
      </c>
      <c r="I71" s="3416">
        <f t="shared" si="12"/>
        <v>0</v>
      </c>
      <c r="J71" s="3416">
        <f>SUMPRODUCT(('[1]2002因素修正幅度'!$A$88:$A$94=A71)*('[1]2002因素修正幅度'!$B$35:$K$35=$G$2)*('[1]2002因素修正幅度'!$B$88:$K$94))</f>
        <v>0</v>
      </c>
      <c r="K71" s="3236"/>
      <c r="L71" s="3237"/>
      <c r="M71" s="3237"/>
      <c r="N71" s="3237"/>
      <c r="O71" s="3237"/>
      <c r="P71" s="3237"/>
      <c r="Q71" s="3237"/>
      <c r="R71" s="3237"/>
      <c r="S71" s="3237"/>
      <c r="T71" s="3237"/>
      <c r="U71" s="3237"/>
      <c r="V71" s="3237"/>
      <c r="W71" s="3238"/>
      <c r="X71" s="3239"/>
      <c r="Y71" s="3239"/>
      <c r="Z71" s="3239"/>
      <c r="AA71" s="3239"/>
      <c r="AB71" s="3239"/>
      <c r="AC71" s="3239"/>
      <c r="AD71" s="3238"/>
      <c r="AE71" s="3239"/>
      <c r="AF71" s="3239"/>
      <c r="AG71" s="3239"/>
    </row>
    <row r="72" spans="1:33" s="3418" customFormat="1" ht="24">
      <c r="A72" s="3408" t="s">
        <v>3459</v>
      </c>
      <c r="B72" s="3419" t="str">
        <f>[1]估价对象房地状况!G5</f>
        <v>零星有其他用地，基本不影响本宗地</v>
      </c>
      <c r="C72" s="3413"/>
      <c r="D72" s="3414">
        <f t="shared" si="10"/>
        <v>0</v>
      </c>
      <c r="E72" s="3432"/>
      <c r="F72" s="3416">
        <f>SUMPRODUCT(('[1]2002因素修正幅度'!$A$58:$A$64=A72)*('[1]2002因素修正幅度'!$B$35:$K$35=$G$2)*('[1]2002因素修正幅度'!$B$58:$K$64))</f>
        <v>0</v>
      </c>
      <c r="G72" s="3416">
        <f t="shared" si="11"/>
        <v>0</v>
      </c>
      <c r="H72" s="3417">
        <v>0</v>
      </c>
      <c r="I72" s="3416">
        <f t="shared" si="12"/>
        <v>0</v>
      </c>
      <c r="J72" s="3416">
        <f>SUMPRODUCT(('[1]2002因素修正幅度'!$A$88:$A$94=A72)*('[1]2002因素修正幅度'!$B$35:$K$35=$G$2)*('[1]2002因素修正幅度'!$B$88:$K$94))</f>
        <v>0</v>
      </c>
      <c r="K72" s="3236"/>
      <c r="L72" s="3237"/>
      <c r="M72" s="3237"/>
      <c r="N72" s="3237"/>
      <c r="O72" s="3237"/>
      <c r="P72" s="3237"/>
      <c r="Q72" s="3237"/>
      <c r="R72" s="3237"/>
      <c r="S72" s="3237"/>
      <c r="T72" s="3237"/>
      <c r="U72" s="3237"/>
      <c r="V72" s="3237"/>
      <c r="W72" s="3238"/>
      <c r="X72" s="3239"/>
      <c r="Y72" s="3239"/>
      <c r="Z72" s="3239"/>
      <c r="AA72" s="3239"/>
      <c r="AB72" s="3239"/>
      <c r="AC72" s="3239"/>
      <c r="AD72" s="3238"/>
      <c r="AE72" s="3239"/>
      <c r="AF72" s="3239"/>
      <c r="AG72" s="3239"/>
    </row>
    <row r="73" spans="1:33" s="3418" customFormat="1" ht="14.25">
      <c r="A73" s="3408" t="s">
        <v>724</v>
      </c>
      <c r="B73" s="3419">
        <f>[1]估价对象房地状况!G10</f>
        <v>0</v>
      </c>
      <c r="C73" s="3413"/>
      <c r="D73" s="3414">
        <f t="shared" si="10"/>
        <v>0</v>
      </c>
      <c r="E73" s="3432"/>
      <c r="F73" s="3416">
        <f>SUMPRODUCT(('[1]2002因素修正幅度'!$A$58:$A$64=A73)*('[1]2002因素修正幅度'!$B$35:$K$35=$G$2)*('[1]2002因素修正幅度'!$B$58:$K$64))</f>
        <v>0</v>
      </c>
      <c r="G73" s="3416">
        <f t="shared" si="11"/>
        <v>0</v>
      </c>
      <c r="H73" s="3417">
        <v>0</v>
      </c>
      <c r="I73" s="3416">
        <f t="shared" si="12"/>
        <v>0</v>
      </c>
      <c r="J73" s="3416">
        <f>SUMPRODUCT(('[1]2002因素修正幅度'!$A$88:$A$94=A73)*('[1]2002因素修正幅度'!$B$35:$K$35=$G$2)*('[1]2002因素修正幅度'!$B$88:$K$94))</f>
        <v>0</v>
      </c>
      <c r="K73" s="3236"/>
      <c r="L73" s="3237"/>
      <c r="M73" s="3237"/>
      <c r="N73" s="3237"/>
      <c r="O73" s="3237"/>
      <c r="P73" s="3237"/>
      <c r="Q73" s="3237"/>
      <c r="R73" s="3237"/>
      <c r="S73" s="3237"/>
      <c r="T73" s="3237"/>
      <c r="U73" s="3237"/>
      <c r="V73" s="3237"/>
      <c r="W73" s="3238"/>
      <c r="X73" s="3239"/>
      <c r="Y73" s="3239"/>
      <c r="Z73" s="3239"/>
      <c r="AA73" s="3239"/>
      <c r="AB73" s="3239"/>
      <c r="AC73" s="3239"/>
      <c r="AD73" s="3238"/>
      <c r="AE73" s="3239"/>
      <c r="AF73" s="3239"/>
      <c r="AG73" s="3239"/>
    </row>
    <row r="74" spans="1:33" s="3418" customFormat="1" ht="24">
      <c r="A74" s="3408" t="s">
        <v>3460</v>
      </c>
      <c r="B74" s="3422" t="s">
        <v>3461</v>
      </c>
      <c r="C74" s="3413"/>
      <c r="D74" s="3414">
        <f t="shared" si="10"/>
        <v>0</v>
      </c>
      <c r="E74" s="3432"/>
      <c r="F74" s="3416">
        <f>SUMPRODUCT(('[1]2002因素修正幅度'!$A$58:$A$64=A74)*('[1]2002因素修正幅度'!$B$35:$K$35=$G$2)*('[1]2002因素修正幅度'!$B$58:$K$64))</f>
        <v>0</v>
      </c>
      <c r="G74" s="3416">
        <f t="shared" si="11"/>
        <v>0</v>
      </c>
      <c r="H74" s="3417">
        <v>0</v>
      </c>
      <c r="I74" s="3416">
        <f t="shared" si="12"/>
        <v>0</v>
      </c>
      <c r="J74" s="3416">
        <f>SUMPRODUCT(('[1]2002因素修正幅度'!$A$88:$A$94=A74)*('[1]2002因素修正幅度'!$B$35:$K$35=$G$2)*('[1]2002因素修正幅度'!$B$88:$K$94))</f>
        <v>0</v>
      </c>
      <c r="K74" s="3236"/>
      <c r="L74" s="3237"/>
      <c r="M74" s="3237"/>
      <c r="N74" s="3237"/>
      <c r="O74" s="3237"/>
      <c r="P74" s="3237"/>
      <c r="Q74" s="3237"/>
      <c r="R74" s="3237"/>
      <c r="S74" s="3237"/>
      <c r="T74" s="3237"/>
      <c r="U74" s="3237"/>
      <c r="V74" s="3237"/>
      <c r="W74" s="3238"/>
      <c r="X74" s="3239"/>
      <c r="Y74" s="3239"/>
      <c r="Z74" s="3239"/>
      <c r="AA74" s="3239"/>
      <c r="AB74" s="3239"/>
      <c r="AC74" s="3239"/>
      <c r="AD74" s="3238"/>
      <c r="AE74" s="3239"/>
      <c r="AF74" s="3239"/>
      <c r="AG74" s="3239"/>
    </row>
    <row r="75" spans="1:33" s="3418" customFormat="1" ht="24">
      <c r="A75" s="3408" t="s">
        <v>3462</v>
      </c>
      <c r="B75" s="3431" t="str">
        <f>[1]估价对象房地状况!G8</f>
        <v>估价对象所在区域基础设施水平</v>
      </c>
      <c r="C75" s="3413"/>
      <c r="D75" s="3414">
        <f t="shared" si="10"/>
        <v>0</v>
      </c>
      <c r="E75" s="3432"/>
      <c r="F75" s="3416">
        <f>SUMPRODUCT(('[1]2002因素修正幅度'!$A$58:$A$64=A75)*('[1]2002因素修正幅度'!$B$35:$K$35=$G$2)*('[1]2002因素修正幅度'!$B$58:$K$64))</f>
        <v>0</v>
      </c>
      <c r="G75" s="3416">
        <f t="shared" si="11"/>
        <v>0</v>
      </c>
      <c r="H75" s="3417">
        <v>0</v>
      </c>
      <c r="I75" s="3416">
        <f t="shared" si="12"/>
        <v>0</v>
      </c>
      <c r="J75" s="3416">
        <f>SUMPRODUCT(('[1]2002因素修正幅度'!$A$88:$A$94=A75)*('[1]2002因素修正幅度'!$B$35:$K$35=$G$2)*('[1]2002因素修正幅度'!$B$88:$K$94))</f>
        <v>0</v>
      </c>
      <c r="K75" s="3236"/>
      <c r="L75" s="3237"/>
      <c r="M75" s="3237"/>
      <c r="N75" s="3237"/>
      <c r="O75" s="3237"/>
      <c r="P75" s="3237"/>
      <c r="Q75" s="3237"/>
      <c r="R75" s="3237"/>
      <c r="S75" s="3237"/>
      <c r="T75" s="3237"/>
      <c r="U75" s="3237"/>
      <c r="V75" s="3237"/>
      <c r="W75" s="3238"/>
      <c r="X75" s="3239"/>
      <c r="Y75" s="3239"/>
      <c r="Z75" s="3239"/>
      <c r="AA75" s="3239"/>
      <c r="AB75" s="3239"/>
      <c r="AC75" s="3239"/>
      <c r="AD75" s="3238"/>
      <c r="AE75" s="3239"/>
      <c r="AF75" s="3239"/>
      <c r="AG75" s="3239"/>
    </row>
    <row r="76" spans="1:33" s="3418" customFormat="1" ht="36.75" thickBot="1">
      <c r="A76" s="3433" t="s">
        <v>3463</v>
      </c>
      <c r="B76" s="3436" t="str">
        <f>[1]估价对象房地状况!G6</f>
        <v>该园区内无污染型企业，绿化较好，卫生条件良好，整体环境状况较好</v>
      </c>
      <c r="C76" s="3413"/>
      <c r="D76" s="3414">
        <f t="shared" si="10"/>
        <v>0</v>
      </c>
      <c r="E76" s="3435"/>
      <c r="F76" s="3416">
        <f>SUMPRODUCT(('[1]2002因素修正幅度'!$A$58:$A$64=A76)*('[1]2002因素修正幅度'!$B$35:$K$35=$G$2)*('[1]2002因素修正幅度'!$B$58:$K$64))</f>
        <v>0</v>
      </c>
      <c r="G76" s="3416">
        <f t="shared" si="11"/>
        <v>0</v>
      </c>
      <c r="H76" s="3417">
        <v>0</v>
      </c>
      <c r="I76" s="3416">
        <f t="shared" si="12"/>
        <v>0</v>
      </c>
      <c r="J76" s="3416">
        <f>SUMPRODUCT(('[1]2002因素修正幅度'!$A$88:$A$94=A76)*('[1]2002因素修正幅度'!$B$35:$K$35=$G$2)*('[1]2002因素修正幅度'!$B$88:$K$94))</f>
        <v>0</v>
      </c>
      <c r="K76" s="3236"/>
      <c r="L76" s="3237"/>
      <c r="M76" s="3237"/>
      <c r="N76" s="3237"/>
      <c r="O76" s="3237"/>
      <c r="P76" s="3237"/>
      <c r="Q76" s="3237"/>
      <c r="R76" s="3237"/>
      <c r="S76" s="3237"/>
      <c r="T76" s="3237"/>
      <c r="U76" s="3237"/>
      <c r="V76" s="3237"/>
      <c r="W76" s="3238"/>
      <c r="X76" s="3239"/>
      <c r="Y76" s="3239"/>
      <c r="Z76" s="3239"/>
      <c r="AA76" s="3239"/>
      <c r="AB76" s="3239"/>
      <c r="AC76" s="3239"/>
      <c r="AD76" s="3238"/>
      <c r="AE76" s="3239"/>
      <c r="AF76" s="3239"/>
      <c r="AG76" s="3239"/>
    </row>
    <row r="77" spans="1:33" s="3418" customFormat="1">
      <c r="A77" s="3238"/>
      <c r="B77" s="3383"/>
      <c r="C77" s="3237"/>
      <c r="D77" s="3237"/>
      <c r="E77" s="3237"/>
      <c r="F77" s="3237"/>
      <c r="G77" s="3237"/>
      <c r="H77" s="3237"/>
      <c r="I77" s="3237"/>
      <c r="J77" s="3237"/>
      <c r="K77" s="3236"/>
      <c r="L77" s="3237"/>
      <c r="M77" s="3237"/>
      <c r="N77" s="3237"/>
      <c r="O77" s="3237"/>
      <c r="P77" s="3237"/>
      <c r="Q77" s="3237"/>
      <c r="R77" s="3237"/>
      <c r="S77" s="3237"/>
      <c r="T77" s="3237"/>
      <c r="U77" s="3237"/>
      <c r="V77" s="3237"/>
      <c r="W77" s="3238"/>
      <c r="X77" s="3239"/>
      <c r="Y77" s="3239"/>
      <c r="Z77" s="3239"/>
      <c r="AA77" s="3239"/>
      <c r="AB77" s="3239"/>
      <c r="AC77" s="3239"/>
      <c r="AD77" s="3238"/>
      <c r="AE77" s="3239"/>
      <c r="AF77" s="3239"/>
      <c r="AG77" s="3239"/>
    </row>
    <row r="78" spans="1:33" s="3418" customFormat="1">
      <c r="A78" s="3238"/>
      <c r="B78" s="3383"/>
      <c r="C78" s="3237"/>
      <c r="D78" s="3237"/>
      <c r="E78" s="3237"/>
      <c r="F78" s="3237"/>
      <c r="G78" s="3237"/>
      <c r="H78" s="3237"/>
      <c r="I78" s="3237"/>
      <c r="J78" s="3237"/>
      <c r="K78" s="3236"/>
      <c r="L78" s="3237"/>
      <c r="M78" s="3237"/>
      <c r="N78" s="3237"/>
      <c r="O78" s="3237"/>
      <c r="P78" s="3237"/>
      <c r="Q78" s="3237"/>
      <c r="R78" s="3237"/>
      <c r="S78" s="3237"/>
      <c r="T78" s="3237"/>
      <c r="U78" s="3237"/>
      <c r="V78" s="3237"/>
      <c r="W78" s="3238"/>
      <c r="X78" s="3239"/>
      <c r="Y78" s="3239"/>
      <c r="Z78" s="3239"/>
      <c r="AA78" s="3239"/>
      <c r="AB78" s="3239"/>
      <c r="AC78" s="3239"/>
      <c r="AD78" s="3238"/>
      <c r="AE78" s="3239"/>
      <c r="AF78" s="3239"/>
      <c r="AG78" s="3239"/>
    </row>
    <row r="79" spans="1:33" s="3418" customFormat="1">
      <c r="A79" s="3238"/>
      <c r="B79" s="3383"/>
      <c r="C79" s="3237"/>
      <c r="D79" s="3237"/>
      <c r="E79" s="3237"/>
      <c r="F79" s="3237"/>
      <c r="G79" s="3237"/>
      <c r="H79" s="3237"/>
      <c r="I79" s="3237"/>
      <c r="J79" s="3237"/>
      <c r="K79" s="3236"/>
      <c r="L79" s="3237"/>
      <c r="M79" s="3237"/>
      <c r="N79" s="3237"/>
      <c r="O79" s="3237"/>
      <c r="P79" s="3237"/>
      <c r="Q79" s="3237"/>
      <c r="R79" s="3237"/>
      <c r="S79" s="3237"/>
      <c r="T79" s="3237"/>
      <c r="U79" s="3237"/>
      <c r="V79" s="3237"/>
      <c r="W79" s="3238"/>
      <c r="X79" s="3239"/>
      <c r="Y79" s="3239"/>
      <c r="Z79" s="3239"/>
      <c r="AA79" s="3239"/>
      <c r="AB79" s="3239"/>
      <c r="AC79" s="3239"/>
      <c r="AD79" s="3238"/>
      <c r="AE79" s="3239"/>
      <c r="AF79" s="3239"/>
      <c r="AG79" s="3239"/>
    </row>
    <row r="80" spans="1:33" s="3418" customFormat="1" ht="13.5">
      <c r="A80" s="3246" t="s">
        <v>3464</v>
      </c>
      <c r="B80" s="3437">
        <f>G3</f>
        <v>0</v>
      </c>
      <c r="C80" s="3237"/>
      <c r="D80" s="3237"/>
      <c r="E80" s="3237"/>
      <c r="F80" s="3237"/>
      <c r="G80" s="3438"/>
      <c r="H80" s="3438"/>
      <c r="I80" s="3438"/>
      <c r="J80" s="3438"/>
      <c r="K80" s="3236"/>
      <c r="L80" s="3237"/>
      <c r="M80" s="3237"/>
      <c r="N80" s="3237"/>
      <c r="O80" s="3237"/>
      <c r="P80" s="3237"/>
      <c r="Q80" s="3237"/>
      <c r="R80" s="3237"/>
      <c r="S80" s="3237"/>
      <c r="T80" s="3237"/>
      <c r="U80" s="3237"/>
      <c r="V80" s="3237"/>
      <c r="W80" s="3237"/>
      <c r="X80" s="3237"/>
      <c r="Y80" s="3237"/>
      <c r="Z80" s="3238"/>
      <c r="AA80" s="3239"/>
      <c r="AB80" s="3239"/>
      <c r="AC80" s="3239"/>
      <c r="AD80" s="3239"/>
      <c r="AE80" s="3239"/>
      <c r="AF80" s="3239"/>
      <c r="AG80" s="3239"/>
    </row>
    <row r="81" spans="1:36" s="3418" customFormat="1" ht="12.75">
      <c r="A81" s="3246" t="s">
        <v>3465</v>
      </c>
      <c r="B81" s="3439">
        <f>SUMIF(A82:A85,E2,B82:B85)</f>
        <v>0</v>
      </c>
      <c r="C81" s="3237"/>
      <c r="D81" s="3237"/>
      <c r="E81" s="3237"/>
      <c r="F81" s="3237"/>
      <c r="G81" s="3237"/>
      <c r="H81" s="3237"/>
      <c r="I81" s="3237"/>
      <c r="J81" s="3237"/>
      <c r="K81" s="3236"/>
      <c r="L81" s="3237"/>
      <c r="M81" s="3237"/>
      <c r="N81" s="3237"/>
      <c r="O81" s="3237"/>
      <c r="P81" s="3237"/>
      <c r="Q81" s="3237"/>
      <c r="R81" s="3237"/>
      <c r="S81" s="3237"/>
      <c r="T81" s="3237"/>
      <c r="U81" s="3237"/>
      <c r="V81" s="3237"/>
      <c r="W81" s="3237"/>
      <c r="X81" s="3237"/>
      <c r="Y81" s="3237"/>
      <c r="Z81" s="3238"/>
      <c r="AA81" s="3239"/>
      <c r="AB81" s="3239"/>
      <c r="AC81" s="3239"/>
      <c r="AD81" s="3239"/>
      <c r="AE81" s="3239"/>
      <c r="AF81" s="3239"/>
      <c r="AG81" s="3239"/>
    </row>
    <row r="82" spans="1:36" s="3418" customFormat="1" ht="12.75">
      <c r="A82" s="3440" t="s">
        <v>3466</v>
      </c>
      <c r="B82" s="3439">
        <f>ROUND(0.892-0.0373*B80,4)</f>
        <v>0.89200000000000002</v>
      </c>
      <c r="C82" s="3237"/>
      <c r="D82" s="3237"/>
      <c r="E82" s="3237"/>
      <c r="F82" s="3237"/>
      <c r="G82" s="3237"/>
      <c r="H82" s="3237"/>
      <c r="I82" s="3237"/>
      <c r="J82" s="3237"/>
      <c r="K82" s="3236"/>
      <c r="L82" s="3237"/>
      <c r="M82" s="3237"/>
      <c r="N82" s="3237"/>
      <c r="O82" s="3237"/>
      <c r="P82" s="3237"/>
      <c r="Q82" s="3237"/>
      <c r="R82" s="3237"/>
      <c r="S82" s="3237"/>
      <c r="T82" s="3237"/>
      <c r="U82" s="3237"/>
      <c r="V82" s="3237"/>
      <c r="W82" s="3237"/>
      <c r="X82" s="3237"/>
      <c r="Y82" s="3237"/>
      <c r="Z82" s="3238"/>
      <c r="AA82" s="3239"/>
      <c r="AB82" s="3239"/>
      <c r="AC82" s="3239"/>
      <c r="AD82" s="3239"/>
      <c r="AE82" s="3239"/>
      <c r="AF82" s="3239"/>
      <c r="AG82" s="3239"/>
    </row>
    <row r="83" spans="1:36" s="3418" customFormat="1" ht="13.5">
      <c r="A83" s="3440" t="s">
        <v>3467</v>
      </c>
      <c r="B83" s="3439">
        <f>ROUND(1.007-0.0278*B80,4)</f>
        <v>1.0069999999999999</v>
      </c>
      <c r="C83" s="3237"/>
      <c r="D83" s="3237"/>
      <c r="E83" s="3237"/>
      <c r="F83" s="3237"/>
      <c r="G83" s="3237"/>
      <c r="H83" s="3237"/>
      <c r="I83" s="3237"/>
      <c r="J83" s="3237"/>
      <c r="K83" s="3236"/>
      <c r="L83" s="3438"/>
      <c r="M83" s="3438"/>
      <c r="N83" s="3237"/>
      <c r="O83" s="3237"/>
      <c r="P83" s="3237"/>
      <c r="Q83" s="3237"/>
      <c r="R83" s="3237"/>
      <c r="S83" s="3237"/>
      <c r="T83" s="3237"/>
      <c r="U83" s="3237"/>
      <c r="V83" s="3237"/>
      <c r="W83" s="3237"/>
      <c r="X83" s="3237"/>
      <c r="Y83" s="3237"/>
      <c r="Z83" s="3238"/>
      <c r="AA83" s="3239"/>
      <c r="AB83" s="3239"/>
      <c r="AC83" s="3239"/>
      <c r="AD83" s="3239"/>
      <c r="AE83" s="3239"/>
      <c r="AF83" s="3239"/>
      <c r="AG83" s="3239"/>
    </row>
    <row r="84" spans="1:36" ht="12.75">
      <c r="A84" s="3440" t="s">
        <v>3468</v>
      </c>
      <c r="B84" s="3439">
        <f>ROUND(1.018-0.0219*B80,4)</f>
        <v>1.018</v>
      </c>
      <c r="K84" s="3237"/>
      <c r="AE84" s="3238"/>
      <c r="AF84" s="3238"/>
      <c r="AH84" s="3237"/>
      <c r="AI84" s="3237"/>
      <c r="AJ84" s="3237"/>
    </row>
    <row r="85" spans="1:36" s="3418" customFormat="1" ht="13.5" thickBot="1">
      <c r="A85" s="3441" t="s">
        <v>3469</v>
      </c>
      <c r="B85" s="3442">
        <f>ROUND(0.7275-0.01*B80,4)</f>
        <v>0.72750000000000004</v>
      </c>
      <c r="C85" s="3237"/>
      <c r="D85" s="3237"/>
      <c r="E85" s="3237"/>
      <c r="F85" s="3237"/>
      <c r="G85" s="3237"/>
      <c r="H85" s="3237"/>
      <c r="I85" s="3237"/>
      <c r="J85" s="3237"/>
      <c r="K85" s="3236"/>
      <c r="L85" s="3237"/>
      <c r="M85" s="3237"/>
      <c r="N85" s="3237"/>
      <c r="O85" s="3237"/>
      <c r="P85" s="3237"/>
      <c r="Q85" s="3237"/>
      <c r="R85" s="3237"/>
      <c r="S85" s="3237"/>
      <c r="T85" s="3237"/>
      <c r="U85" s="3237"/>
      <c r="V85" s="3237"/>
      <c r="W85" s="3237"/>
      <c r="X85" s="3237"/>
      <c r="Y85" s="3237"/>
      <c r="Z85" s="3238"/>
      <c r="AA85" s="3239"/>
      <c r="AB85" s="3239"/>
      <c r="AC85" s="3239"/>
      <c r="AD85" s="3239"/>
      <c r="AE85" s="3239"/>
      <c r="AF85" s="3239"/>
      <c r="AG85" s="3239"/>
    </row>
    <row r="86" spans="1:36">
      <c r="K86" s="3237"/>
      <c r="AE86" s="3238"/>
      <c r="AF86" s="3238"/>
      <c r="AH86" s="3237"/>
      <c r="AI86" s="3237"/>
      <c r="AJ86" s="3237"/>
    </row>
    <row r="87" spans="1:36" ht="12.75" thickBot="1">
      <c r="K87" s="3237"/>
      <c r="AE87" s="3238"/>
      <c r="AF87" s="3238"/>
      <c r="AH87" s="3237"/>
      <c r="AI87" s="3237"/>
      <c r="AJ87" s="3237"/>
    </row>
    <row r="88" spans="1:36" ht="14.25" thickBot="1">
      <c r="A88" s="3443" t="s">
        <v>3470</v>
      </c>
      <c r="B88" s="3444" t="s">
        <v>3471</v>
      </c>
      <c r="C88" s="3444" t="s">
        <v>3472</v>
      </c>
      <c r="D88" s="3444" t="s">
        <v>3473</v>
      </c>
      <c r="E88" s="3444" t="s">
        <v>3474</v>
      </c>
      <c r="F88" s="3444" t="s">
        <v>3475</v>
      </c>
      <c r="G88" s="3444" t="s">
        <v>3476</v>
      </c>
      <c r="H88" s="3444" t="s">
        <v>3477</v>
      </c>
      <c r="I88" s="3444" t="s">
        <v>3478</v>
      </c>
      <c r="J88" s="3444" t="s">
        <v>3479</v>
      </c>
      <c r="K88" s="3444" t="s">
        <v>3480</v>
      </c>
      <c r="AE88" s="3238"/>
      <c r="AF88" s="3238"/>
      <c r="AH88" s="3237"/>
      <c r="AI88" s="3237"/>
      <c r="AJ88" s="3237"/>
    </row>
    <row r="89" spans="1:36" ht="13.5">
      <c r="A89" s="3445" t="s">
        <v>3466</v>
      </c>
      <c r="B89" s="3446">
        <v>2</v>
      </c>
      <c r="C89" s="3446">
        <v>2</v>
      </c>
      <c r="D89" s="3446">
        <v>2</v>
      </c>
      <c r="E89" s="3446">
        <v>2</v>
      </c>
      <c r="F89" s="3446">
        <v>2</v>
      </c>
      <c r="G89" s="3446">
        <v>2</v>
      </c>
      <c r="H89" s="3447">
        <v>1</v>
      </c>
      <c r="I89" s="3447">
        <v>1</v>
      </c>
      <c r="J89" s="3447">
        <v>1</v>
      </c>
      <c r="K89" s="3447">
        <v>1</v>
      </c>
      <c r="AE89" s="3238"/>
      <c r="AF89" s="3238"/>
      <c r="AH89" s="3237"/>
      <c r="AI89" s="3237"/>
      <c r="AJ89" s="3237"/>
    </row>
    <row r="90" spans="1:36" ht="13.5">
      <c r="A90" s="3448" t="s">
        <v>3467</v>
      </c>
      <c r="B90" s="3449">
        <v>2</v>
      </c>
      <c r="C90" s="3449">
        <v>2</v>
      </c>
      <c r="D90" s="3449">
        <v>2</v>
      </c>
      <c r="E90" s="3449">
        <v>2</v>
      </c>
      <c r="F90" s="3449">
        <v>2</v>
      </c>
      <c r="G90" s="3449">
        <v>2</v>
      </c>
      <c r="H90" s="3450">
        <v>1</v>
      </c>
      <c r="I90" s="3450">
        <v>1</v>
      </c>
      <c r="J90" s="3450">
        <v>1</v>
      </c>
      <c r="K90" s="3450">
        <v>1</v>
      </c>
      <c r="AE90" s="3238"/>
      <c r="AF90" s="3238"/>
      <c r="AH90" s="3237"/>
      <c r="AI90" s="3237"/>
      <c r="AJ90" s="3237"/>
    </row>
    <row r="91" spans="1:36" ht="13.5">
      <c r="A91" s="3448" t="s">
        <v>3468</v>
      </c>
      <c r="B91" s="3449">
        <v>2</v>
      </c>
      <c r="C91" s="3449">
        <v>2</v>
      </c>
      <c r="D91" s="3449">
        <v>2</v>
      </c>
      <c r="E91" s="3449">
        <v>2</v>
      </c>
      <c r="F91" s="3449">
        <v>2</v>
      </c>
      <c r="G91" s="3449">
        <v>2</v>
      </c>
      <c r="H91" s="3450">
        <v>1</v>
      </c>
      <c r="I91" s="3450">
        <v>1</v>
      </c>
      <c r="J91" s="3450">
        <v>1</v>
      </c>
      <c r="K91" s="3450">
        <v>1</v>
      </c>
      <c r="AE91" s="3238"/>
      <c r="AF91" s="3238"/>
      <c r="AH91" s="3237"/>
      <c r="AI91" s="3237"/>
      <c r="AJ91" s="3237"/>
    </row>
    <row r="92" spans="1:36" ht="14.25" thickBot="1">
      <c r="A92" s="3451" t="s">
        <v>3481</v>
      </c>
      <c r="B92" s="3452">
        <v>1</v>
      </c>
      <c r="C92" s="3452">
        <v>1</v>
      </c>
      <c r="D92" s="3452">
        <v>1</v>
      </c>
      <c r="E92" s="3452">
        <v>1</v>
      </c>
      <c r="F92" s="3452">
        <v>1</v>
      </c>
      <c r="G92" s="3452">
        <v>1</v>
      </c>
      <c r="H92" s="3452">
        <v>1</v>
      </c>
      <c r="I92" s="3452">
        <v>1</v>
      </c>
      <c r="J92" s="3452">
        <v>1</v>
      </c>
      <c r="K92" s="3452">
        <v>1</v>
      </c>
      <c r="AE92" s="3238"/>
      <c r="AF92" s="3238"/>
      <c r="AH92" s="3237"/>
      <c r="AI92" s="3237"/>
      <c r="AJ92" s="3237"/>
    </row>
    <row r="93" spans="1:36">
      <c r="K93" s="3237"/>
      <c r="AE93" s="3238"/>
      <c r="AF93" s="3238"/>
      <c r="AH93" s="3237"/>
      <c r="AI93" s="3237"/>
      <c r="AJ93" s="3237"/>
    </row>
  </sheetData>
  <sheetProtection password="C66D" sheet="1" objects="1" scenarios="1" formatCells="0" formatColumns="0" formatRows="0"/>
  <dataConsolidate/>
  <mergeCells count="2">
    <mergeCell ref="A18:A19"/>
    <mergeCell ref="A20:A21"/>
  </mergeCells>
  <phoneticPr fontId="146" type="noConversion"/>
  <dataValidations count="9">
    <dataValidation type="list" allowBlank="1" showInputMessage="1" showErrorMessage="1" sqref="F10">
      <formula1>"剩余土地使用年限,剩余土地使用年限（设定）"</formula1>
    </dataValidation>
    <dataValidation type="list" allowBlank="1" showInputMessage="1" showErrorMessage="1" sqref="F3">
      <formula1>"容积率,设定容积率"</formula1>
    </dataValidation>
    <dataValidation type="list" allowBlank="1" showInputMessage="1" showErrorMessage="1" sqref="D22">
      <formula1>"四环路外,四环路内"</formula1>
    </dataValidation>
    <dataValidation type="list" allowBlank="1" showInputMessage="1" showErrorMessage="1" sqref="I2">
      <formula1>"地上,地下"</formula1>
    </dataValidation>
    <dataValidation type="list" allowBlank="1" showInputMessage="1" showErrorMessage="1" sqref="D11">
      <formula1>"市区,郊区"</formula1>
    </dataValidation>
    <dataValidation type="list" allowBlank="1" showInputMessage="1" showErrorMessage="1" sqref="F16">
      <formula1>"三通一平,四通一平,五通一平,六通一平,七通一平"</formula1>
    </dataValidation>
    <dataValidation type="list" allowBlank="1" showInputMessage="1" showErrorMessage="1" sqref="E3">
      <formula1>二级分类</formula1>
    </dataValidation>
    <dataValidation type="list" allowBlank="1" showInputMessage="1" showErrorMessage="1" sqref="C25">
      <formula1>季度2002</formula1>
    </dataValidation>
    <dataValidation type="list" allowBlank="1" showInputMessage="1" showErrorMessage="1" sqref="C60:C67 C42:C48 C51:C57 C70:C76">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总参谋部和平村退休干部住房建设工程指挥部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估价对象为北京市房地产，为所有。根据《不动产权证书》[]，估价对象建筑面积为91.5平方米，（分摊）出让国有建设用地使用权面积为0平方米。估价对象用途为。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2009年6月26日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D26" sqref="D2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t="s">
        <v>3087</v>
      </c>
      <c r="C1" s="162"/>
      <c r="D1" s="162"/>
      <c r="E1" s="162"/>
      <c r="F1" s="162"/>
      <c r="G1" s="163"/>
    </row>
    <row r="2" spans="1:7" s="164" customFormat="1" ht="18" customHeight="1">
      <c r="A2" s="165" t="s">
        <v>2006</v>
      </c>
      <c r="B2" s="166">
        <f ca="1">IF(D2="——",IF(C2="元",C52,ROUND(C52/10000,0)),IF(C2="元",C52,ROUND(C52/10000,0))-E2)</f>
        <v>1147192</v>
      </c>
      <c r="C2" s="163" t="str">
        <f>'数据-取费表'!B3</f>
        <v>元</v>
      </c>
      <c r="D2" s="2331" t="s">
        <v>1253</v>
      </c>
      <c r="E2" s="1546" t="e">
        <f ca="1">SUMIF(INDIRECT("'"&amp;G2&amp;"'"&amp;"!A:A"),"承租人权益价值",INDIRECT("'"&amp;G2&amp;"'"&amp;"!c:c"))</f>
        <v>#REF!</v>
      </c>
      <c r="F2" s="2332" t="str">
        <f>C2</f>
        <v>元</v>
      </c>
      <c r="G2" s="1906"/>
    </row>
    <row r="3" spans="1:7" s="164" customFormat="1" ht="18" customHeight="1" thickBot="1">
      <c r="A3" s="167" t="s">
        <v>2007</v>
      </c>
      <c r="B3" s="168">
        <f ca="1">ROUND(C52/IF(B1="仅计算典型户型",'数据-取费表'!E5,'数据-取费表'!B5),0)</f>
        <v>12538</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542454.5</v>
      </c>
      <c r="D5" s="195" t="s">
        <v>2012</v>
      </c>
      <c r="E5" s="1532" t="s">
        <v>2013</v>
      </c>
      <c r="F5" s="1532" t="s">
        <v>2014</v>
      </c>
      <c r="G5" s="174"/>
    </row>
    <row r="6" spans="1:7" s="175" customFormat="1" ht="13.5" customHeight="1">
      <c r="A6" s="176" t="s">
        <v>2015</v>
      </c>
      <c r="B6" s="177" t="s">
        <v>2016</v>
      </c>
      <c r="C6" s="1531">
        <f>('2002基准地价 (2)'!C18-'2002基准地价 (2)'!C22)*'2002基准地价 (2)'!D18</f>
        <v>526399.5</v>
      </c>
      <c r="D6" s="1533"/>
      <c r="E6" s="1534"/>
      <c r="F6" s="1534"/>
      <c r="G6" s="179"/>
    </row>
    <row r="7" spans="1:7" s="175" customFormat="1" ht="13.5" customHeight="1">
      <c r="A7" s="176" t="s">
        <v>2017</v>
      </c>
      <c r="B7" s="177" t="s">
        <v>2018</v>
      </c>
      <c r="C7" s="199">
        <f>ROUND(C6*F7,0)</f>
        <v>16055</v>
      </c>
      <c r="D7" s="199"/>
      <c r="E7" s="1534"/>
      <c r="F7" s="1535">
        <f>'数据-取费表'!E36+'数据-取费表'!E37</f>
        <v>3.0499999999999999E-2</v>
      </c>
      <c r="G7" s="179"/>
    </row>
    <row r="8" spans="1:7" s="180" customFormat="1">
      <c r="A8" s="176" t="s">
        <v>2019</v>
      </c>
      <c r="B8" s="177" t="s">
        <v>2020</v>
      </c>
      <c r="C8" s="199" t="str">
        <f>IF(G8="已包含在土地购买价格中","0",'数据-取费表'!E13)</f>
        <v>0</v>
      </c>
      <c r="D8" s="1536"/>
      <c r="E8" s="199"/>
      <c r="F8" s="1535"/>
      <c r="G8" s="2333" t="s">
        <v>3612</v>
      </c>
    </row>
    <row r="9" spans="1:7" s="175" customFormat="1" ht="13.5" customHeight="1">
      <c r="A9" s="1304" t="s">
        <v>953</v>
      </c>
      <c r="B9" s="181" t="s">
        <v>2021</v>
      </c>
      <c r="C9" s="1537">
        <f>ROUND(D9*E9,0)</f>
        <v>14640</v>
      </c>
      <c r="D9" s="1538">
        <f>IF('数据-取费表'!B10="住宅",IF(B1="仅计算典型户型",'数据-取费表'!E5,'数据-取费表'!B5),0)</f>
        <v>91.5</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18300</v>
      </c>
      <c r="D19" s="1541">
        <f>IF(B1="仅计算典型户型",'数据-取费表'!E5,'数据-取费表'!B5)</f>
        <v>91.5</v>
      </c>
      <c r="E19" s="195">
        <f>'数据-取费表'!E15</f>
        <v>200</v>
      </c>
      <c r="F19" s="196"/>
      <c r="G19" s="2333" t="s">
        <v>3611</v>
      </c>
    </row>
    <row r="20" spans="1:7" s="175" customFormat="1" ht="13.5" customHeight="1">
      <c r="A20" s="204" t="s">
        <v>2034</v>
      </c>
      <c r="B20" s="173" t="s">
        <v>2035</v>
      </c>
      <c r="C20" s="183">
        <f>ROUND((C5+C19)*F20,0)</f>
        <v>11215</v>
      </c>
      <c r="D20" s="183"/>
      <c r="E20" s="183"/>
      <c r="F20" s="187">
        <f>'数据-取费表'!E25</f>
        <v>0.02</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62803</v>
      </c>
      <c r="D22" s="185">
        <f ca="1">C26</f>
        <v>5.0000000000000001E-4</v>
      </c>
      <c r="E22" s="186" t="s">
        <v>2039</v>
      </c>
      <c r="F22" s="187">
        <f ca="1">'数据-取费表'!E27</f>
        <v>5.4000000000000006E-2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60167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2030</v>
      </c>
      <c r="D24" s="188"/>
      <c r="E24" s="188"/>
      <c r="F24" s="189"/>
      <c r="G24" s="190" t="s">
        <v>2047</v>
      </c>
    </row>
    <row r="25" spans="1:7" s="175" customFormat="1" ht="24">
      <c r="A25" s="176" t="s">
        <v>2019</v>
      </c>
      <c r="B25" s="177" t="s">
        <v>2048</v>
      </c>
      <c r="C25" s="1455">
        <f ca="1">ROUND(IF('数据-取费表'!B23&lt;=1,C20*F22*'数据-取费表'!B24/2,C20*(POWER((1+F22),'数据-取费表'!B24/2)-1)),0)</f>
        <v>606</v>
      </c>
      <c r="D25" s="188"/>
      <c r="E25" s="191"/>
      <c r="F25" s="189"/>
      <c r="G25" s="192" t="s">
        <v>2049</v>
      </c>
    </row>
    <row r="26" spans="1:7" s="175" customFormat="1">
      <c r="A26" s="176" t="s">
        <v>2050</v>
      </c>
      <c r="B26" s="177" t="s">
        <v>2051</v>
      </c>
      <c r="C26" s="188">
        <f ca="1">ROUND(IF('数据-取费表'!B23&lt;=1,F21*F22*'数据-取费表'!B24/2,F21*(POWER((1+F22),'数据-取费表'!B24/2)-1)),4)</f>
        <v>5.0000000000000001E-4</v>
      </c>
      <c r="D26" s="188"/>
      <c r="E26" s="191"/>
      <c r="F26" s="189"/>
      <c r="G26" s="193"/>
    </row>
    <row r="27" spans="1:7" s="175" customFormat="1" ht="25.5">
      <c r="A27" s="1305" t="s">
        <v>2052</v>
      </c>
      <c r="B27" s="194" t="s">
        <v>2053</v>
      </c>
      <c r="C27" s="195">
        <f>C28</f>
        <v>114394</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114394</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5.6000000000000001E-2</v>
      </c>
      <c r="D30" s="186" t="s">
        <v>2039</v>
      </c>
      <c r="E30" s="191"/>
      <c r="F30" s="187">
        <f>'数据-取费表'!E29</f>
        <v>5.6000000000000001E-2</v>
      </c>
      <c r="G30" s="184" t="s">
        <v>2059</v>
      </c>
    </row>
    <row r="31" spans="1:7" ht="16.5" customHeight="1">
      <c r="A31" s="204">
        <v>1</v>
      </c>
      <c r="B31" s="173" t="s">
        <v>2060</v>
      </c>
      <c r="C31" s="195">
        <f ca="1">ROUND((C5+C19+C20+C22+C27)/(1-C21-D22-D27-C30),0)</f>
        <v>804258</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249744</v>
      </c>
      <c r="D33" s="183"/>
      <c r="E33" s="1532"/>
      <c r="F33" s="191"/>
      <c r="G33" s="184"/>
    </row>
    <row r="34" spans="1:7" s="206" customFormat="1" ht="13.5" customHeight="1">
      <c r="A34" s="176" t="s">
        <v>2043</v>
      </c>
      <c r="B34" s="177" t="s">
        <v>2065</v>
      </c>
      <c r="C34" s="199">
        <f>IF(B1="仅计算典型户型",'数据-取费表'!F18,'数据-取费表'!E18)</f>
        <v>211365</v>
      </c>
      <c r="D34" s="1533"/>
      <c r="E34" s="199"/>
      <c r="F34" s="1544" t="str">
        <f>IF('数据-取费表'!B25=0,"",'数据-取费表'!E20)</f>
        <v/>
      </c>
      <c r="G34" s="179"/>
    </row>
    <row r="35" spans="1:7" ht="13.5" customHeight="1">
      <c r="A35" s="176" t="s">
        <v>2017</v>
      </c>
      <c r="B35" s="177" t="s">
        <v>2066</v>
      </c>
      <c r="C35" s="199">
        <f>ROUND(C34*F35,0)</f>
        <v>6341</v>
      </c>
      <c r="D35" s="199"/>
      <c r="E35" s="199"/>
      <c r="F35" s="1545">
        <f>'数据-取费表'!E21</f>
        <v>0.03</v>
      </c>
      <c r="G35" s="179" t="s">
        <v>2067</v>
      </c>
    </row>
    <row r="36" spans="1:7" ht="24">
      <c r="A36" s="176" t="s">
        <v>2019</v>
      </c>
      <c r="B36" s="177" t="s">
        <v>2068</v>
      </c>
      <c r="C36" s="199">
        <f>ROUND(IF('数据-取费表'!B10="住宅",C34*F36,0),0)</f>
        <v>10568</v>
      </c>
      <c r="D36" s="199"/>
      <c r="E36" s="199"/>
      <c r="F36" s="1545">
        <f>'数据-取费表'!E22</f>
        <v>0.05</v>
      </c>
      <c r="G36" s="207" t="s">
        <v>2069</v>
      </c>
    </row>
    <row r="37" spans="1:7" s="206" customFormat="1" ht="13.5" customHeight="1">
      <c r="A37" s="176" t="s">
        <v>2050</v>
      </c>
      <c r="B37" s="177" t="s">
        <v>2070</v>
      </c>
      <c r="C37" s="199">
        <f>ROUND(E37*D37,0)</f>
        <v>18300</v>
      </c>
      <c r="D37" s="1533">
        <f>IF(B1="仅计算典型户型",'数据-取费表'!E5,'数据-取费表'!B5)</f>
        <v>91.5</v>
      </c>
      <c r="E37" s="199">
        <f>'数据-取费表'!E23</f>
        <v>200</v>
      </c>
      <c r="F37" s="1545"/>
      <c r="G37" s="208" t="s">
        <v>2071</v>
      </c>
    </row>
    <row r="38" spans="1:7" ht="13.5" customHeight="1">
      <c r="A38" s="176" t="s">
        <v>2072</v>
      </c>
      <c r="B38" s="177" t="s">
        <v>2073</v>
      </c>
      <c r="C38" s="199">
        <f>ROUND(C34*F38,0)</f>
        <v>3170</v>
      </c>
      <c r="D38" s="199"/>
      <c r="E38" s="199"/>
      <c r="F38" s="1545">
        <f>'数据-取费表'!E24</f>
        <v>1.4999999999999999E-2</v>
      </c>
      <c r="G38" s="179" t="s">
        <v>2067</v>
      </c>
    </row>
    <row r="39" spans="1:7" s="175" customFormat="1" ht="13.5" customHeight="1">
      <c r="A39" s="204" t="s">
        <v>2032</v>
      </c>
      <c r="B39" s="173" t="s">
        <v>2035</v>
      </c>
      <c r="C39" s="183">
        <f>ROUND(C33*F20,0)</f>
        <v>4995</v>
      </c>
      <c r="D39" s="183"/>
      <c r="E39" s="183"/>
      <c r="F39" s="187"/>
      <c r="G39" s="184" t="s">
        <v>2074</v>
      </c>
    </row>
    <row r="40" spans="1:7" s="175" customFormat="1" ht="13.5" customHeight="1">
      <c r="A40" s="204" t="s">
        <v>2034</v>
      </c>
      <c r="B40" s="173" t="s">
        <v>2038</v>
      </c>
      <c r="C40" s="1819">
        <f>F21</f>
        <v>0.01</v>
      </c>
      <c r="D40" s="186" t="s">
        <v>2075</v>
      </c>
      <c r="E40" s="183"/>
      <c r="F40" s="187"/>
      <c r="G40" s="184" t="s">
        <v>2076</v>
      </c>
    </row>
    <row r="41" spans="1:7" s="175" customFormat="1" ht="13.5" customHeight="1">
      <c r="A41" s="204" t="s">
        <v>2037</v>
      </c>
      <c r="B41" s="173" t="s">
        <v>2042</v>
      </c>
      <c r="C41" s="183">
        <f ca="1">ROUND(SUM(C42:C43),0)</f>
        <v>13756</v>
      </c>
      <c r="D41" s="185">
        <f ca="1">C44</f>
        <v>5.0000000000000001E-4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13486</v>
      </c>
      <c r="D42" s="188"/>
      <c r="E42" s="188"/>
      <c r="F42" s="189"/>
      <c r="G42" s="2959" t="s">
        <v>2077</v>
      </c>
    </row>
    <row r="43" spans="1:7" ht="13.5" customHeight="1">
      <c r="A43" s="176" t="s">
        <v>2017</v>
      </c>
      <c r="B43" s="177" t="s">
        <v>2046</v>
      </c>
      <c r="C43" s="188">
        <f ca="1">ROUND(IF('数据-取费表'!B23&lt;=1,C39*F22*'数据-取费表'!B22/2,C39*(POWER((1+F22),'数据-取费表'!B22/2)-1)),0)</f>
        <v>270</v>
      </c>
      <c r="D43" s="188"/>
      <c r="E43" s="188"/>
      <c r="F43" s="189"/>
      <c r="G43" s="2960"/>
    </row>
    <row r="44" spans="1:7" ht="13.5" customHeight="1">
      <c r="A44" s="176" t="s">
        <v>2019</v>
      </c>
      <c r="B44" s="177" t="s">
        <v>2048</v>
      </c>
      <c r="C44" s="188">
        <f ca="1">ROUND(IF('数据-取费表'!B23&lt;=1,C40*F22*'数据-取费表'!B22/2,C40*(POWER((1+F22),'数据-取费表'!B22/2)-1)),4)</f>
        <v>5.0000000000000001E-4</v>
      </c>
      <c r="D44" s="188"/>
      <c r="E44" s="188"/>
      <c r="F44" s="189"/>
      <c r="G44" s="2961"/>
    </row>
    <row r="45" spans="1:7" s="175" customFormat="1" ht="13.5" customHeight="1">
      <c r="A45" s="204" t="s">
        <v>2041</v>
      </c>
      <c r="B45" s="194" t="s">
        <v>2053</v>
      </c>
      <c r="C45" s="195">
        <f>C46</f>
        <v>50948</v>
      </c>
      <c r="D45" s="185">
        <f>C47</f>
        <v>2E-3</v>
      </c>
      <c r="E45" s="186" t="s">
        <v>2075</v>
      </c>
      <c r="F45" s="196"/>
      <c r="G45" s="197" t="s">
        <v>2078</v>
      </c>
    </row>
    <row r="46" spans="1:7" s="175" customFormat="1" ht="13.5" customHeight="1">
      <c r="A46" s="176" t="s">
        <v>2043</v>
      </c>
      <c r="B46" s="198" t="s">
        <v>2079</v>
      </c>
      <c r="C46" s="199">
        <f>ROUND((C33+C39)*F27,0)</f>
        <v>50948</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9">
        <f>ROUND(F30/(1+'数据-取费表'!F30),4)</f>
        <v>5.6000000000000001E-2</v>
      </c>
      <c r="D48" s="186" t="s">
        <v>2075</v>
      </c>
      <c r="E48" s="183"/>
      <c r="F48" s="187"/>
      <c r="G48" s="184" t="s">
        <v>2082</v>
      </c>
    </row>
    <row r="49" spans="1:7" ht="16.5" customHeight="1">
      <c r="A49" s="1305" t="s">
        <v>2083</v>
      </c>
      <c r="B49" s="173" t="s">
        <v>2084</v>
      </c>
      <c r="C49" s="183">
        <f ca="1">ROUND((C33+C39+C41+C45)/(1-C40-D41-D45-C48),0)</f>
        <v>342934</v>
      </c>
      <c r="D49" s="183"/>
      <c r="E49" s="183"/>
      <c r="F49" s="210"/>
      <c r="G49" s="184" t="s">
        <v>2085</v>
      </c>
    </row>
    <row r="50" spans="1:7" s="206" customFormat="1" ht="24">
      <c r="A50" s="1305" t="s">
        <v>2086</v>
      </c>
      <c r="B50" s="173" t="s">
        <v>2087</v>
      </c>
      <c r="C50" s="183"/>
      <c r="D50" s="183"/>
      <c r="E50" s="183"/>
      <c r="F50" s="210">
        <f>IF('数据-取费表'!B25=0,'数据-取费表'!E20,1)</f>
        <v>1</v>
      </c>
      <c r="G50" s="197" t="s">
        <v>2088</v>
      </c>
    </row>
    <row r="51" spans="1:7" ht="16.5" customHeight="1">
      <c r="A51" s="1305" t="s">
        <v>2089</v>
      </c>
      <c r="B51" s="173" t="s">
        <v>2090</v>
      </c>
      <c r="C51" s="183">
        <f ca="1">ROUND(C49*F50,0)</f>
        <v>342934</v>
      </c>
      <c r="D51" s="183"/>
      <c r="E51" s="183"/>
      <c r="F51" s="210"/>
      <c r="G51" s="184" t="s">
        <v>2091</v>
      </c>
    </row>
    <row r="52" spans="1:7" s="172" customFormat="1" ht="16.5" thickBot="1">
      <c r="A52" s="211" t="s">
        <v>2092</v>
      </c>
      <c r="B52" s="212"/>
      <c r="C52" s="213">
        <f ca="1">C31+C51</f>
        <v>1147192</v>
      </c>
      <c r="D52" s="212"/>
      <c r="E52" s="212"/>
      <c r="F52" s="212"/>
      <c r="G52" s="214"/>
    </row>
    <row r="55" spans="1:7" ht="15">
      <c r="B55" s="216" t="s">
        <v>2093</v>
      </c>
      <c r="C55" s="217"/>
    </row>
    <row r="56" spans="1:7">
      <c r="B56" s="219" t="s">
        <v>2094</v>
      </c>
      <c r="C56" s="220">
        <f ca="1">ROUND(C51/C52,3)</f>
        <v>0.29899999999999999</v>
      </c>
    </row>
    <row r="57" spans="1:7">
      <c r="B57" s="219" t="s">
        <v>2095</v>
      </c>
      <c r="C57" s="221">
        <f ca="1">1-C56</f>
        <v>0.70100000000000007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93"/>
  <sheetViews>
    <sheetView zoomScale="90" zoomScaleNormal="90" zoomScaleSheetLayoutView="89" workbookViewId="0">
      <selection activeCell="C25" sqref="C25"/>
    </sheetView>
  </sheetViews>
  <sheetFormatPr defaultRowHeight="12"/>
  <cols>
    <col min="1" max="1" width="13.375" style="3238" customWidth="1"/>
    <col min="2" max="2" width="19.25" style="3383" customWidth="1"/>
    <col min="3" max="4" width="12" style="3237" customWidth="1"/>
    <col min="5" max="5" width="14.625" style="3237" customWidth="1"/>
    <col min="6" max="6" width="16.875" style="3237" customWidth="1"/>
    <col min="7" max="8" width="12" style="3237" customWidth="1"/>
    <col min="9" max="9" width="12.25" style="3237" bestFit="1" customWidth="1"/>
    <col min="10" max="10" width="12" style="3237" customWidth="1"/>
    <col min="11" max="11" width="9.5" style="3236" customWidth="1"/>
    <col min="12" max="12" width="12" style="3237" customWidth="1"/>
    <col min="13" max="13" width="8.5" style="3237" customWidth="1"/>
    <col min="14" max="14" width="9.75" style="3237" customWidth="1"/>
    <col min="15" max="25" width="12" style="3237" customWidth="1"/>
    <col min="26" max="26" width="9.375" style="3238" customWidth="1"/>
    <col min="27" max="32" width="9.375" style="3239" customWidth="1"/>
    <col min="33" max="36" width="9.375" style="3238" customWidth="1"/>
    <col min="37" max="38" width="9.375" style="3237" customWidth="1"/>
    <col min="39" max="16384" width="9" style="3237"/>
  </cols>
  <sheetData>
    <row r="1" spans="1:36" ht="25.5">
      <c r="A1" s="3231" t="s">
        <v>3343</v>
      </c>
      <c r="B1" s="3232"/>
      <c r="C1" s="3233"/>
      <c r="D1" s="3233"/>
      <c r="E1" s="3233"/>
      <c r="F1" s="3233"/>
      <c r="G1" s="3234" t="s">
        <v>3344</v>
      </c>
      <c r="H1" s="3556">
        <f>项目基本情况!C12</f>
        <v>91.5</v>
      </c>
      <c r="I1" s="3234" t="s">
        <v>3345</v>
      </c>
      <c r="J1" s="3556">
        <f>项目基本情况!C13</f>
        <v>0</v>
      </c>
      <c r="AE1" s="3240"/>
      <c r="AF1" s="3240"/>
    </row>
    <row r="2" spans="1:36" ht="24">
      <c r="A2" s="3241" t="s">
        <v>3346</v>
      </c>
      <c r="B2" s="3719"/>
      <c r="C2" s="3243" t="s">
        <v>3348</v>
      </c>
      <c r="D2" s="3244" t="s">
        <v>3349</v>
      </c>
      <c r="E2" s="3245" t="str">
        <f>'数据-取费表'!B10</f>
        <v>住宅</v>
      </c>
      <c r="F2" s="3244" t="s">
        <v>3350</v>
      </c>
      <c r="G2" s="3555" t="str">
        <f>项目基本情况!F9</f>
        <v>三级</v>
      </c>
      <c r="H2" s="3245" t="s">
        <v>3351</v>
      </c>
      <c r="I2" s="3247" t="s">
        <v>3483</v>
      </c>
      <c r="J2" s="3248"/>
      <c r="AE2" s="3240"/>
      <c r="AF2" s="3240"/>
    </row>
    <row r="3" spans="1:36" ht="24">
      <c r="A3" s="3249" t="s">
        <v>3352</v>
      </c>
      <c r="B3" s="3250">
        <f>C18</f>
        <v>9588</v>
      </c>
      <c r="C3" s="3243" t="s">
        <v>3353</v>
      </c>
      <c r="D3" s="3244" t="s">
        <v>3354</v>
      </c>
      <c r="E3" s="3251" t="s">
        <v>3340</v>
      </c>
      <c r="F3" s="3252" t="s">
        <v>3355</v>
      </c>
      <c r="G3" s="3253">
        <f>IF(F3="容积率",项目基本情况!C15,项目基本情况!C14)</f>
        <v>6.4</v>
      </c>
      <c r="H3" s="3254" t="s">
        <v>3356</v>
      </c>
      <c r="I3" s="3255">
        <f>SUMPRODUCT((A89:A92=E2)*(B88:K88=G2)*(B89:K92))</f>
        <v>0</v>
      </c>
      <c r="J3" s="3248"/>
      <c r="AE3" s="3240"/>
      <c r="AF3" s="3240"/>
    </row>
    <row r="4" spans="1:36" ht="15.75">
      <c r="A4" s="3241" t="s">
        <v>3357</v>
      </c>
      <c r="B4" s="3242">
        <f>C20</f>
        <v>0</v>
      </c>
      <c r="C4" s="3256" t="s">
        <v>3353</v>
      </c>
      <c r="D4" s="3257"/>
      <c r="E4" s="3258"/>
      <c r="F4" s="3258"/>
      <c r="G4" s="3259"/>
      <c r="H4" s="3260"/>
      <c r="I4" s="3261"/>
      <c r="J4" s="3248"/>
      <c r="AE4" s="3240"/>
      <c r="AF4" s="3240"/>
    </row>
    <row r="5" spans="1:36" ht="16.5" thickBot="1">
      <c r="A5" s="3234" t="s">
        <v>3358</v>
      </c>
      <c r="B5" s="3262">
        <f>C22</f>
        <v>3835</v>
      </c>
      <c r="C5" s="3263" t="s">
        <v>3359</v>
      </c>
      <c r="D5" s="3264"/>
      <c r="E5" s="3264"/>
      <c r="F5" s="3264"/>
      <c r="G5" s="3264"/>
      <c r="H5" s="3264"/>
      <c r="I5" s="3264"/>
      <c r="J5" s="3265"/>
      <c r="AE5" s="3240"/>
      <c r="AF5" s="3240"/>
    </row>
    <row r="6" spans="1:36" s="3273" customFormat="1" ht="14.25">
      <c r="A6" s="3266" t="s">
        <v>3360</v>
      </c>
      <c r="B6" s="3267" t="s">
        <v>3361</v>
      </c>
      <c r="C6" s="3268"/>
      <c r="D6" s="3269"/>
      <c r="E6" s="3269"/>
      <c r="F6" s="3269"/>
      <c r="G6" s="3270"/>
      <c r="H6" s="3270"/>
      <c r="I6" s="3270"/>
      <c r="J6" s="3271"/>
      <c r="K6" s="3272"/>
      <c r="AE6" s="3274"/>
      <c r="AF6" s="3274"/>
      <c r="AG6" s="3275"/>
      <c r="AH6" s="3275"/>
      <c r="AI6" s="3275"/>
      <c r="AJ6" s="3275"/>
    </row>
    <row r="7" spans="1:36" ht="15.75">
      <c r="A7" s="3276">
        <v>1</v>
      </c>
      <c r="B7" s="3277" t="s">
        <v>3362</v>
      </c>
      <c r="C7" s="3278">
        <f>IF(I2="地上",'2002地价表'!M1,ROUND('2002地价表'!M1/3,0))</f>
        <v>3660</v>
      </c>
      <c r="D7" s="3279" t="s">
        <v>3363</v>
      </c>
      <c r="E7" s="3280"/>
      <c r="F7" s="3280"/>
      <c r="G7" s="3281"/>
      <c r="H7" s="3281"/>
      <c r="I7" s="3281"/>
      <c r="J7" s="3282"/>
      <c r="K7" s="3283"/>
      <c r="AE7" s="3240"/>
      <c r="AF7" s="3240"/>
    </row>
    <row r="8" spans="1:36" ht="16.5" thickBot="1">
      <c r="A8" s="3284">
        <v>2</v>
      </c>
      <c r="B8" s="3285" t="s">
        <v>3364</v>
      </c>
      <c r="C8" s="3286"/>
      <c r="D8" s="3287" t="str">
        <f>"取值范围:"&amp;SUMPRODUCT(('2002地价表'!K15:K24=G2)*('2002地价表'!L14:O14=E2)*('2002地价表'!L15:O24))&amp;"—"&amp;SUMPRODUCT(('2002地价表'!K15:K24=G2)*('2002地价表'!P14:S14=E2)*('2002地价表'!P15:S24))</f>
        <v>取值范围:550—1300</v>
      </c>
      <c r="E8" s="3288"/>
      <c r="F8" s="3289" t="s">
        <v>3365</v>
      </c>
      <c r="G8" s="3290"/>
      <c r="H8" s="3290"/>
      <c r="I8" s="3290"/>
      <c r="J8" s="3291"/>
      <c r="K8" s="3283"/>
      <c r="AE8" s="3240"/>
      <c r="AF8" s="3240"/>
    </row>
    <row r="9" spans="1:36" ht="16.5" thickBot="1">
      <c r="A9" s="3292" t="s">
        <v>3366</v>
      </c>
      <c r="B9" s="3293" t="s">
        <v>3367</v>
      </c>
      <c r="C9" s="3294">
        <f>IF(OR(H9&gt;=DATE(2014,8,28),H9&lt;DATE(2002,12,10)),0,ROUND(I9/F9,4))</f>
        <v>2.75</v>
      </c>
      <c r="D9" s="3295" t="s">
        <v>3368</v>
      </c>
      <c r="E9" s="3296">
        <v>37257</v>
      </c>
      <c r="F9" s="3297">
        <f>ROUND(SUMIF('地价 (2)'!B3:F3,E2,'地价 (2)'!B71:F71),0)</f>
        <v>104</v>
      </c>
      <c r="G9" s="3298" t="s">
        <v>3369</v>
      </c>
      <c r="H9" s="3299">
        <f>项目基本情况!D2</f>
        <v>39990</v>
      </c>
      <c r="I9" s="3300">
        <f>ROUND(SUMPRODUCT(('地价 (2)'!A21:A71=YEAR(H9)&amp;"-"&amp;ROUNDUP(MONTH(H9)/3,0))*('地价 (2)'!B3:F3=E2)*('地价 (2)'!B21:F71)),0)</f>
        <v>286</v>
      </c>
      <c r="J9" s="3301"/>
      <c r="AE9" s="3240"/>
      <c r="AF9" s="3240"/>
    </row>
    <row r="10" spans="1:36" ht="16.5" thickBot="1">
      <c r="A10" s="3302" t="s">
        <v>3370</v>
      </c>
      <c r="B10" s="3303" t="s">
        <v>3371</v>
      </c>
      <c r="C10" s="3304">
        <f>ROUND(POWER(1+E10,H10-G10)*(POWER(1+E10,G10)-1)/(POWER(1+E10,H10)-1),4)</f>
        <v>1</v>
      </c>
      <c r="D10" s="3305" t="s">
        <v>3372</v>
      </c>
      <c r="E10" s="3306">
        <v>0.04</v>
      </c>
      <c r="F10" s="3307"/>
      <c r="G10" s="3717">
        <v>70</v>
      </c>
      <c r="H10" s="3717">
        <v>70</v>
      </c>
      <c r="I10" s="3309"/>
      <c r="J10" s="3310"/>
      <c r="AE10" s="3240"/>
      <c r="AF10" s="3240"/>
    </row>
    <row r="11" spans="1:36" ht="15">
      <c r="A11" s="3311" t="s">
        <v>3373</v>
      </c>
      <c r="B11" s="3312" t="s">
        <v>3374</v>
      </c>
      <c r="C11" s="3313">
        <f>IF(E2="工业",1,IF(G3&gt;10,D14,IF(D11="郊区",D13,D12)))</f>
        <v>0.878</v>
      </c>
      <c r="D11" s="3314" t="s">
        <v>3607</v>
      </c>
      <c r="E11" s="3270"/>
      <c r="F11" s="3270"/>
      <c r="G11" s="3270"/>
      <c r="H11" s="3270"/>
      <c r="I11" s="3270"/>
      <c r="J11" s="3315"/>
      <c r="AE11" s="3240"/>
      <c r="AF11" s="3240"/>
    </row>
    <row r="12" spans="1:36" ht="15">
      <c r="A12" s="3316"/>
      <c r="B12" s="3317" t="s">
        <v>3375</v>
      </c>
      <c r="C12" s="3318" t="s">
        <v>3376</v>
      </c>
      <c r="D12" s="3319">
        <f>IF(E12=G12,F12,IF(G3&lt;=10,ROUND(F12+(H12-F12)*(G3-E12)/(G12-E12),4),"——"))</f>
        <v>0.878</v>
      </c>
      <c r="E12" s="3320">
        <f>ROUNDDOWN(G3,1)</f>
        <v>6.4</v>
      </c>
      <c r="F12" s="3321">
        <f>IF(G3&lt;=10,SUMPRODUCT(('2002容积率修正'!A3:A102=E12)*('2002容积率修正'!B2:D2=E2)*('2002容积率修正'!B3:D102)),"——")</f>
        <v>0.878</v>
      </c>
      <c r="G12" s="3322">
        <f>ROUNDUP(G3,1)</f>
        <v>6.4</v>
      </c>
      <c r="H12" s="3318">
        <f>IF(G3&lt;=10,SUMPRODUCT(('2002容积率修正'!A3:A102=G12)*('2002容积率修正'!B2:D2=E2)*('2002容积率修正'!B3:D102)),"——")</f>
        <v>0.878</v>
      </c>
      <c r="I12" s="3323"/>
      <c r="J12" s="3324"/>
      <c r="AE12" s="3240"/>
      <c r="AF12" s="3240"/>
    </row>
    <row r="13" spans="1:36" ht="15">
      <c r="A13" s="3316"/>
      <c r="B13" s="3317" t="s">
        <v>3377</v>
      </c>
      <c r="C13" s="3318" t="s">
        <v>3376</v>
      </c>
      <c r="D13" s="3319">
        <f>IF(E12=G12,F12,IF(G3&lt;=10,ROUND(F12+(H12-F12)*(G3-E12)/(G12-E12),4),"——"))</f>
        <v>0.878</v>
      </c>
      <c r="E13" s="3320">
        <f>ROUNDDOWN(G3,1)</f>
        <v>6.4</v>
      </c>
      <c r="F13" s="3321">
        <f>IF(G3&lt;=10,SUMPRODUCT(('2002容积率修正'!A3:A102=E13)*('2002容积率修正'!E2:G2=E2)*('2002容积率修正'!E3:G102)),"——")</f>
        <v>0.746</v>
      </c>
      <c r="G13" s="3322">
        <f>ROUNDUP(G3,1)</f>
        <v>6.4</v>
      </c>
      <c r="H13" s="3318">
        <f>IF(G3&lt;=10,SUMPRODUCT(('2002容积率修正'!A3:A102=G13)*('2002容积率修正'!E2:G2=E2)*('2002容积率修正'!E3:G102)),"——")</f>
        <v>0.746</v>
      </c>
      <c r="I13" s="3325"/>
      <c r="J13" s="3326"/>
      <c r="AE13" s="3240"/>
      <c r="AF13" s="3240"/>
    </row>
    <row r="14" spans="1:36" ht="15.75" thickBot="1">
      <c r="A14" s="3327"/>
      <c r="B14" s="3328"/>
      <c r="C14" s="3329" t="s">
        <v>3378</v>
      </c>
      <c r="D14" s="3330" t="str">
        <f>IF(G3&gt;10,B81,"——")</f>
        <v>——</v>
      </c>
      <c r="E14" s="3331"/>
      <c r="F14" s="3329"/>
      <c r="G14" s="3332"/>
      <c r="H14" s="3329"/>
      <c r="I14" s="3333"/>
      <c r="J14" s="3334"/>
      <c r="AE14" s="3240"/>
      <c r="AF14" s="3240"/>
    </row>
    <row r="15" spans="1:36" ht="16.5" thickBot="1">
      <c r="A15" s="3335" t="s">
        <v>3379</v>
      </c>
      <c r="B15" s="3336" t="s">
        <v>3380</v>
      </c>
      <c r="C15" s="3337">
        <f>SUMIF(A40:A76,E2,B40:B76)</f>
        <v>1.085</v>
      </c>
      <c r="D15" s="3338"/>
      <c r="E15" s="3339"/>
      <c r="F15" s="3339"/>
      <c r="G15" s="3339"/>
      <c r="H15" s="3339"/>
      <c r="I15" s="3339"/>
      <c r="J15" s="3340"/>
      <c r="AE15" s="3240"/>
      <c r="AF15" s="3240"/>
    </row>
    <row r="16" spans="1:36" ht="29.25" thickBot="1">
      <c r="A16" s="3302" t="s">
        <v>3381</v>
      </c>
      <c r="B16" s="3303" t="s">
        <v>3382</v>
      </c>
      <c r="C16" s="3341">
        <v>1</v>
      </c>
      <c r="D16" s="3342" t="s">
        <v>3383</v>
      </c>
      <c r="E16" s="3343" t="s">
        <v>3384</v>
      </c>
      <c r="F16" s="3344" t="s">
        <v>3609</v>
      </c>
      <c r="G16" s="3345" t="s">
        <v>3385</v>
      </c>
      <c r="H16" s="3346" t="str">
        <f>IF(E2="工业",IF(OR(G2="六级",G2="七级",G2="八级",G2="九级"),"五通一平","七通一平"),IF(OR(G2="七级",G2="八级",G2="九级",G2="十级"),"五通一平","七通一平"))</f>
        <v>七通一平</v>
      </c>
      <c r="I16" s="3347"/>
      <c r="J16" s="3348"/>
      <c r="L16" s="3236"/>
      <c r="M16" s="3236"/>
      <c r="N16" s="3236"/>
      <c r="O16" s="3236"/>
      <c r="P16" s="3236"/>
      <c r="Q16" s="3236"/>
      <c r="R16" s="3236"/>
      <c r="S16" s="3236"/>
      <c r="T16" s="3236"/>
      <c r="U16" s="3236"/>
      <c r="V16" s="3236"/>
      <c r="W16" s="3236"/>
      <c r="X16" s="3236"/>
      <c r="Y16" s="3236"/>
      <c r="Z16" s="3236"/>
      <c r="AA16" s="3236"/>
      <c r="AB16" s="3236"/>
      <c r="AC16" s="3236"/>
      <c r="AD16" s="3236"/>
      <c r="AE16" s="3240"/>
      <c r="AF16" s="3240"/>
    </row>
    <row r="17" spans="1:37" ht="12" customHeight="1">
      <c r="A17" s="3266" t="s">
        <v>3386</v>
      </c>
      <c r="B17" s="3349" t="s">
        <v>3387</v>
      </c>
      <c r="C17" s="3350" t="s">
        <v>3388</v>
      </c>
      <c r="D17" s="3351" t="s">
        <v>3389</v>
      </c>
      <c r="E17" s="3352" t="s">
        <v>3390</v>
      </c>
      <c r="F17" s="3269"/>
      <c r="G17" s="3270"/>
      <c r="H17" s="3270"/>
      <c r="I17" s="3270"/>
      <c r="J17" s="3271"/>
      <c r="L17" s="3236"/>
      <c r="M17" s="3236"/>
      <c r="N17" s="3236"/>
      <c r="O17" s="3236"/>
      <c r="P17" s="3236"/>
      <c r="Q17" s="3236"/>
      <c r="R17" s="3236"/>
      <c r="S17" s="3236"/>
      <c r="T17" s="3236"/>
      <c r="U17" s="3236"/>
      <c r="V17" s="3236"/>
      <c r="W17" s="3236"/>
      <c r="X17" s="3236"/>
      <c r="Y17" s="3236"/>
      <c r="Z17" s="3236"/>
      <c r="AA17" s="3236"/>
      <c r="AB17" s="3236"/>
      <c r="AC17" s="3236"/>
      <c r="AD17" s="3236"/>
      <c r="AE17" s="3240"/>
      <c r="AF17" s="3240"/>
    </row>
    <row r="18" spans="1:37" s="3273" customFormat="1" ht="15.75">
      <c r="A18" s="3353" t="s">
        <v>3391</v>
      </c>
      <c r="B18" s="3354" t="s">
        <v>3361</v>
      </c>
      <c r="C18" s="3355">
        <f>ROUND(C7*C9*C10*C11*C15*C16,0)</f>
        <v>9588</v>
      </c>
      <c r="D18" s="3356">
        <f>H1</f>
        <v>91.5</v>
      </c>
      <c r="E18" s="3357">
        <f>ROUND(C18*D18,0)</f>
        <v>877302</v>
      </c>
      <c r="F18" s="3358" t="s">
        <v>3392</v>
      </c>
      <c r="G18" s="3359"/>
      <c r="H18" s="3359"/>
      <c r="I18" s="3359"/>
      <c r="J18" s="3360"/>
      <c r="K18" s="3361"/>
      <c r="L18" s="3236"/>
      <c r="M18" s="3236"/>
      <c r="N18" s="3236"/>
      <c r="O18" s="3236"/>
      <c r="P18" s="3236"/>
      <c r="Q18" s="3236"/>
      <c r="R18" s="3236"/>
      <c r="S18" s="3236"/>
      <c r="T18" s="3236"/>
      <c r="U18" s="3236"/>
      <c r="V18" s="3236"/>
      <c r="W18" s="3236"/>
      <c r="X18" s="3236"/>
      <c r="Y18" s="3236"/>
      <c r="Z18" s="3240"/>
      <c r="AA18" s="3240"/>
      <c r="AB18" s="3240"/>
      <c r="AC18" s="3240"/>
      <c r="AD18" s="3240"/>
      <c r="AE18" s="3240"/>
      <c r="AF18" s="3240"/>
      <c r="AG18" s="3238"/>
      <c r="AH18" s="3238"/>
      <c r="AI18" s="3238"/>
    </row>
    <row r="19" spans="1:37" s="3273" customFormat="1" ht="15">
      <c r="A19" s="3362"/>
      <c r="B19" s="3363" t="s">
        <v>3393</v>
      </c>
      <c r="C19" s="3318">
        <f>ROUND(C7*C9*C10*C11*C15*C16*G3,0)</f>
        <v>61365</v>
      </c>
      <c r="D19" s="3356">
        <f>J1</f>
        <v>0</v>
      </c>
      <c r="E19" s="3357">
        <f>ROUND(C19*D19,0)</f>
        <v>0</v>
      </c>
      <c r="F19" s="3364" t="s">
        <v>3394</v>
      </c>
      <c r="G19" s="3281"/>
      <c r="H19" s="3281"/>
      <c r="I19" s="3281"/>
      <c r="J19" s="3282"/>
      <c r="K19" s="3361"/>
      <c r="L19" s="3236"/>
      <c r="M19" s="3236"/>
      <c r="N19" s="3236"/>
      <c r="O19" s="3236"/>
      <c r="P19" s="3236"/>
      <c r="Q19" s="3236"/>
      <c r="R19" s="3236"/>
      <c r="S19" s="3236"/>
      <c r="T19" s="3236"/>
      <c r="U19" s="3236"/>
      <c r="V19" s="3236"/>
      <c r="W19" s="3236"/>
      <c r="X19" s="3236"/>
      <c r="Y19" s="3236"/>
      <c r="Z19" s="3240"/>
      <c r="AA19" s="3240"/>
      <c r="AB19" s="3240"/>
      <c r="AC19" s="3240"/>
      <c r="AD19" s="3240"/>
      <c r="AE19" s="3240"/>
      <c r="AF19" s="3240"/>
      <c r="AG19" s="3238"/>
      <c r="AH19" s="3238"/>
      <c r="AI19" s="3238"/>
    </row>
    <row r="20" spans="1:37" s="3273" customFormat="1" ht="15">
      <c r="A20" s="3365" t="s">
        <v>3395</v>
      </c>
      <c r="B20" s="3317" t="s">
        <v>3396</v>
      </c>
      <c r="C20" s="3366">
        <f>ROUND(IF(G3&gt;=I3,C8*C9*C10*C15,C8*C9*C10*C15*G3),0)</f>
        <v>0</v>
      </c>
      <c r="D20" s="3367">
        <f>H1</f>
        <v>91.5</v>
      </c>
      <c r="E20" s="3368">
        <f>ROUND(C20*D20,0)</f>
        <v>0</v>
      </c>
      <c r="F20" s="3369" t="s">
        <v>3397</v>
      </c>
      <c r="G20" s="3370"/>
      <c r="H20" s="3370"/>
      <c r="I20" s="3370"/>
      <c r="J20" s="3301"/>
      <c r="K20" s="3361"/>
      <c r="L20" s="3236"/>
      <c r="M20" s="3236"/>
      <c r="N20" s="3236"/>
      <c r="O20" s="3236"/>
      <c r="P20" s="3236"/>
      <c r="Q20" s="3236"/>
      <c r="R20" s="3236"/>
      <c r="S20" s="3236"/>
      <c r="T20" s="3236"/>
      <c r="U20" s="3236"/>
      <c r="V20" s="3236"/>
      <c r="W20" s="3236"/>
      <c r="X20" s="3236"/>
      <c r="Y20" s="3236"/>
      <c r="Z20" s="3240"/>
      <c r="AA20" s="3240"/>
      <c r="AB20" s="3240"/>
      <c r="AC20" s="3240"/>
      <c r="AD20" s="3240"/>
      <c r="AE20" s="3240"/>
      <c r="AF20" s="3240"/>
      <c r="AG20" s="3238"/>
      <c r="AH20" s="3238"/>
      <c r="AI20" s="3238"/>
    </row>
    <row r="21" spans="1:37" s="3273" customFormat="1" ht="15">
      <c r="A21" s="3365"/>
      <c r="B21" s="3371" t="s">
        <v>3398</v>
      </c>
      <c r="C21" s="3372">
        <f>ROUND(IF(G3&lt;I3,C8*C9*C10*C15,C8*C9*C10*C15*G3),0)</f>
        <v>0</v>
      </c>
      <c r="D21" s="3373">
        <f>J1</f>
        <v>0</v>
      </c>
      <c r="E21" s="3374">
        <f t="shared" ref="E21" si="0">ROUND(C21*D21,0)</f>
        <v>0</v>
      </c>
      <c r="F21" s="3375" t="s">
        <v>3399</v>
      </c>
      <c r="G21" s="3370"/>
      <c r="H21" s="3370"/>
      <c r="I21" s="3370"/>
      <c r="J21" s="3301"/>
      <c r="K21" s="3361"/>
      <c r="L21" s="3236"/>
      <c r="M21" s="3236"/>
      <c r="N21" s="3236"/>
      <c r="O21" s="3236"/>
      <c r="P21" s="3236"/>
      <c r="Q21" s="3236"/>
      <c r="R21" s="3236"/>
      <c r="S21" s="3236"/>
      <c r="T21" s="3236"/>
      <c r="U21" s="3236"/>
      <c r="V21" s="3236"/>
      <c r="W21" s="3236"/>
      <c r="X21" s="3236"/>
      <c r="Y21" s="3236"/>
      <c r="Z21" s="3240"/>
      <c r="AA21" s="3240"/>
      <c r="AB21" s="3240"/>
      <c r="AC21" s="3240"/>
      <c r="AD21" s="3240"/>
      <c r="AE21" s="3361"/>
      <c r="AF21" s="3376"/>
      <c r="AG21" s="3377"/>
      <c r="AH21" s="3238"/>
      <c r="AI21" s="3275"/>
      <c r="AJ21" s="3275"/>
      <c r="AK21" s="3275"/>
    </row>
    <row r="22" spans="1:37" s="3273" customFormat="1" ht="15.75" thickBot="1">
      <c r="A22" s="3378" t="s">
        <v>3400</v>
      </c>
      <c r="B22" s="3379"/>
      <c r="C22" s="3330">
        <f>ROUND(IF(D22="四环路内",C18*0.4,C18*0.6),0)</f>
        <v>3835</v>
      </c>
      <c r="D22" s="3380" t="s">
        <v>3610</v>
      </c>
      <c r="E22" s="3381"/>
      <c r="F22" s="3381"/>
      <c r="G22" s="3381"/>
      <c r="H22" s="3381"/>
      <c r="I22" s="3381"/>
      <c r="J22" s="3382"/>
      <c r="K22" s="3361"/>
      <c r="L22" s="3236"/>
      <c r="M22" s="3236"/>
      <c r="N22" s="3236"/>
      <c r="O22" s="3236"/>
      <c r="P22" s="3236"/>
      <c r="Q22" s="3236"/>
      <c r="R22" s="3236"/>
      <c r="S22" s="3236"/>
      <c r="T22" s="3236"/>
      <c r="U22" s="3236"/>
      <c r="V22" s="3236"/>
      <c r="W22" s="3236"/>
      <c r="X22" s="3236"/>
      <c r="Y22" s="3236"/>
      <c r="Z22" s="3240"/>
      <c r="AA22" s="3240"/>
      <c r="AB22" s="3240"/>
      <c r="AC22" s="3240"/>
      <c r="AD22" s="3240"/>
      <c r="AE22" s="3361"/>
      <c r="AF22" s="3361"/>
    </row>
    <row r="23" spans="1:37" s="3273" customFormat="1" ht="14.25" thickBot="1">
      <c r="A23" s="3238"/>
      <c r="B23" s="3383"/>
      <c r="C23" s="3384"/>
      <c r="D23" s="3237"/>
      <c r="E23" s="3237"/>
      <c r="F23" s="3237"/>
      <c r="G23" s="3237"/>
      <c r="H23" s="3237"/>
      <c r="I23" s="3237"/>
      <c r="J23" s="3237"/>
      <c r="K23" s="3361"/>
      <c r="L23" s="3236"/>
      <c r="M23" s="3236"/>
      <c r="N23" s="3236"/>
      <c r="O23" s="3236"/>
      <c r="P23" s="3236"/>
      <c r="Q23" s="3236"/>
      <c r="R23" s="3236"/>
      <c r="S23" s="3236"/>
      <c r="T23" s="3236"/>
      <c r="U23" s="3236"/>
      <c r="V23" s="3236"/>
      <c r="W23" s="3236"/>
      <c r="X23" s="3236"/>
      <c r="Y23" s="3236"/>
      <c r="Z23" s="3240"/>
      <c r="AA23" s="3240"/>
      <c r="AB23" s="3240"/>
      <c r="AC23" s="3240"/>
      <c r="AD23" s="3240"/>
      <c r="AE23" s="3361"/>
      <c r="AF23" s="3361"/>
    </row>
    <row r="24" spans="1:37" s="3273" customFormat="1" ht="14.25" thickBot="1">
      <c r="A24" s="3385" t="s">
        <v>3401</v>
      </c>
      <c r="B24" s="3386">
        <f>ROUNDDOWN(1+DATEDIF(E9,H9,"M")/3,0)</f>
        <v>30</v>
      </c>
      <c r="C24" s="3240"/>
      <c r="D24" s="3376"/>
      <c r="E24" s="3376"/>
      <c r="F24" s="3376"/>
      <c r="G24" s="3376"/>
      <c r="H24" s="3376"/>
      <c r="I24" s="3240"/>
      <c r="J24" s="3240"/>
      <c r="K24" s="3240"/>
      <c r="L24" s="3240"/>
      <c r="M24" s="3236"/>
      <c r="N24" s="3236"/>
      <c r="O24" s="3361"/>
      <c r="P24" s="3361"/>
      <c r="Q24" s="3361"/>
      <c r="R24" s="3361"/>
      <c r="S24" s="3361"/>
      <c r="T24" s="3236"/>
      <c r="U24" s="3236"/>
      <c r="V24" s="3236"/>
      <c r="W24" s="3236"/>
      <c r="X24" s="3236"/>
      <c r="Y24" s="3236"/>
      <c r="Z24" s="3240"/>
      <c r="AA24" s="3240"/>
      <c r="AB24" s="3240"/>
      <c r="AC24" s="3240"/>
      <c r="AD24" s="3240"/>
      <c r="AE24" s="3361"/>
      <c r="AF24" s="3361"/>
    </row>
    <row r="25" spans="1:37" s="3273" customFormat="1" ht="13.5">
      <c r="A25" s="3387" t="s">
        <v>3402</v>
      </c>
      <c r="B25" s="3388" t="s">
        <v>3403</v>
      </c>
      <c r="C25" s="3389" t="s">
        <v>96</v>
      </c>
      <c r="D25" s="3376"/>
      <c r="E25" s="3376"/>
      <c r="F25" s="3376"/>
      <c r="G25" s="3376"/>
      <c r="H25" s="3376"/>
      <c r="I25" s="3240"/>
      <c r="J25" s="3240"/>
      <c r="K25" s="3240"/>
      <c r="L25" s="3240"/>
      <c r="M25" s="3236"/>
      <c r="N25" s="3236"/>
      <c r="O25" s="3361"/>
      <c r="P25" s="3361"/>
      <c r="Q25" s="3361"/>
      <c r="R25" s="3361"/>
      <c r="S25" s="3361"/>
      <c r="T25" s="3236"/>
      <c r="U25" s="3236"/>
      <c r="V25" s="3236"/>
      <c r="W25" s="3236"/>
      <c r="X25" s="3236"/>
      <c r="Y25" s="3236"/>
      <c r="Z25" s="3240"/>
      <c r="AA25" s="3240"/>
      <c r="AB25" s="3240"/>
      <c r="AC25" s="3240"/>
      <c r="AD25" s="3240"/>
      <c r="AE25" s="3361"/>
      <c r="AF25" s="3361"/>
    </row>
    <row r="26" spans="1:37" s="3273" customFormat="1" ht="14.25">
      <c r="A26" s="3390" t="s">
        <v>3404</v>
      </c>
      <c r="B26" s="3391"/>
      <c r="C26" s="3392">
        <f>'[1]地价（废）'!L2</f>
        <v>1.9300000000000001E-2</v>
      </c>
      <c r="D26" s="3376"/>
      <c r="E26" s="3376"/>
      <c r="F26" s="3376"/>
      <c r="G26" s="3376"/>
      <c r="H26" s="3376"/>
      <c r="I26" s="3240"/>
      <c r="J26" s="3240"/>
      <c r="K26" s="3240"/>
      <c r="L26" s="3240"/>
      <c r="M26" s="3236"/>
      <c r="N26" s="3236"/>
      <c r="O26" s="3361"/>
      <c r="P26" s="3361"/>
      <c r="Q26" s="3361"/>
      <c r="R26" s="3361"/>
      <c r="S26" s="3361"/>
      <c r="T26" s="3236"/>
      <c r="U26" s="3236"/>
      <c r="V26" s="3236"/>
      <c r="W26" s="3236"/>
      <c r="X26" s="3236"/>
      <c r="Y26" s="3236"/>
      <c r="Z26" s="3240"/>
      <c r="AA26" s="3240"/>
      <c r="AB26" s="3240"/>
      <c r="AC26" s="3240"/>
      <c r="AD26" s="3240"/>
      <c r="AE26" s="3361"/>
      <c r="AF26" s="3361"/>
    </row>
    <row r="27" spans="1:37" s="3273" customFormat="1" ht="14.25">
      <c r="A27" s="3390" t="s">
        <v>3405</v>
      </c>
      <c r="B27" s="3393">
        <v>0.02</v>
      </c>
      <c r="C27" s="3392">
        <f>'[1]地价（废）'!M2</f>
        <v>1.78E-2</v>
      </c>
      <c r="D27" s="3376"/>
      <c r="E27" s="3376"/>
      <c r="F27" s="3376"/>
      <c r="G27" s="3376"/>
      <c r="H27" s="3376"/>
      <c r="I27" s="3240"/>
      <c r="J27" s="3240"/>
      <c r="K27" s="3240"/>
      <c r="L27" s="3240"/>
      <c r="M27" s="3236"/>
      <c r="N27" s="3236"/>
      <c r="O27" s="3361"/>
      <c r="P27" s="3361"/>
      <c r="Q27" s="3361"/>
      <c r="R27" s="3361"/>
      <c r="S27" s="3361"/>
      <c r="T27" s="3236"/>
      <c r="U27" s="3236"/>
      <c r="V27" s="3236"/>
      <c r="W27" s="3236"/>
      <c r="X27" s="3236"/>
      <c r="Y27" s="3236"/>
      <c r="Z27" s="3240"/>
      <c r="AA27" s="3240"/>
      <c r="AB27" s="3240"/>
      <c r="AC27" s="3240"/>
      <c r="AD27" s="3240"/>
      <c r="AE27" s="3361"/>
      <c r="AF27" s="3361"/>
    </row>
    <row r="28" spans="1:37" s="3273" customFormat="1" ht="14.25">
      <c r="A28" s="3390" t="s">
        <v>3406</v>
      </c>
      <c r="B28" s="3393">
        <v>0.02</v>
      </c>
      <c r="C28" s="3392">
        <f>'[1]地价（废）'!N2</f>
        <v>1.78E-2</v>
      </c>
      <c r="D28" s="3376"/>
      <c r="E28" s="3376"/>
      <c r="F28" s="3376"/>
      <c r="G28" s="3376"/>
      <c r="H28" s="3376"/>
      <c r="I28" s="3240"/>
      <c r="J28" s="3240"/>
      <c r="K28" s="3240"/>
      <c r="L28" s="3240"/>
      <c r="M28" s="3236"/>
      <c r="N28" s="3236"/>
      <c r="O28" s="3361"/>
      <c r="P28" s="3361"/>
      <c r="Q28" s="3361"/>
      <c r="R28" s="3361"/>
      <c r="S28" s="3361"/>
      <c r="T28" s="3236"/>
      <c r="U28" s="3236"/>
      <c r="V28" s="3236"/>
      <c r="W28" s="3236"/>
      <c r="X28" s="3236"/>
      <c r="Y28" s="3236"/>
      <c r="Z28" s="3240"/>
      <c r="AA28" s="3240"/>
      <c r="AB28" s="3240"/>
      <c r="AC28" s="3240"/>
      <c r="AD28" s="3240"/>
      <c r="AE28" s="3361"/>
      <c r="AF28" s="3361"/>
    </row>
    <row r="29" spans="1:37" s="3273" customFormat="1" ht="14.25">
      <c r="A29" s="3390" t="s">
        <v>3407</v>
      </c>
      <c r="B29" s="3393">
        <v>2.5899999999999999E-2</v>
      </c>
      <c r="C29" s="3392">
        <f>'[1]地价（废）'!O2</f>
        <v>1.9900000000000001E-2</v>
      </c>
      <c r="D29" s="3376"/>
      <c r="E29" s="3376"/>
      <c r="F29" s="3376"/>
      <c r="G29" s="3376"/>
      <c r="H29" s="3376"/>
      <c r="I29" s="3240"/>
      <c r="J29" s="3240"/>
      <c r="K29" s="3240"/>
      <c r="L29" s="3240"/>
      <c r="M29" s="3236"/>
      <c r="N29" s="3236"/>
      <c r="O29" s="3361"/>
      <c r="P29" s="3361"/>
      <c r="Q29" s="3361"/>
      <c r="R29" s="3361"/>
      <c r="S29" s="3361"/>
      <c r="T29" s="3236"/>
      <c r="U29" s="3236"/>
      <c r="V29" s="3236"/>
      <c r="W29" s="3236"/>
      <c r="X29" s="3236"/>
      <c r="Y29" s="3236"/>
      <c r="Z29" s="3240"/>
      <c r="AA29" s="3240"/>
      <c r="AB29" s="3240"/>
      <c r="AC29" s="3240"/>
      <c r="AD29" s="3240"/>
      <c r="AE29" s="3361"/>
      <c r="AF29" s="3361"/>
    </row>
    <row r="30" spans="1:37" s="3273" customFormat="1" ht="15" thickBot="1">
      <c r="A30" s="3394" t="s">
        <v>3408</v>
      </c>
      <c r="B30" s="3395">
        <v>0.02</v>
      </c>
      <c r="C30" s="3396">
        <f>'[1]地价（废）'!P2</f>
        <v>1.7899999999999999E-2</v>
      </c>
      <c r="D30" s="3376"/>
      <c r="E30" s="3376"/>
      <c r="F30" s="3376"/>
      <c r="G30" s="3376"/>
      <c r="H30" s="3376"/>
      <c r="I30" s="3240"/>
      <c r="J30" s="3240"/>
      <c r="K30" s="3240"/>
      <c r="L30" s="3240"/>
      <c r="M30" s="3236"/>
      <c r="N30" s="3236"/>
      <c r="O30" s="3361"/>
      <c r="P30" s="3361"/>
      <c r="Q30" s="3361"/>
      <c r="R30" s="3361"/>
      <c r="S30" s="3361"/>
      <c r="T30" s="3236"/>
      <c r="U30" s="3236"/>
      <c r="V30" s="3236"/>
      <c r="W30" s="3236"/>
      <c r="X30" s="3236"/>
      <c r="Y30" s="3236"/>
      <c r="Z30" s="3240"/>
      <c r="AA30" s="3240"/>
      <c r="AB30" s="3240"/>
      <c r="AC30" s="3240"/>
      <c r="AD30" s="3240"/>
      <c r="AE30" s="3361"/>
      <c r="AF30" s="3361"/>
    </row>
    <row r="31" spans="1:37" s="3273" customFormat="1" ht="13.5">
      <c r="A31" s="3376"/>
      <c r="B31" s="3376"/>
      <c r="C31" s="3376"/>
      <c r="D31" s="3376"/>
      <c r="E31" s="3376"/>
      <c r="F31" s="3376"/>
      <c r="G31" s="3376"/>
      <c r="H31" s="3376"/>
      <c r="I31" s="3240"/>
      <c r="J31" s="3240"/>
      <c r="K31" s="3240"/>
      <c r="L31" s="3240"/>
      <c r="M31" s="3236"/>
      <c r="N31" s="3236"/>
      <c r="O31" s="3361"/>
      <c r="P31" s="3361"/>
      <c r="Q31" s="3361"/>
      <c r="R31" s="3361"/>
      <c r="S31" s="3361"/>
      <c r="T31" s="3236"/>
      <c r="U31" s="3236"/>
      <c r="V31" s="3236"/>
      <c r="W31" s="3236"/>
      <c r="X31" s="3236"/>
      <c r="Y31" s="3236"/>
      <c r="Z31" s="3240"/>
      <c r="AA31" s="3240"/>
      <c r="AB31" s="3240"/>
      <c r="AC31" s="3240"/>
      <c r="AD31" s="3240"/>
      <c r="AE31" s="3361"/>
      <c r="AF31" s="3361"/>
    </row>
    <row r="32" spans="1:37" s="3273" customFormat="1" ht="13.5">
      <c r="A32" s="3376"/>
      <c r="B32" s="3376"/>
      <c r="C32" s="3376"/>
      <c r="D32" s="3376"/>
      <c r="E32" s="3376"/>
      <c r="F32" s="3376"/>
      <c r="G32" s="3376"/>
      <c r="H32" s="3376"/>
      <c r="I32" s="3240"/>
      <c r="J32" s="3240"/>
      <c r="K32" s="3240"/>
      <c r="L32" s="3240"/>
      <c r="M32" s="3236"/>
      <c r="N32" s="3236"/>
      <c r="O32" s="3361"/>
      <c r="P32" s="3361"/>
      <c r="Q32" s="3361"/>
      <c r="R32" s="3361"/>
      <c r="S32" s="3361"/>
      <c r="T32" s="3236"/>
      <c r="U32" s="3236"/>
      <c r="V32" s="3236"/>
      <c r="W32" s="3236"/>
      <c r="X32" s="3236"/>
      <c r="Y32" s="3236"/>
      <c r="Z32" s="3240"/>
      <c r="AA32" s="3240"/>
      <c r="AB32" s="3240"/>
      <c r="AC32" s="3240"/>
      <c r="AD32" s="3240"/>
      <c r="AE32" s="3361"/>
      <c r="AF32" s="3361"/>
    </row>
    <row r="33" spans="1:37" s="3273" customFormat="1" ht="13.5">
      <c r="A33" s="3376"/>
      <c r="B33" s="3376"/>
      <c r="C33" s="3376"/>
      <c r="D33" s="3376"/>
      <c r="E33" s="3376"/>
      <c r="F33" s="3376"/>
      <c r="G33" s="3376"/>
      <c r="H33" s="3376"/>
      <c r="I33" s="3240"/>
      <c r="J33" s="3240"/>
      <c r="K33" s="3240"/>
      <c r="L33" s="3240"/>
      <c r="M33" s="3236"/>
      <c r="N33" s="3236"/>
      <c r="O33" s="3361"/>
      <c r="P33" s="3361"/>
      <c r="Q33" s="3361"/>
      <c r="R33" s="3361"/>
      <c r="S33" s="3361"/>
      <c r="T33" s="3236"/>
      <c r="U33" s="3236"/>
      <c r="V33" s="3236"/>
      <c r="W33" s="3236"/>
      <c r="X33" s="3236"/>
      <c r="Y33" s="3236"/>
      <c r="Z33" s="3240"/>
      <c r="AA33" s="3240"/>
      <c r="AB33" s="3240"/>
      <c r="AC33" s="3240"/>
      <c r="AD33" s="3240"/>
      <c r="AE33" s="3361"/>
      <c r="AF33" s="3361"/>
    </row>
    <row r="34" spans="1:37" s="3273" customFormat="1" ht="13.5">
      <c r="A34" s="3376"/>
      <c r="B34" s="3376"/>
      <c r="C34" s="3376"/>
      <c r="D34" s="3376"/>
      <c r="E34" s="3376"/>
      <c r="F34" s="3376"/>
      <c r="G34" s="3376"/>
      <c r="H34" s="3376"/>
      <c r="I34" s="3240"/>
      <c r="J34" s="3240"/>
      <c r="K34" s="3240"/>
      <c r="L34" s="3240"/>
      <c r="M34" s="3236"/>
      <c r="N34" s="3236"/>
      <c r="O34" s="3361"/>
      <c r="P34" s="3361"/>
      <c r="Q34" s="3361"/>
      <c r="R34" s="3361"/>
      <c r="S34" s="3361"/>
      <c r="T34" s="3236"/>
      <c r="U34" s="3236"/>
      <c r="V34" s="3236"/>
      <c r="W34" s="3236"/>
      <c r="X34" s="3236"/>
      <c r="Y34" s="3236"/>
      <c r="Z34" s="3240"/>
      <c r="AA34" s="3240"/>
      <c r="AB34" s="3240"/>
      <c r="AC34" s="3240"/>
      <c r="AD34" s="3240"/>
      <c r="AE34" s="3361"/>
      <c r="AF34" s="3361"/>
    </row>
    <row r="35" spans="1:37" s="3273" customFormat="1" ht="13.5">
      <c r="A35" s="3376"/>
      <c r="B35" s="3376"/>
      <c r="C35" s="3376"/>
      <c r="D35" s="3376"/>
      <c r="E35" s="3376"/>
      <c r="F35" s="3376"/>
      <c r="G35" s="3376"/>
      <c r="H35" s="3376"/>
      <c r="I35" s="3240"/>
      <c r="J35" s="3240"/>
      <c r="K35" s="3240"/>
      <c r="L35" s="3240"/>
      <c r="M35" s="3236"/>
      <c r="N35" s="3236"/>
      <c r="O35" s="3361"/>
      <c r="P35" s="3361"/>
      <c r="Q35" s="3361"/>
      <c r="R35" s="3361"/>
      <c r="S35" s="3361"/>
      <c r="T35" s="3236"/>
      <c r="U35" s="3236"/>
      <c r="V35" s="3236"/>
      <c r="W35" s="3236"/>
      <c r="X35" s="3236"/>
      <c r="Y35" s="3236"/>
      <c r="Z35" s="3240"/>
      <c r="AA35" s="3240"/>
      <c r="AB35" s="3240"/>
      <c r="AC35" s="3240"/>
      <c r="AD35" s="3240"/>
      <c r="AE35" s="3361"/>
      <c r="AF35" s="3361"/>
    </row>
    <row r="36" spans="1:37" s="3273" customFormat="1" ht="13.5">
      <c r="A36" s="3238"/>
      <c r="B36" s="3383"/>
      <c r="C36" s="3237"/>
      <c r="D36" s="3376"/>
      <c r="E36" s="3376"/>
      <c r="F36" s="3376"/>
      <c r="G36" s="3376"/>
      <c r="H36" s="3376"/>
      <c r="I36" s="3240"/>
      <c r="J36" s="3240"/>
      <c r="K36" s="3240"/>
      <c r="L36" s="3240"/>
      <c r="M36" s="3236"/>
      <c r="N36" s="3236"/>
      <c r="O36" s="3361"/>
      <c r="P36" s="3361"/>
      <c r="Q36" s="3361"/>
      <c r="R36" s="3361"/>
      <c r="S36" s="3361"/>
      <c r="T36" s="3236"/>
      <c r="U36" s="3236"/>
      <c r="V36" s="3236"/>
      <c r="W36" s="3236"/>
      <c r="X36" s="3236"/>
      <c r="Y36" s="3236"/>
      <c r="Z36" s="3240"/>
      <c r="AA36" s="3240"/>
      <c r="AB36" s="3240"/>
      <c r="AC36" s="3240"/>
      <c r="AD36" s="3240"/>
      <c r="AE36" s="3361"/>
      <c r="AF36" s="3361"/>
    </row>
    <row r="37" spans="1:37">
      <c r="A37" s="3240"/>
      <c r="B37" s="3397"/>
      <c r="C37" s="3236"/>
      <c r="D37" s="3236"/>
      <c r="E37" s="3236"/>
      <c r="F37" s="3236"/>
      <c r="G37" s="3236"/>
      <c r="H37" s="3236"/>
      <c r="I37" s="3236"/>
      <c r="J37" s="3236"/>
      <c r="L37" s="3236"/>
      <c r="M37" s="3236"/>
      <c r="N37" s="3236"/>
      <c r="O37" s="3236"/>
      <c r="P37" s="3236"/>
      <c r="Q37" s="3236"/>
      <c r="R37" s="3236"/>
      <c r="S37" s="3236"/>
      <c r="T37" s="3236"/>
      <c r="U37" s="3236"/>
      <c r="V37" s="3236"/>
      <c r="W37" s="3236"/>
      <c r="X37" s="3236"/>
      <c r="Y37" s="3236"/>
      <c r="Z37" s="3240"/>
      <c r="AA37" s="3240"/>
      <c r="AB37" s="3240"/>
      <c r="AC37" s="3240"/>
      <c r="AD37" s="3240"/>
      <c r="AE37" s="3240"/>
      <c r="AF37" s="3240"/>
      <c r="AK37" s="3238"/>
    </row>
    <row r="38" spans="1:37" s="3273" customFormat="1" ht="13.5">
      <c r="A38" s="3240"/>
      <c r="B38" s="3397"/>
      <c r="C38" s="3236"/>
      <c r="D38" s="3236"/>
      <c r="E38" s="3236"/>
      <c r="F38" s="3236"/>
      <c r="G38" s="3236"/>
      <c r="H38" s="3236"/>
      <c r="I38" s="3236"/>
      <c r="J38" s="3236"/>
      <c r="K38" s="3361"/>
      <c r="L38" s="3236"/>
      <c r="M38" s="3236"/>
      <c r="N38" s="3236"/>
      <c r="O38" s="3236"/>
      <c r="P38" s="3236"/>
      <c r="Q38" s="3236"/>
      <c r="R38" s="3236"/>
      <c r="S38" s="3236"/>
      <c r="T38" s="3236"/>
      <c r="U38" s="3236"/>
      <c r="V38" s="3236"/>
      <c r="W38" s="3236"/>
      <c r="X38" s="3236"/>
      <c r="Y38" s="3236"/>
      <c r="Z38" s="3240"/>
      <c r="AA38" s="3240"/>
      <c r="AB38" s="3240"/>
      <c r="AC38" s="3240"/>
      <c r="AD38" s="3240"/>
      <c r="AE38" s="3361"/>
      <c r="AF38" s="3361"/>
    </row>
    <row r="39" spans="1:37" ht="14.25" thickBot="1">
      <c r="A39" s="3398" t="s">
        <v>3409</v>
      </c>
      <c r="B39" s="3399"/>
      <c r="C39" s="3400"/>
      <c r="D39" s="3400"/>
      <c r="E39" s="3400"/>
      <c r="F39" s="3401"/>
      <c r="G39" s="3400"/>
      <c r="H39" s="3401"/>
      <c r="I39" s="3400"/>
      <c r="J39" s="3400"/>
      <c r="L39" s="3236"/>
      <c r="M39" s="3236"/>
      <c r="N39" s="3236"/>
      <c r="O39" s="3236"/>
      <c r="P39" s="3236"/>
      <c r="Q39" s="3236"/>
      <c r="R39" s="3236"/>
      <c r="S39" s="3236"/>
      <c r="T39" s="3236"/>
      <c r="U39" s="3236"/>
      <c r="V39" s="3236"/>
      <c r="W39" s="3236"/>
      <c r="X39" s="3236"/>
      <c r="Y39" s="3236"/>
      <c r="Z39" s="3240"/>
      <c r="AA39" s="3240"/>
      <c r="AB39" s="3240"/>
      <c r="AC39" s="3240"/>
      <c r="AD39" s="3240"/>
      <c r="AE39" s="3240"/>
      <c r="AF39" s="3240"/>
    </row>
    <row r="40" spans="1:37" ht="13.5">
      <c r="A40" s="3402" t="s">
        <v>3405</v>
      </c>
      <c r="B40" s="3403">
        <f>1+E42</f>
        <v>1</v>
      </c>
      <c r="C40" s="3404"/>
      <c r="D40" s="3405"/>
      <c r="E40" s="3406"/>
      <c r="F40" s="3407"/>
      <c r="G40" s="3401"/>
      <c r="H40" s="3400"/>
      <c r="I40" s="3400"/>
      <c r="J40" s="3400"/>
      <c r="L40" s="3236"/>
      <c r="M40" s="3236"/>
      <c r="N40" s="3236"/>
      <c r="O40" s="3236"/>
      <c r="P40" s="3236"/>
      <c r="Q40" s="3236"/>
      <c r="R40" s="3236"/>
      <c r="S40" s="3236"/>
      <c r="T40" s="3236"/>
      <c r="U40" s="3236"/>
      <c r="V40" s="3236"/>
      <c r="W40" s="3236"/>
      <c r="X40" s="3236"/>
      <c r="Y40" s="3236"/>
      <c r="Z40" s="3240"/>
      <c r="AA40" s="3240"/>
      <c r="AB40" s="3240"/>
      <c r="AC40" s="3240"/>
      <c r="AD40" s="3240"/>
      <c r="AE40" s="3240"/>
      <c r="AF40" s="3240"/>
    </row>
    <row r="41" spans="1:37" ht="13.5">
      <c r="A41" s="3408" t="s">
        <v>3410</v>
      </c>
      <c r="B41" s="3409" t="s">
        <v>3411</v>
      </c>
      <c r="C41" s="3409" t="s">
        <v>3412</v>
      </c>
      <c r="D41" s="3409" t="s">
        <v>3413</v>
      </c>
      <c r="E41" s="3410" t="s">
        <v>3414</v>
      </c>
      <c r="F41" s="3411" t="s">
        <v>3415</v>
      </c>
      <c r="G41" s="3411" t="s">
        <v>3416</v>
      </c>
      <c r="H41" s="3411" t="s">
        <v>3417</v>
      </c>
      <c r="I41" s="3411" t="s">
        <v>3418</v>
      </c>
      <c r="J41" s="3411" t="s">
        <v>3419</v>
      </c>
      <c r="L41" s="3236"/>
      <c r="M41" s="3236"/>
      <c r="N41" s="3236"/>
      <c r="O41" s="3236"/>
      <c r="P41" s="3236"/>
      <c r="Q41" s="3236"/>
      <c r="R41" s="3236"/>
      <c r="S41" s="3236"/>
      <c r="T41" s="3236"/>
      <c r="U41" s="3236"/>
      <c r="V41" s="3236"/>
      <c r="W41" s="3236"/>
      <c r="X41" s="3236"/>
      <c r="Y41" s="3236"/>
      <c r="Z41" s="3240"/>
      <c r="AA41" s="3240"/>
      <c r="AB41" s="3240"/>
      <c r="AC41" s="3240"/>
      <c r="AD41" s="3240"/>
      <c r="AE41" s="3240"/>
      <c r="AF41" s="3240"/>
    </row>
    <row r="42" spans="1:37" ht="36">
      <c r="A42" s="3408" t="s">
        <v>3420</v>
      </c>
      <c r="B42" s="3412" t="str">
        <f>[1]估价对象房地状况!C4</f>
        <v>估价对象位于XX商圈，周边商业氛围成熟，人流量大，商业繁华度好</v>
      </c>
      <c r="C42" s="3413"/>
      <c r="D42" s="3414">
        <f t="shared" ref="D42:D48" si="1">SUMIF($F$41:$J$41,C42,F42:J42)</f>
        <v>0</v>
      </c>
      <c r="E42" s="3415">
        <f>SUM(D42:D48)</f>
        <v>0</v>
      </c>
      <c r="F42" s="3416">
        <f>SUMPRODUCT(('2002因素修正幅度'!$A$36:$A$42=A42)*('2002因素修正幅度'!$B$35:$K$35=$G$2)*('2002因素修正幅度'!$B$36:$K$42))</f>
        <v>4.4999999999999998E-2</v>
      </c>
      <c r="G42" s="3416">
        <f>F42/2</f>
        <v>2.2499999999999999E-2</v>
      </c>
      <c r="H42" s="3417">
        <v>0</v>
      </c>
      <c r="I42" s="3416">
        <f>J42/2</f>
        <v>-2.2499999999999999E-2</v>
      </c>
      <c r="J42" s="3416">
        <f>SUMPRODUCT(('2002因素修正幅度'!$A$66:$A$72=A42)*('2002因素修正幅度'!$B$35:$K$35=$G$2)*('2002因素修正幅度'!$B$66:$K$72))</f>
        <v>-4.4999999999999998E-2</v>
      </c>
      <c r="L42" s="3236"/>
      <c r="M42" s="3236"/>
      <c r="N42" s="3418"/>
      <c r="O42" s="3236"/>
      <c r="P42" s="3236"/>
      <c r="Q42" s="3236"/>
      <c r="R42" s="3236"/>
      <c r="S42" s="3236"/>
      <c r="T42" s="3236"/>
      <c r="U42" s="3236"/>
      <c r="V42" s="3236"/>
      <c r="W42" s="3236"/>
      <c r="X42" s="3236"/>
      <c r="Y42" s="3236"/>
      <c r="Z42" s="3240"/>
      <c r="AA42" s="3240"/>
      <c r="AB42" s="3240"/>
      <c r="AC42" s="3240"/>
      <c r="AD42" s="3240"/>
      <c r="AE42" s="3240"/>
      <c r="AF42" s="3240"/>
    </row>
    <row r="43" spans="1:37" ht="48">
      <c r="A43" s="3408" t="s">
        <v>3421</v>
      </c>
      <c r="B43" s="3419" t="str">
        <f>[1]估价对象房地状况!C6</f>
        <v>估价对象周边道路状况、公共交通通达情况、停车便捷程度，综合评价交通便捷度较好</v>
      </c>
      <c r="C43" s="3413"/>
      <c r="D43" s="3414">
        <f t="shared" si="1"/>
        <v>0</v>
      </c>
      <c r="E43" s="3420"/>
      <c r="F43" s="3416">
        <f>SUMPRODUCT(('2002因素修正幅度'!$A$36:$A$42=A43)*('2002因素修正幅度'!$B$35:$K$35=$G$2)*('2002因素修正幅度'!$B$36:$K$42))</f>
        <v>2.2499999999999999E-2</v>
      </c>
      <c r="G43" s="3416">
        <f t="shared" ref="G43:G48" si="2">F43/2</f>
        <v>1.125E-2</v>
      </c>
      <c r="H43" s="3417">
        <v>0</v>
      </c>
      <c r="I43" s="3416">
        <f t="shared" ref="I43:I48" si="3">J43/2</f>
        <v>-1.125E-2</v>
      </c>
      <c r="J43" s="3416">
        <f>SUMPRODUCT(('2002因素修正幅度'!$A$66:$A$72=A43)*('2002因素修正幅度'!$B$35:$K$35=$G$2)*('2002因素修正幅度'!$B$66:$K$72))</f>
        <v>-2.2499999999999999E-2</v>
      </c>
      <c r="L43" s="3236"/>
      <c r="M43" s="3236"/>
      <c r="N43" s="3236"/>
      <c r="O43" s="3236"/>
      <c r="P43" s="3236"/>
      <c r="Q43" s="3236"/>
      <c r="R43" s="3236"/>
      <c r="S43" s="3236"/>
      <c r="T43" s="3236"/>
      <c r="U43" s="3236"/>
      <c r="V43" s="3236"/>
      <c r="W43" s="3236"/>
      <c r="X43" s="3236"/>
      <c r="Y43" s="3240"/>
      <c r="Z43" s="3240"/>
      <c r="AA43" s="3240"/>
      <c r="AB43" s="3240"/>
      <c r="AC43" s="3240"/>
      <c r="AD43" s="3240"/>
      <c r="AE43" s="3236"/>
      <c r="AF43" s="3236"/>
      <c r="AG43" s="3237"/>
      <c r="AH43" s="3237"/>
      <c r="AI43" s="3237"/>
      <c r="AJ43" s="3237"/>
    </row>
    <row r="44" spans="1:37" ht="24">
      <c r="A44" s="3408" t="s">
        <v>3422</v>
      </c>
      <c r="B44" s="3419" t="str">
        <f>[1]估价对象房地状况!C7</f>
        <v>零星有其他用地，基本不影响本宗地</v>
      </c>
      <c r="C44" s="3413"/>
      <c r="D44" s="3414">
        <f t="shared" si="1"/>
        <v>0</v>
      </c>
      <c r="E44" s="3420"/>
      <c r="F44" s="3416">
        <f>SUMPRODUCT(('2002因素修正幅度'!$A$36:$A$42=A44)*('2002因素修正幅度'!$B$35:$K$35=$G$2)*('2002因素修正幅度'!$B$36:$K$42))</f>
        <v>1.4999999999999999E-2</v>
      </c>
      <c r="G44" s="3416">
        <f t="shared" si="2"/>
        <v>7.4999999999999997E-3</v>
      </c>
      <c r="H44" s="3417">
        <v>0</v>
      </c>
      <c r="I44" s="3416">
        <f t="shared" si="3"/>
        <v>-7.4999999999999997E-3</v>
      </c>
      <c r="J44" s="3416">
        <f>SUMPRODUCT(('2002因素修正幅度'!$A$66:$A$72=A44)*('2002因素修正幅度'!$B$35:$K$35=$G$2)*('2002因素修正幅度'!$B$66:$K$72))</f>
        <v>-1.4999999999999999E-2</v>
      </c>
      <c r="L44" s="3236"/>
      <c r="M44" s="3236"/>
      <c r="N44" s="3236"/>
      <c r="O44" s="3236"/>
      <c r="P44" s="3236"/>
      <c r="Q44" s="3236"/>
      <c r="R44" s="3236"/>
      <c r="S44" s="3236"/>
      <c r="T44" s="3236"/>
      <c r="U44" s="3236"/>
      <c r="V44" s="3236"/>
      <c r="W44" s="3240"/>
      <c r="X44" s="3240"/>
      <c r="Y44" s="3240"/>
      <c r="Z44" s="3240"/>
      <c r="AA44" s="3240"/>
      <c r="AB44" s="3240"/>
      <c r="AC44" s="3240"/>
      <c r="AE44" s="3236"/>
      <c r="AF44" s="3236"/>
      <c r="AG44" s="3237"/>
      <c r="AH44" s="3237"/>
      <c r="AI44" s="3237"/>
      <c r="AJ44" s="3237"/>
    </row>
    <row r="45" spans="1:37" ht="36">
      <c r="A45" s="3408" t="s">
        <v>3423</v>
      </c>
      <c r="B45" s="3421" t="s">
        <v>3424</v>
      </c>
      <c r="C45" s="3413"/>
      <c r="D45" s="3414">
        <f t="shared" si="1"/>
        <v>0</v>
      </c>
      <c r="E45" s="3420"/>
      <c r="F45" s="3416">
        <f>SUMPRODUCT(('2002因素修正幅度'!$A$36:$A$42=A45)*('2002因素修正幅度'!$B$35:$K$35=$G$2)*('2002因素修正幅度'!$B$36:$K$42))</f>
        <v>0.03</v>
      </c>
      <c r="G45" s="3416">
        <f t="shared" si="2"/>
        <v>1.4999999999999999E-2</v>
      </c>
      <c r="H45" s="3417">
        <v>0</v>
      </c>
      <c r="I45" s="3416">
        <f t="shared" si="3"/>
        <v>-1.4999999999999999E-2</v>
      </c>
      <c r="J45" s="3416">
        <f>SUMPRODUCT(('2002因素修正幅度'!$A$66:$A$72=A45)*('2002因素修正幅度'!$B$35:$K$35=$G$2)*('2002因素修正幅度'!$B$66:$K$72))</f>
        <v>-0.03</v>
      </c>
      <c r="L45" s="3236"/>
      <c r="M45" s="3236"/>
      <c r="N45" s="3236"/>
      <c r="O45" s="3236"/>
      <c r="P45" s="3236"/>
      <c r="Q45" s="3236"/>
      <c r="R45" s="3236"/>
      <c r="S45" s="3236"/>
      <c r="T45" s="3236"/>
      <c r="U45" s="3236"/>
      <c r="V45" s="3236"/>
      <c r="W45" s="3240"/>
      <c r="X45" s="3240"/>
      <c r="Y45" s="3240"/>
      <c r="Z45" s="3240"/>
      <c r="AA45" s="3240"/>
      <c r="AB45" s="3240"/>
      <c r="AC45" s="3240"/>
      <c r="AE45" s="3236"/>
      <c r="AF45" s="3236"/>
      <c r="AG45" s="3237"/>
      <c r="AH45" s="3237"/>
      <c r="AI45" s="3237"/>
      <c r="AJ45" s="3237"/>
    </row>
    <row r="46" spans="1:37" ht="14.25">
      <c r="A46" s="3408" t="s">
        <v>3425</v>
      </c>
      <c r="B46" s="3419">
        <f>[1]估价对象房地状况!C12</f>
        <v>0</v>
      </c>
      <c r="C46" s="3413"/>
      <c r="D46" s="3414">
        <f t="shared" si="1"/>
        <v>0</v>
      </c>
      <c r="E46" s="3420"/>
      <c r="F46" s="3416">
        <f>SUMPRODUCT(('2002因素修正幅度'!$A$36:$A$42=A46)*('2002因素修正幅度'!$B$35:$K$35=$G$2)*('2002因素修正幅度'!$B$36:$K$42))</f>
        <v>1.4999999999999999E-2</v>
      </c>
      <c r="G46" s="3416">
        <f t="shared" si="2"/>
        <v>7.4999999999999997E-3</v>
      </c>
      <c r="H46" s="3417">
        <v>0</v>
      </c>
      <c r="I46" s="3416">
        <f t="shared" si="3"/>
        <v>-7.4999999999999997E-3</v>
      </c>
      <c r="J46" s="3416">
        <f>SUMPRODUCT(('2002因素修正幅度'!$A$66:$A$72=A46)*('2002因素修正幅度'!$B$35:$K$35=$G$2)*('2002因素修正幅度'!$B$66:$K$72))</f>
        <v>-1.4999999999999999E-2</v>
      </c>
      <c r="L46" s="3236"/>
      <c r="M46" s="3236"/>
      <c r="N46" s="3236"/>
      <c r="O46" s="3236"/>
      <c r="P46" s="3236"/>
      <c r="Q46" s="3236"/>
      <c r="R46" s="3236"/>
      <c r="S46" s="3236"/>
      <c r="T46" s="3236"/>
      <c r="U46" s="3236"/>
      <c r="V46" s="3236"/>
      <c r="W46" s="3240"/>
      <c r="X46" s="3240"/>
      <c r="Y46" s="3240"/>
      <c r="Z46" s="3240"/>
      <c r="AA46" s="3240"/>
      <c r="AB46" s="3240"/>
      <c r="AC46" s="3240"/>
      <c r="AE46" s="3236"/>
      <c r="AF46" s="3236"/>
      <c r="AG46" s="3237"/>
      <c r="AH46" s="3237"/>
      <c r="AI46" s="3237"/>
      <c r="AJ46" s="3237"/>
    </row>
    <row r="47" spans="1:37" ht="24">
      <c r="A47" s="3408" t="s">
        <v>3426</v>
      </c>
      <c r="B47" s="3422" t="s">
        <v>3427</v>
      </c>
      <c r="C47" s="3413"/>
      <c r="D47" s="3414">
        <f t="shared" si="1"/>
        <v>0</v>
      </c>
      <c r="E47" s="3420"/>
      <c r="F47" s="3416">
        <f>SUMPRODUCT(('2002因素修正幅度'!$A$36:$A$42=A47)*('2002因素修正幅度'!$B$35:$K$35=$G$2)*('2002因素修正幅度'!$B$36:$K$42))</f>
        <v>1.2E-2</v>
      </c>
      <c r="G47" s="3416">
        <f t="shared" si="2"/>
        <v>6.0000000000000001E-3</v>
      </c>
      <c r="H47" s="3417">
        <v>0</v>
      </c>
      <c r="I47" s="3416">
        <f t="shared" si="3"/>
        <v>-6.0000000000000001E-3</v>
      </c>
      <c r="J47" s="3416">
        <f>SUMPRODUCT(('2002因素修正幅度'!$A$66:$A$72=A47)*('2002因素修正幅度'!$B$35:$K$35=$G$2)*('2002因素修正幅度'!$B$66:$K$72))</f>
        <v>-1.2E-2</v>
      </c>
      <c r="L47" s="3236"/>
      <c r="M47" s="3236"/>
      <c r="N47" s="3236"/>
      <c r="O47" s="3236"/>
      <c r="P47" s="3236"/>
      <c r="Q47" s="3236"/>
      <c r="R47" s="3236"/>
      <c r="S47" s="3236"/>
      <c r="T47" s="3236"/>
      <c r="U47" s="3236"/>
      <c r="V47" s="3236"/>
      <c r="W47" s="3240"/>
      <c r="X47" s="3240"/>
      <c r="Y47" s="3240"/>
      <c r="Z47" s="3240"/>
      <c r="AA47" s="3240"/>
      <c r="AB47" s="3240"/>
      <c r="AC47" s="3240"/>
      <c r="AE47" s="3240"/>
      <c r="AF47" s="3240"/>
    </row>
    <row r="48" spans="1:37" ht="24.75" thickBot="1">
      <c r="A48" s="3423" t="s">
        <v>3485</v>
      </c>
      <c r="B48" s="3419" t="str">
        <f>[1]估价对象房地状况!C10</f>
        <v>估价对象所在区域基础设施水平</v>
      </c>
      <c r="C48" s="3413"/>
      <c r="D48" s="3414">
        <f t="shared" si="1"/>
        <v>0</v>
      </c>
      <c r="E48" s="3420"/>
      <c r="F48" s="3416">
        <f>SUMPRODUCT(('2002因素修正幅度'!$A$36:$A$42=A48)*('2002因素修正幅度'!$B$35:$K$35=$G$2)*('2002因素修正幅度'!$B$36:$K$42))</f>
        <v>1.0500000000000001E-2</v>
      </c>
      <c r="G48" s="3416">
        <f t="shared" si="2"/>
        <v>5.2500000000000003E-3</v>
      </c>
      <c r="H48" s="3417">
        <v>0</v>
      </c>
      <c r="I48" s="3416">
        <f t="shared" si="3"/>
        <v>-5.2500000000000003E-3</v>
      </c>
      <c r="J48" s="3416">
        <f>SUMPRODUCT(('2002因素修正幅度'!$A$66:$A$72=A48)*('2002因素修正幅度'!$B$35:$K$35=$G$2)*('2002因素修正幅度'!$B$66:$K$72))</f>
        <v>-1.0500000000000001E-2</v>
      </c>
      <c r="L48" s="3236"/>
      <c r="M48" s="3236"/>
      <c r="N48" s="3236"/>
      <c r="O48" s="3236"/>
      <c r="P48" s="3236"/>
      <c r="Q48" s="3236"/>
      <c r="R48" s="3236"/>
      <c r="S48" s="3236"/>
      <c r="T48" s="3236"/>
      <c r="U48" s="3236"/>
      <c r="V48" s="3236"/>
      <c r="W48" s="3240"/>
      <c r="X48" s="3240"/>
      <c r="Y48" s="3240"/>
      <c r="Z48" s="3240"/>
      <c r="AA48" s="3240"/>
      <c r="AB48" s="3240"/>
      <c r="AC48" s="3240"/>
      <c r="AE48" s="3240"/>
      <c r="AF48" s="3240"/>
    </row>
    <row r="49" spans="1:36" ht="15">
      <c r="A49" s="3402" t="s">
        <v>3406</v>
      </c>
      <c r="B49" s="3424">
        <f>1+E51</f>
        <v>1</v>
      </c>
      <c r="C49" s="3405"/>
      <c r="D49" s="3425"/>
      <c r="E49" s="3426"/>
      <c r="F49" s="3427"/>
      <c r="G49" s="3427"/>
      <c r="H49" s="3427"/>
      <c r="I49" s="3427"/>
      <c r="J49" s="3427"/>
      <c r="L49" s="3236"/>
      <c r="M49" s="3236"/>
      <c r="N49" s="3236"/>
      <c r="O49" s="3236"/>
      <c r="P49" s="3236"/>
      <c r="Q49" s="3236"/>
      <c r="R49" s="3236"/>
      <c r="S49" s="3236"/>
      <c r="T49" s="3236"/>
      <c r="U49" s="3236"/>
      <c r="V49" s="3236"/>
      <c r="W49" s="3240"/>
      <c r="X49" s="3240"/>
      <c r="Y49" s="3240"/>
      <c r="Z49" s="3240"/>
      <c r="AA49" s="3240"/>
      <c r="AB49" s="3240"/>
      <c r="AC49" s="3240"/>
      <c r="AE49" s="3240"/>
      <c r="AF49" s="3240"/>
    </row>
    <row r="50" spans="1:36" ht="13.5">
      <c r="A50" s="3408" t="s">
        <v>3410</v>
      </c>
      <c r="B50" s="3419"/>
      <c r="C50" s="3409" t="s">
        <v>3412</v>
      </c>
      <c r="D50" s="3428" t="s">
        <v>3429</v>
      </c>
      <c r="E50" s="3429" t="s">
        <v>3430</v>
      </c>
      <c r="F50" s="3430" t="s">
        <v>3431</v>
      </c>
      <c r="G50" s="3430" t="s">
        <v>3432</v>
      </c>
      <c r="H50" s="3430" t="s">
        <v>3433</v>
      </c>
      <c r="I50" s="3430" t="s">
        <v>3434</v>
      </c>
      <c r="J50" s="3430" t="s">
        <v>3435</v>
      </c>
      <c r="L50" s="3236"/>
      <c r="M50" s="3236"/>
      <c r="N50" s="3236"/>
      <c r="O50" s="3236"/>
      <c r="P50" s="3236"/>
      <c r="Q50" s="3236"/>
      <c r="R50" s="3236"/>
      <c r="S50" s="3236"/>
      <c r="T50" s="3236"/>
      <c r="U50" s="3236"/>
      <c r="V50" s="3236"/>
      <c r="W50" s="3240"/>
      <c r="X50" s="3240"/>
      <c r="Y50" s="3240"/>
      <c r="Z50" s="3240"/>
      <c r="AA50" s="3240"/>
      <c r="AB50" s="3240"/>
      <c r="AC50" s="3240"/>
      <c r="AE50" s="3240"/>
      <c r="AF50" s="3240"/>
    </row>
    <row r="51" spans="1:36" ht="36">
      <c r="A51" s="3408" t="s">
        <v>3436</v>
      </c>
      <c r="B51" s="3412" t="str">
        <f>[1]估价对象房地状况!C5</f>
        <v>估价对象位于XX商圈，周边办公楼项目较多，入驻率高，办公集聚程度较好</v>
      </c>
      <c r="C51" s="3413"/>
      <c r="D51" s="3414">
        <f t="shared" ref="D51:D57" si="4">SUMIF($F$50:$J$50,C51,F51:J51)</f>
        <v>0</v>
      </c>
      <c r="E51" s="3415">
        <f>SUM(D51:D57)</f>
        <v>0</v>
      </c>
      <c r="F51" s="3416">
        <f>SUMPRODUCT(('2002因素修正幅度'!$A$43:$A$49=A51)*('2002因素修正幅度'!$B$35:$K$35=$G$2)*('2002因素修正幅度'!$B$43:$K$49))</f>
        <v>0.03</v>
      </c>
      <c r="G51" s="3416">
        <f>F51/2</f>
        <v>1.4999999999999999E-2</v>
      </c>
      <c r="H51" s="3417">
        <v>0</v>
      </c>
      <c r="I51" s="3416">
        <f>J51/2</f>
        <v>-1.4999999999999999E-2</v>
      </c>
      <c r="J51" s="3416">
        <f>SUMPRODUCT(('2002因素修正幅度'!$A$73:$A$79=A51)*('2002因素修正幅度'!$B$35:$K$35=$G$2)*('2002因素修正幅度'!$B$73:$K$79))</f>
        <v>-0.03</v>
      </c>
      <c r="L51" s="3236"/>
      <c r="M51" s="3236"/>
      <c r="N51" s="3236"/>
      <c r="O51" s="3236"/>
      <c r="P51" s="3236"/>
      <c r="Q51" s="3236"/>
      <c r="R51" s="3236"/>
      <c r="S51" s="3236"/>
      <c r="T51" s="3236"/>
      <c r="U51" s="3236"/>
      <c r="V51" s="3236"/>
      <c r="W51" s="3240"/>
      <c r="X51" s="3240"/>
      <c r="Y51" s="3240"/>
      <c r="Z51" s="3240"/>
      <c r="AA51" s="3240"/>
      <c r="AB51" s="3240"/>
      <c r="AC51" s="3240"/>
      <c r="AE51" s="3240"/>
      <c r="AF51" s="3240"/>
    </row>
    <row r="52" spans="1:36" ht="48">
      <c r="A52" s="3408" t="s">
        <v>3421</v>
      </c>
      <c r="B52" s="3419" t="str">
        <f>[1]估价对象房地状况!C6</f>
        <v>估价对象周边道路状况、公共交通通达情况、停车便捷程度，综合评价交通便捷度较好</v>
      </c>
      <c r="C52" s="3413"/>
      <c r="D52" s="3414">
        <f t="shared" si="4"/>
        <v>0</v>
      </c>
      <c r="E52" s="3420"/>
      <c r="F52" s="3416">
        <f>SUMPRODUCT(('2002因素修正幅度'!$A$43:$A$49=A52)*('2002因素修正幅度'!$B$35:$K$35=$G$2)*('2002因素修正幅度'!$B$43:$K$49))</f>
        <v>3.7499999999999999E-2</v>
      </c>
      <c r="G52" s="3416">
        <f t="shared" ref="G52:G57" si="5">F52/2</f>
        <v>1.8749999999999999E-2</v>
      </c>
      <c r="H52" s="3417">
        <v>0</v>
      </c>
      <c r="I52" s="3416">
        <f t="shared" ref="I52:I57" si="6">J52/2</f>
        <v>-1.8749999999999999E-2</v>
      </c>
      <c r="J52" s="3416">
        <f>SUMPRODUCT(('2002因素修正幅度'!$A$73:$A$79=A52)*('2002因素修正幅度'!$B$35:$K$35=$G$2)*('2002因素修正幅度'!$B$73:$K$79))</f>
        <v>-3.7499999999999999E-2</v>
      </c>
      <c r="L52" s="3236"/>
      <c r="M52" s="3236"/>
      <c r="N52" s="3236"/>
      <c r="O52" s="3236"/>
      <c r="P52" s="3236"/>
      <c r="Q52" s="3236"/>
      <c r="R52" s="3236"/>
      <c r="S52" s="3236"/>
      <c r="T52" s="3236"/>
      <c r="U52" s="3236"/>
      <c r="V52" s="3236"/>
      <c r="W52" s="3240"/>
      <c r="X52" s="3240"/>
      <c r="Y52" s="3240"/>
      <c r="Z52" s="3240"/>
      <c r="AA52" s="3240"/>
      <c r="AB52" s="3240"/>
      <c r="AC52" s="3240"/>
      <c r="AE52" s="3240"/>
      <c r="AF52" s="3240"/>
    </row>
    <row r="53" spans="1:36" ht="24">
      <c r="A53" s="3408" t="s">
        <v>3422</v>
      </c>
      <c r="B53" s="3419" t="str">
        <f>[1]估价对象房地状况!C7</f>
        <v>零星有其他用地，基本不影响本宗地</v>
      </c>
      <c r="C53" s="3413"/>
      <c r="D53" s="3414">
        <f t="shared" si="4"/>
        <v>0</v>
      </c>
      <c r="E53" s="3420"/>
      <c r="F53" s="3416">
        <f>SUMPRODUCT(('2002因素修正幅度'!$A$43:$A$49=A53)*('2002因素修正幅度'!$B$35:$K$35=$G$2)*('2002因素修正幅度'!$B$43:$K$49))</f>
        <v>1.4999999999999999E-2</v>
      </c>
      <c r="G53" s="3416">
        <f t="shared" si="5"/>
        <v>7.4999999999999997E-3</v>
      </c>
      <c r="H53" s="3417">
        <v>0</v>
      </c>
      <c r="I53" s="3416">
        <f t="shared" si="6"/>
        <v>-7.4999999999999997E-3</v>
      </c>
      <c r="J53" s="3416">
        <f>SUMPRODUCT(('2002因素修正幅度'!$A$73:$A$79=A53)*('2002因素修正幅度'!$B$35:$K$35=$G$2)*('2002因素修正幅度'!$B$73:$K$79))</f>
        <v>-1.4999999999999999E-2</v>
      </c>
      <c r="L53" s="3236"/>
      <c r="M53" s="3236"/>
      <c r="N53" s="3236"/>
      <c r="O53" s="3236"/>
      <c r="P53" s="3236"/>
      <c r="Q53" s="3236"/>
      <c r="R53" s="3236"/>
      <c r="S53" s="3236"/>
      <c r="T53" s="3236"/>
      <c r="U53" s="3236"/>
      <c r="V53" s="3236"/>
      <c r="W53" s="3240"/>
      <c r="X53" s="3240"/>
      <c r="Y53" s="3240"/>
      <c r="Z53" s="3240"/>
      <c r="AA53" s="3240"/>
      <c r="AB53" s="3240"/>
      <c r="AC53" s="3240"/>
      <c r="AE53" s="3240"/>
      <c r="AF53" s="3240"/>
    </row>
    <row r="54" spans="1:36" s="3418" customFormat="1" ht="36">
      <c r="A54" s="3408" t="s">
        <v>3423</v>
      </c>
      <c r="B54" s="3421" t="s">
        <v>3424</v>
      </c>
      <c r="C54" s="3413"/>
      <c r="D54" s="3414">
        <f t="shared" si="4"/>
        <v>0</v>
      </c>
      <c r="E54" s="3420"/>
      <c r="F54" s="3416">
        <f>SUMPRODUCT(('2002因素修正幅度'!$A$43:$A$49=A54)*('2002因素修正幅度'!$B$35:$K$35=$G$2)*('2002因素修正幅度'!$B$43:$K$49))</f>
        <v>1.4999999999999999E-2</v>
      </c>
      <c r="G54" s="3416">
        <f t="shared" si="5"/>
        <v>7.4999999999999997E-3</v>
      </c>
      <c r="H54" s="3417">
        <v>0</v>
      </c>
      <c r="I54" s="3416">
        <f t="shared" si="6"/>
        <v>-7.4999999999999997E-3</v>
      </c>
      <c r="J54" s="3416">
        <f>SUMPRODUCT(('2002因素修正幅度'!$A$73:$A$79=A54)*('2002因素修正幅度'!$B$35:$K$35=$G$2)*('2002因素修正幅度'!$B$73:$K$79))</f>
        <v>-1.4999999999999999E-2</v>
      </c>
      <c r="K54" s="3236"/>
      <c r="L54" s="3236"/>
      <c r="M54" s="3236"/>
      <c r="N54" s="3236"/>
      <c r="O54" s="3236"/>
      <c r="P54" s="3236"/>
      <c r="Q54" s="3236"/>
      <c r="R54" s="3236"/>
      <c r="S54" s="3236"/>
      <c r="T54" s="3236"/>
      <c r="U54" s="3236"/>
      <c r="V54" s="3236"/>
      <c r="W54" s="3240"/>
      <c r="X54" s="3240"/>
      <c r="Y54" s="3240"/>
      <c r="Z54" s="3240"/>
      <c r="AA54" s="3240"/>
      <c r="AB54" s="3240"/>
      <c r="AC54" s="3240"/>
      <c r="AD54" s="3239"/>
      <c r="AE54" s="3240"/>
      <c r="AF54" s="3240"/>
      <c r="AG54" s="3239"/>
      <c r="AH54" s="3239"/>
      <c r="AI54" s="3239"/>
      <c r="AJ54" s="3239"/>
    </row>
    <row r="55" spans="1:36" s="3418" customFormat="1" ht="14.25">
      <c r="A55" s="3408" t="s">
        <v>3425</v>
      </c>
      <c r="B55" s="3419">
        <f>[1]估价对象房地状况!C12</f>
        <v>0</v>
      </c>
      <c r="C55" s="3413"/>
      <c r="D55" s="3414">
        <f t="shared" si="4"/>
        <v>0</v>
      </c>
      <c r="E55" s="3420"/>
      <c r="F55" s="3416">
        <f>SUMPRODUCT(('2002因素修正幅度'!$A$43:$A$49=A55)*('2002因素修正幅度'!$B$35:$K$35=$G$2)*('2002因素修正幅度'!$B$43:$K$49))</f>
        <v>2.2499999999999999E-2</v>
      </c>
      <c r="G55" s="3416">
        <f t="shared" si="5"/>
        <v>1.125E-2</v>
      </c>
      <c r="H55" s="3417">
        <v>0</v>
      </c>
      <c r="I55" s="3416">
        <f t="shared" si="6"/>
        <v>-1.125E-2</v>
      </c>
      <c r="J55" s="3416">
        <f>SUMPRODUCT(('2002因素修正幅度'!$A$73:$A$79=A55)*('2002因素修正幅度'!$B$35:$K$35=$G$2)*('2002因素修正幅度'!$B$73:$K$79))</f>
        <v>-2.2499999999999999E-2</v>
      </c>
      <c r="K55" s="3236"/>
      <c r="L55" s="3236"/>
      <c r="M55" s="3236"/>
      <c r="N55" s="3236"/>
      <c r="O55" s="3236"/>
      <c r="P55" s="3236"/>
      <c r="Q55" s="3236"/>
      <c r="R55" s="3236"/>
      <c r="S55" s="3236"/>
      <c r="T55" s="3236"/>
      <c r="U55" s="3236"/>
      <c r="V55" s="3236"/>
      <c r="W55" s="3240"/>
      <c r="X55" s="3240"/>
      <c r="Y55" s="3240"/>
      <c r="Z55" s="3240"/>
      <c r="AA55" s="3240"/>
      <c r="AB55" s="3240"/>
      <c r="AC55" s="3240"/>
      <c r="AD55" s="3239"/>
      <c r="AE55" s="3240"/>
      <c r="AF55" s="3240"/>
      <c r="AG55" s="3239"/>
      <c r="AH55" s="3239"/>
      <c r="AI55" s="3239"/>
      <c r="AJ55" s="3239"/>
    </row>
    <row r="56" spans="1:36" s="3418" customFormat="1" ht="24">
      <c r="A56" s="3408" t="s">
        <v>3426</v>
      </c>
      <c r="B56" s="3422" t="s">
        <v>3427</v>
      </c>
      <c r="C56" s="3413"/>
      <c r="D56" s="3414">
        <f t="shared" si="4"/>
        <v>0</v>
      </c>
      <c r="E56" s="3420"/>
      <c r="F56" s="3416">
        <f>SUMPRODUCT(('2002因素修正幅度'!$A$43:$A$49=A56)*('2002因素修正幅度'!$B$35:$K$35=$G$2)*('2002因素修正幅度'!$B$43:$K$49))</f>
        <v>1.2E-2</v>
      </c>
      <c r="G56" s="3416">
        <f t="shared" si="5"/>
        <v>6.0000000000000001E-3</v>
      </c>
      <c r="H56" s="3417">
        <v>0</v>
      </c>
      <c r="I56" s="3416">
        <f t="shared" si="6"/>
        <v>-6.0000000000000001E-3</v>
      </c>
      <c r="J56" s="3416">
        <f>SUMPRODUCT(('2002因素修正幅度'!$A$73:$A$79=A56)*('2002因素修正幅度'!$B$35:$K$35=$G$2)*('2002因素修正幅度'!$B$73:$K$79))</f>
        <v>-1.2E-2</v>
      </c>
      <c r="K56" s="3236"/>
      <c r="L56" s="3236"/>
      <c r="M56" s="3236"/>
      <c r="N56" s="3236"/>
      <c r="O56" s="3236"/>
      <c r="P56" s="3236"/>
      <c r="Q56" s="3236"/>
      <c r="R56" s="3236"/>
      <c r="S56" s="3236"/>
      <c r="T56" s="3236"/>
      <c r="U56" s="3236"/>
      <c r="V56" s="3236"/>
      <c r="W56" s="3240"/>
      <c r="X56" s="3240"/>
      <c r="Y56" s="3240"/>
      <c r="Z56" s="3240"/>
      <c r="AA56" s="3240"/>
      <c r="AB56" s="3240"/>
      <c r="AC56" s="3240"/>
      <c r="AD56" s="3239"/>
      <c r="AE56" s="3240"/>
      <c r="AF56" s="3240"/>
      <c r="AG56" s="3239"/>
      <c r="AH56" s="3239"/>
      <c r="AI56" s="3239"/>
      <c r="AJ56" s="3239"/>
    </row>
    <row r="57" spans="1:36" s="3418" customFormat="1" ht="36.75" thickBot="1">
      <c r="A57" s="3408" t="s">
        <v>3437</v>
      </c>
      <c r="B57" s="3431" t="str">
        <f>[1]估价对象房地状况!C9&amp;","&amp;[1]估价对象房地状况!C10</f>
        <v>估价对象所在区域公共配套设施齐备情况,估价对象所在区域基础设施水平</v>
      </c>
      <c r="C57" s="3413"/>
      <c r="D57" s="3414">
        <f t="shared" si="4"/>
        <v>0</v>
      </c>
      <c r="E57" s="3420"/>
      <c r="F57" s="3416">
        <f>SUMPRODUCT(('2002因素修正幅度'!$A$43:$A$49=A57)*('2002因素修正幅度'!$B$35:$K$35=$G$2)*('2002因素修正幅度'!$B$43:$K$49))</f>
        <v>1.7999999999999999E-2</v>
      </c>
      <c r="G57" s="3416">
        <f t="shared" si="5"/>
        <v>8.9999999999999993E-3</v>
      </c>
      <c r="H57" s="3417">
        <v>0</v>
      </c>
      <c r="I57" s="3416">
        <f t="shared" si="6"/>
        <v>-8.9999999999999993E-3</v>
      </c>
      <c r="J57" s="3416">
        <f>SUMPRODUCT(('2002因素修正幅度'!$A$73:$A$79=A57)*('2002因素修正幅度'!$B$35:$K$35=$G$2)*('2002因素修正幅度'!$B$73:$K$79))</f>
        <v>-1.7999999999999999E-2</v>
      </c>
      <c r="K57" s="3236"/>
      <c r="L57" s="3236"/>
      <c r="M57" s="3236"/>
      <c r="N57" s="3236"/>
      <c r="O57" s="3236"/>
      <c r="P57" s="3236"/>
      <c r="Q57" s="3236"/>
      <c r="R57" s="3236"/>
      <c r="S57" s="3236"/>
      <c r="T57" s="3236"/>
      <c r="U57" s="3236"/>
      <c r="V57" s="3236"/>
      <c r="W57" s="3240"/>
      <c r="X57" s="3240"/>
      <c r="Y57" s="3240"/>
      <c r="Z57" s="3240"/>
      <c r="AA57" s="3240"/>
      <c r="AB57" s="3240"/>
      <c r="AC57" s="3240"/>
      <c r="AD57" s="3239"/>
      <c r="AE57" s="3240"/>
      <c r="AF57" s="3240"/>
      <c r="AG57" s="3239"/>
      <c r="AH57" s="3239"/>
      <c r="AI57" s="3239"/>
      <c r="AJ57" s="3239"/>
    </row>
    <row r="58" spans="1:36" s="3418" customFormat="1" ht="15">
      <c r="A58" s="3402" t="s">
        <v>729</v>
      </c>
      <c r="B58" s="3424">
        <f>1+E60</f>
        <v>1.085</v>
      </c>
      <c r="C58" s="3405"/>
      <c r="D58" s="3425"/>
      <c r="E58" s="3426"/>
      <c r="F58" s="3427"/>
      <c r="G58" s="3427"/>
      <c r="H58" s="3427"/>
      <c r="I58" s="3427"/>
      <c r="J58" s="3427"/>
      <c r="K58" s="3236"/>
      <c r="L58" s="3236"/>
      <c r="M58" s="3236"/>
      <c r="N58" s="3236"/>
      <c r="O58" s="3236"/>
      <c r="P58" s="3236"/>
      <c r="Q58" s="3236"/>
      <c r="R58" s="3236"/>
      <c r="S58" s="3236"/>
      <c r="T58" s="3236"/>
      <c r="U58" s="3236"/>
      <c r="V58" s="3236"/>
      <c r="W58" s="3240"/>
      <c r="X58" s="3240"/>
      <c r="Y58" s="3240"/>
      <c r="Z58" s="3240"/>
      <c r="AA58" s="3240"/>
      <c r="AB58" s="3240"/>
      <c r="AC58" s="3240"/>
      <c r="AD58" s="3239"/>
      <c r="AE58" s="3240"/>
      <c r="AF58" s="3240"/>
      <c r="AG58" s="3239"/>
      <c r="AH58" s="3239"/>
      <c r="AI58" s="3239"/>
      <c r="AJ58" s="3239"/>
    </row>
    <row r="59" spans="1:36" s="3418" customFormat="1" ht="13.5">
      <c r="A59" s="3408" t="s">
        <v>3410</v>
      </c>
      <c r="B59" s="3419"/>
      <c r="C59" s="3409" t="s">
        <v>3412</v>
      </c>
      <c r="D59" s="3428" t="s">
        <v>3429</v>
      </c>
      <c r="E59" s="3429" t="s">
        <v>3430</v>
      </c>
      <c r="F59" s="3430" t="s">
        <v>3431</v>
      </c>
      <c r="G59" s="3430" t="s">
        <v>3432</v>
      </c>
      <c r="H59" s="3430" t="s">
        <v>3433</v>
      </c>
      <c r="I59" s="3430" t="s">
        <v>3434</v>
      </c>
      <c r="J59" s="3430" t="s">
        <v>3435</v>
      </c>
      <c r="K59" s="3236"/>
      <c r="L59" s="3236"/>
      <c r="M59" s="3236"/>
      <c r="N59" s="3236"/>
      <c r="O59" s="3236"/>
      <c r="P59" s="3236"/>
      <c r="Q59" s="3236"/>
      <c r="R59" s="3236"/>
      <c r="S59" s="3236"/>
      <c r="T59" s="3236"/>
      <c r="U59" s="3236"/>
      <c r="V59" s="3236"/>
      <c r="W59" s="3240"/>
      <c r="X59" s="3240"/>
      <c r="Y59" s="3240"/>
      <c r="Z59" s="3240"/>
      <c r="AA59" s="3240"/>
      <c r="AB59" s="3240"/>
      <c r="AC59" s="3240"/>
      <c r="AD59" s="3239"/>
      <c r="AE59" s="3240"/>
      <c r="AF59" s="3240"/>
      <c r="AG59" s="3239"/>
      <c r="AH59" s="3239"/>
      <c r="AI59" s="3239"/>
      <c r="AJ59" s="3239"/>
    </row>
    <row r="60" spans="1:36" s="3418" customFormat="1" ht="14.25">
      <c r="A60" s="3408" t="s">
        <v>3439</v>
      </c>
      <c r="B60" s="3412" t="str">
        <f>估价对象房地状况!C15</f>
        <v>估价对象周边有劲松二区、广和南里二条、劲松六区等，综合评价居住社区成熟度较好</v>
      </c>
      <c r="C60" s="3413" t="s">
        <v>29</v>
      </c>
      <c r="D60" s="3414">
        <f t="shared" ref="D60:D67" si="7">SUMIF($F$59:$J$59,C60,F60:J60)</f>
        <v>2.5000000000000001E-2</v>
      </c>
      <c r="E60" s="3415">
        <f>SUM(D60:D67)</f>
        <v>8.5000000000000006E-2</v>
      </c>
      <c r="F60" s="3416">
        <f>SUMPRODUCT(('2002因素修正幅度'!$A$50:$A$57=A60)*('2002因素修正幅度'!$B$35:$K$35=$G$2)*('2002因素修正幅度'!$B$50:$K$57))</f>
        <v>2.5000000000000001E-2</v>
      </c>
      <c r="G60" s="3416">
        <f>F60/2</f>
        <v>1.2500000000000001E-2</v>
      </c>
      <c r="H60" s="3417">
        <v>0</v>
      </c>
      <c r="I60" s="3416">
        <f>J60/2</f>
        <v>-7.4999999999999997E-3</v>
      </c>
      <c r="J60" s="3416">
        <f>SUMPRODUCT(('2002因素修正幅度'!$A$80:$A$87=A60)*('2002因素修正幅度'!$B$35:$K$35=$G$2)*('2002因素修正幅度'!$B$80:$K$87))</f>
        <v>-1.4999999999999999E-2</v>
      </c>
      <c r="K60" s="3236"/>
      <c r="L60" s="3236"/>
      <c r="M60" s="3236"/>
      <c r="N60" s="3236"/>
      <c r="O60" s="3236"/>
      <c r="P60" s="3236"/>
      <c r="Q60" s="3236"/>
      <c r="R60" s="3236"/>
      <c r="S60" s="3236"/>
      <c r="T60" s="3236"/>
      <c r="U60" s="3236"/>
      <c r="V60" s="3236"/>
      <c r="W60" s="3240"/>
      <c r="X60" s="3240"/>
      <c r="Y60" s="3240"/>
      <c r="Z60" s="3240"/>
      <c r="AA60" s="3240"/>
      <c r="AB60" s="3240"/>
      <c r="AC60" s="3240"/>
      <c r="AD60" s="3239"/>
      <c r="AE60" s="3240"/>
      <c r="AF60" s="3239"/>
      <c r="AG60" s="3239"/>
      <c r="AH60" s="3239"/>
      <c r="AI60" s="3239"/>
    </row>
    <row r="61" spans="1:36" s="3418" customFormat="1" ht="36">
      <c r="A61" s="3408" t="s">
        <v>3421</v>
      </c>
      <c r="B61" s="3419" t="str">
        <f>估价对象房地状况!C18</f>
        <v>估价对象周边有29、34、35路等多条公交线路，综合评价交通便捷度较好</v>
      </c>
      <c r="C61" s="3413" t="s">
        <v>30</v>
      </c>
      <c r="D61" s="3414">
        <f t="shared" si="7"/>
        <v>2.5000000000000001E-2</v>
      </c>
      <c r="E61" s="3432"/>
      <c r="F61" s="3416">
        <f>SUMPRODUCT(('2002因素修正幅度'!$A$50:$A$57=A61)*('2002因素修正幅度'!$B$35:$K$35=$G$2)*('2002因素修正幅度'!$B$50:$K$57))</f>
        <v>0.05</v>
      </c>
      <c r="G61" s="3416">
        <f t="shared" ref="G61:G67" si="8">F61/2</f>
        <v>2.5000000000000001E-2</v>
      </c>
      <c r="H61" s="3417">
        <v>0</v>
      </c>
      <c r="I61" s="3416">
        <f t="shared" ref="I61:I67" si="9">J61/2</f>
        <v>-1.4999999999999999E-2</v>
      </c>
      <c r="J61" s="3416">
        <f>SUMPRODUCT(('2002因素修正幅度'!$A$80:$A$87=A61)*('2002因素修正幅度'!$B$35:$K$35=$G$2)*('2002因素修正幅度'!$B$80:$K$87))</f>
        <v>-0.03</v>
      </c>
      <c r="K61" s="3236"/>
      <c r="L61" s="3236"/>
      <c r="M61" s="3236"/>
      <c r="N61" s="3236"/>
      <c r="O61" s="3236"/>
      <c r="P61" s="3236"/>
      <c r="Q61" s="3236"/>
      <c r="R61" s="3236"/>
      <c r="S61" s="3236"/>
      <c r="T61" s="3236"/>
      <c r="U61" s="3236"/>
      <c r="V61" s="3236"/>
      <c r="W61" s="3240"/>
      <c r="X61" s="3240"/>
      <c r="Y61" s="3240"/>
      <c r="Z61" s="3240"/>
      <c r="AA61" s="3240"/>
      <c r="AB61" s="3240"/>
      <c r="AC61" s="3240"/>
      <c r="AD61" s="3239"/>
      <c r="AE61" s="3239"/>
      <c r="AF61" s="3239"/>
      <c r="AG61" s="3239"/>
    </row>
    <row r="62" spans="1:36" s="3418" customFormat="1" ht="24">
      <c r="A62" s="3408" t="s">
        <v>3422</v>
      </c>
      <c r="B62" s="3419">
        <f>估价对象房地状况!C19</f>
        <v>0</v>
      </c>
      <c r="C62" s="3413" t="s">
        <v>30</v>
      </c>
      <c r="D62" s="3414">
        <f>SUMIF($F$59:$J$59,C62,F62:J62)</f>
        <v>1.2500000000000001E-2</v>
      </c>
      <c r="E62" s="3432"/>
      <c r="F62" s="3416">
        <f>SUMPRODUCT(('2002因素修正幅度'!$A$50:$A$57=A62)*('2002因素修正幅度'!$B$35:$K$35=$G$2)*('2002因素修正幅度'!$B$50:$K$57))</f>
        <v>2.5000000000000001E-2</v>
      </c>
      <c r="G62" s="3416">
        <f t="shared" si="8"/>
        <v>1.2500000000000001E-2</v>
      </c>
      <c r="H62" s="3417">
        <v>0</v>
      </c>
      <c r="I62" s="3416">
        <f t="shared" si="9"/>
        <v>-7.4999999999999997E-3</v>
      </c>
      <c r="J62" s="3416">
        <f>SUMPRODUCT(('2002因素修正幅度'!$A$80:$A$87=A62)*('2002因素修正幅度'!$B$35:$K$35=$G$2)*('2002因素修正幅度'!$B$80:$K$87))</f>
        <v>-1.4999999999999999E-2</v>
      </c>
      <c r="K62" s="3236"/>
      <c r="L62" s="3236"/>
      <c r="M62" s="3236"/>
      <c r="N62" s="3236"/>
      <c r="O62" s="3236"/>
      <c r="P62" s="3236"/>
      <c r="Q62" s="3236"/>
      <c r="R62" s="3236"/>
      <c r="S62" s="3236"/>
      <c r="T62" s="3236"/>
      <c r="U62" s="3236"/>
      <c r="V62" s="3236"/>
      <c r="W62" s="3240"/>
      <c r="X62" s="3240"/>
      <c r="Y62" s="3240"/>
      <c r="Z62" s="3240"/>
      <c r="AA62" s="3240"/>
      <c r="AB62" s="3240"/>
      <c r="AC62" s="3240"/>
      <c r="AD62" s="3239"/>
      <c r="AE62" s="3239"/>
      <c r="AF62" s="3239"/>
      <c r="AG62" s="3239"/>
    </row>
    <row r="63" spans="1:36" s="3418" customFormat="1" ht="14.25">
      <c r="A63" s="3408" t="s">
        <v>3486</v>
      </c>
      <c r="B63" s="3419">
        <f>估价对象房地状况!C23</f>
        <v>0</v>
      </c>
      <c r="C63" s="3413" t="s">
        <v>35</v>
      </c>
      <c r="D63" s="3414">
        <f>SUMIF($F$59:$J$59,C63,F63:J63)</f>
        <v>-1.4999999999999999E-2</v>
      </c>
      <c r="E63" s="3432"/>
      <c r="F63" s="3416">
        <f>SUMPRODUCT(('2002因素修正幅度'!$A$50:$A$57=A63)*('2002因素修正幅度'!$B$35:$K$35=$G$2)*('2002因素修正幅度'!$B$50:$K$57))</f>
        <v>2.5000000000000001E-2</v>
      </c>
      <c r="G63" s="3416">
        <f t="shared" si="8"/>
        <v>1.2500000000000001E-2</v>
      </c>
      <c r="H63" s="3417">
        <v>0</v>
      </c>
      <c r="I63" s="3416">
        <f t="shared" si="9"/>
        <v>-7.4999999999999997E-3</v>
      </c>
      <c r="J63" s="3416">
        <f>SUMPRODUCT(('2002因素修正幅度'!$A$80:$A$87=A63)*('2002因素修正幅度'!$B$35:$K$35=$G$2)*('2002因素修正幅度'!$B$80:$K$87))</f>
        <v>-1.4999999999999999E-2</v>
      </c>
      <c r="K63" s="3236"/>
      <c r="L63" s="3236"/>
      <c r="M63" s="3236"/>
      <c r="N63" s="3236"/>
      <c r="O63" s="3236"/>
      <c r="P63" s="3236"/>
      <c r="Q63" s="3236"/>
      <c r="R63" s="3236"/>
      <c r="S63" s="3236"/>
      <c r="T63" s="3236"/>
      <c r="U63" s="3236"/>
      <c r="V63" s="3236"/>
      <c r="W63" s="3240"/>
      <c r="X63" s="3240"/>
      <c r="Y63" s="3240"/>
      <c r="Z63" s="3240"/>
      <c r="AA63" s="3240"/>
      <c r="AB63" s="3240"/>
      <c r="AC63" s="3240"/>
      <c r="AD63" s="3239"/>
      <c r="AE63" s="3239"/>
      <c r="AF63" s="3239"/>
      <c r="AG63" s="3239"/>
    </row>
    <row r="64" spans="1:36" s="3418" customFormat="1" ht="24">
      <c r="A64" s="3408" t="s">
        <v>3426</v>
      </c>
      <c r="B64" s="3422" t="s">
        <v>3427</v>
      </c>
      <c r="C64" s="3413" t="s">
        <v>30</v>
      </c>
      <c r="D64" s="3414">
        <f t="shared" si="7"/>
        <v>0.01</v>
      </c>
      <c r="E64" s="3432"/>
      <c r="F64" s="3416">
        <f>SUMPRODUCT(('2002因素修正幅度'!$A$50:$A$57=A64)*('2002因素修正幅度'!$B$35:$K$35=$G$2)*('2002因素修正幅度'!$B$50:$K$57))</f>
        <v>0.02</v>
      </c>
      <c r="G64" s="3416">
        <f t="shared" si="8"/>
        <v>0.01</v>
      </c>
      <c r="H64" s="3417">
        <v>0</v>
      </c>
      <c r="I64" s="3416">
        <f t="shared" si="9"/>
        <v>-6.0000000000000001E-3</v>
      </c>
      <c r="J64" s="3416">
        <f>SUMPRODUCT(('2002因素修正幅度'!$A$80:$A$87=A64)*('2002因素修正幅度'!$B$35:$K$35=$G$2)*('2002因素修正幅度'!$B$80:$K$87))</f>
        <v>-1.2E-2</v>
      </c>
      <c r="K64" s="3236"/>
      <c r="L64" s="3236"/>
      <c r="M64" s="3236"/>
      <c r="N64" s="3236"/>
      <c r="O64" s="3236"/>
      <c r="P64" s="3236"/>
      <c r="Q64" s="3236"/>
      <c r="R64" s="3236"/>
      <c r="S64" s="3236"/>
      <c r="T64" s="3236"/>
      <c r="U64" s="3236"/>
      <c r="V64" s="3236"/>
      <c r="W64" s="3240"/>
      <c r="X64" s="3240"/>
      <c r="Y64" s="3240"/>
      <c r="Z64" s="3240"/>
      <c r="AA64" s="3240"/>
      <c r="AB64" s="3240"/>
      <c r="AC64" s="3240"/>
      <c r="AD64" s="3239"/>
      <c r="AE64" s="3239"/>
      <c r="AF64" s="3239"/>
      <c r="AG64" s="3239"/>
    </row>
    <row r="65" spans="1:33" s="3418" customFormat="1" ht="36">
      <c r="A65" s="3408" t="s">
        <v>3437</v>
      </c>
      <c r="B65" s="3431" t="str">
        <f>估价对象房地状况!C21&amp;","&amp;估价对象房地状况!C22</f>
        <v>估价对象所在区域公共配套设施齐备情况较好,七通</v>
      </c>
      <c r="C65" s="3413" t="s">
        <v>30</v>
      </c>
      <c r="D65" s="3414">
        <f t="shared" si="7"/>
        <v>1.4999999999999999E-2</v>
      </c>
      <c r="E65" s="3432"/>
      <c r="F65" s="3416">
        <f>SUMPRODUCT(('2002因素修正幅度'!$A$50:$A$57=A65)*('2002因素修正幅度'!$B$35:$K$35=$G$2)*('2002因素修正幅度'!$B$50:$K$57))</f>
        <v>0.03</v>
      </c>
      <c r="G65" s="3416">
        <f t="shared" si="8"/>
        <v>1.4999999999999999E-2</v>
      </c>
      <c r="H65" s="3417">
        <v>0</v>
      </c>
      <c r="I65" s="3416">
        <f t="shared" si="9"/>
        <v>-8.9999999999999993E-3</v>
      </c>
      <c r="J65" s="3416">
        <f>SUMPRODUCT(('2002因素修正幅度'!$A$80:$A$87=A65)*('2002因素修正幅度'!$B$35:$K$35=$G$2)*('2002因素修正幅度'!$B$80:$K$87))</f>
        <v>-1.7999999999999999E-2</v>
      </c>
      <c r="K65" s="3236"/>
      <c r="L65" s="3236"/>
      <c r="M65" s="3236"/>
      <c r="N65" s="3236"/>
      <c r="O65" s="3236"/>
      <c r="P65" s="3236"/>
      <c r="Q65" s="3236"/>
      <c r="R65" s="3236"/>
      <c r="S65" s="3236"/>
      <c r="T65" s="3236"/>
      <c r="U65" s="3236"/>
      <c r="V65" s="3236"/>
      <c r="W65" s="3240"/>
      <c r="X65" s="3240"/>
      <c r="Y65" s="3240"/>
      <c r="Z65" s="3240"/>
      <c r="AA65" s="3240"/>
      <c r="AB65" s="3240"/>
      <c r="AC65" s="3240"/>
      <c r="AD65" s="3239"/>
      <c r="AE65" s="3239"/>
      <c r="AF65" s="3239"/>
      <c r="AG65" s="3239"/>
    </row>
    <row r="66" spans="1:33" s="3418" customFormat="1" ht="36">
      <c r="A66" s="3408" t="s">
        <v>3487</v>
      </c>
      <c r="B66" s="3412" t="str">
        <f>估价对象房地状况!C20</f>
        <v>区域自然环境：龙潭湖公园、通惠河；人文环境；综合评价环境状况一般</v>
      </c>
      <c r="C66" s="3413" t="s">
        <v>31</v>
      </c>
      <c r="D66" s="3414">
        <f t="shared" si="7"/>
        <v>0</v>
      </c>
      <c r="E66" s="3432"/>
      <c r="F66" s="3416">
        <f>SUMPRODUCT(('2002因素修正幅度'!$A$50:$A$57=A66)*('2002因素修正幅度'!$B$35:$K$35=$G$2)*('2002因素修正幅度'!$B$50:$K$57))</f>
        <v>0.05</v>
      </c>
      <c r="G66" s="3416">
        <f t="shared" si="8"/>
        <v>2.5000000000000001E-2</v>
      </c>
      <c r="H66" s="3417">
        <v>0</v>
      </c>
      <c r="I66" s="3416">
        <f t="shared" si="9"/>
        <v>-1.4999999999999999E-2</v>
      </c>
      <c r="J66" s="3416">
        <f>SUMPRODUCT(('2002因素修正幅度'!$A$80:$A$87=A66)*('2002因素修正幅度'!$B$35:$K$35=$G$2)*('2002因素修正幅度'!$B$80:$K$87))</f>
        <v>-0.03</v>
      </c>
      <c r="K66" s="3236"/>
      <c r="L66" s="3236"/>
      <c r="M66" s="3236"/>
      <c r="N66" s="3236"/>
      <c r="O66" s="3236"/>
      <c r="P66" s="3236"/>
      <c r="Q66" s="3236"/>
      <c r="R66" s="3236"/>
      <c r="S66" s="3236"/>
      <c r="T66" s="3236"/>
      <c r="U66" s="3236"/>
      <c r="V66" s="3236"/>
      <c r="W66" s="3240"/>
      <c r="X66" s="3240"/>
      <c r="Y66" s="3240"/>
      <c r="Z66" s="3240"/>
      <c r="AA66" s="3240"/>
      <c r="AB66" s="3240"/>
      <c r="AC66" s="3240"/>
      <c r="AD66" s="3239"/>
      <c r="AE66" s="3239"/>
      <c r="AF66" s="3239"/>
      <c r="AG66" s="3239"/>
    </row>
    <row r="67" spans="1:33" s="3418" customFormat="1" ht="24.75" thickBot="1">
      <c r="A67" s="3433" t="s">
        <v>3488</v>
      </c>
      <c r="B67" s="3434"/>
      <c r="C67" s="3413" t="s">
        <v>30</v>
      </c>
      <c r="D67" s="3414">
        <f t="shared" si="7"/>
        <v>1.2500000000000001E-2</v>
      </c>
      <c r="E67" s="3435"/>
      <c r="F67" s="3416">
        <f>SUMPRODUCT(('2002因素修正幅度'!$A$50:$A$57=A67)*('2002因素修正幅度'!$B$35:$K$35=$G$2)*('2002因素修正幅度'!$B$50:$K$57))</f>
        <v>2.5000000000000001E-2</v>
      </c>
      <c r="G67" s="3416">
        <f t="shared" si="8"/>
        <v>1.2500000000000001E-2</v>
      </c>
      <c r="H67" s="3417">
        <v>0</v>
      </c>
      <c r="I67" s="3416">
        <f t="shared" si="9"/>
        <v>-7.4999999999999997E-3</v>
      </c>
      <c r="J67" s="3416">
        <f>SUMPRODUCT(('2002因素修正幅度'!$A$80:$A$87=A67)*('2002因素修正幅度'!$B$35:$K$35=$G$2)*('2002因素修正幅度'!$B$80:$K$87))</f>
        <v>-1.4999999999999999E-2</v>
      </c>
      <c r="K67" s="3236"/>
      <c r="L67" s="3237"/>
      <c r="M67" s="3237"/>
      <c r="N67" s="3237"/>
      <c r="O67" s="3237"/>
      <c r="P67" s="3237"/>
      <c r="Q67" s="3237"/>
      <c r="R67" s="3237"/>
      <c r="S67" s="3237"/>
      <c r="T67" s="3237"/>
      <c r="U67" s="3237"/>
      <c r="V67" s="3237"/>
      <c r="W67" s="3238"/>
      <c r="X67" s="3239"/>
      <c r="Y67" s="3239"/>
      <c r="Z67" s="3239"/>
      <c r="AA67" s="3239"/>
      <c r="AB67" s="3239"/>
      <c r="AC67" s="3239"/>
      <c r="AD67" s="3238"/>
      <c r="AE67" s="3239"/>
      <c r="AF67" s="3239"/>
      <c r="AG67" s="3239"/>
    </row>
    <row r="68" spans="1:33" s="3418" customFormat="1" ht="15">
      <c r="A68" s="3402" t="s">
        <v>3489</v>
      </c>
      <c r="B68" s="3424">
        <f>1+E70</f>
        <v>1</v>
      </c>
      <c r="C68" s="3405"/>
      <c r="D68" s="3425"/>
      <c r="E68" s="3426"/>
      <c r="F68" s="3427"/>
      <c r="G68" s="3427"/>
      <c r="H68" s="3427"/>
      <c r="I68" s="3427"/>
      <c r="J68" s="3427"/>
      <c r="K68" s="3236"/>
      <c r="L68" s="3236"/>
      <c r="M68" s="3236"/>
      <c r="N68" s="3236"/>
      <c r="O68" s="3236"/>
      <c r="P68" s="3236"/>
      <c r="Q68" s="3236"/>
      <c r="R68" s="3236"/>
      <c r="S68" s="3236"/>
      <c r="T68" s="3236"/>
      <c r="U68" s="3236"/>
      <c r="V68" s="3236"/>
      <c r="W68" s="3240"/>
      <c r="X68" s="3240"/>
      <c r="Y68" s="3240"/>
      <c r="Z68" s="3240"/>
      <c r="AA68" s="3240"/>
      <c r="AB68" s="3240"/>
      <c r="AC68" s="3240"/>
      <c r="AD68" s="3239"/>
      <c r="AE68" s="3239"/>
      <c r="AF68" s="3239"/>
      <c r="AG68" s="3239"/>
    </row>
    <row r="69" spans="1:33" s="3418" customFormat="1" ht="13.5">
      <c r="A69" s="3408" t="s">
        <v>3410</v>
      </c>
      <c r="B69" s="3419"/>
      <c r="C69" s="3409" t="s">
        <v>3412</v>
      </c>
      <c r="D69" s="3428" t="s">
        <v>3429</v>
      </c>
      <c r="E69" s="3429" t="s">
        <v>3430</v>
      </c>
      <c r="F69" s="3430" t="s">
        <v>3431</v>
      </c>
      <c r="G69" s="3430" t="s">
        <v>3432</v>
      </c>
      <c r="H69" s="3430" t="s">
        <v>3433</v>
      </c>
      <c r="I69" s="3430" t="s">
        <v>3434</v>
      </c>
      <c r="J69" s="3430" t="s">
        <v>3435</v>
      </c>
      <c r="K69" s="3236"/>
      <c r="L69" s="3237"/>
      <c r="M69" s="3237"/>
      <c r="N69" s="3237"/>
      <c r="O69" s="3237"/>
      <c r="P69" s="3237"/>
      <c r="Q69" s="3237"/>
      <c r="R69" s="3237"/>
      <c r="S69" s="3237"/>
      <c r="T69" s="3237"/>
      <c r="U69" s="3237"/>
      <c r="V69" s="3237"/>
      <c r="W69" s="3238"/>
      <c r="X69" s="3239"/>
      <c r="Y69" s="3239"/>
      <c r="Z69" s="3239"/>
      <c r="AA69" s="3239"/>
      <c r="AB69" s="3239"/>
      <c r="AC69" s="3239"/>
      <c r="AD69" s="3238"/>
      <c r="AE69" s="3239"/>
      <c r="AF69" s="3239"/>
      <c r="AG69" s="3239"/>
    </row>
    <row r="70" spans="1:33" s="3418" customFormat="1" ht="36">
      <c r="A70" s="3408" t="s">
        <v>3490</v>
      </c>
      <c r="B70" s="3419" t="str">
        <f>[1]估价对象房地状况!G3</f>
        <v>估价对象位于XX开发区，园区建设成熟度？产业集聚程度？</v>
      </c>
      <c r="C70" s="3413"/>
      <c r="D70" s="3414">
        <f t="shared" ref="D70:D76" si="10">SUMIF($F$69:$J$69,C70,F70:J70)</f>
        <v>0</v>
      </c>
      <c r="E70" s="3415">
        <f>SUM(D70:D76)</f>
        <v>0</v>
      </c>
      <c r="F70" s="3416">
        <f>SUMPRODUCT(('2002因素修正幅度'!$A$58:$A$64=A70)*('2002因素修正幅度'!$B$35:$K$35=$G$2)*('2002因素修正幅度'!$B$58:$K$64))</f>
        <v>0.04</v>
      </c>
      <c r="G70" s="3416">
        <f t="shared" ref="G70:G76" si="11">F70/2</f>
        <v>0.02</v>
      </c>
      <c r="H70" s="3417">
        <v>0</v>
      </c>
      <c r="I70" s="3416">
        <f t="shared" ref="I70:I76" si="12">J70/2</f>
        <v>-0.02</v>
      </c>
      <c r="J70" s="3416">
        <f>SUMPRODUCT(('2002因素修正幅度'!$A$88:$A$94=A70)*('2002因素修正幅度'!$B$35:$K$35=$G$2)*('2002因素修正幅度'!$B$88:$K$94))</f>
        <v>-0.04</v>
      </c>
      <c r="K70" s="3236"/>
      <c r="L70" s="3237"/>
      <c r="M70" s="3237"/>
      <c r="N70" s="3237"/>
      <c r="O70" s="3237"/>
      <c r="P70" s="3237"/>
      <c r="Q70" s="3237"/>
      <c r="R70" s="3237"/>
      <c r="S70" s="3237"/>
      <c r="T70" s="3237"/>
      <c r="U70" s="3237"/>
      <c r="V70" s="3237"/>
      <c r="W70" s="3238"/>
      <c r="X70" s="3239"/>
      <c r="Y70" s="3239"/>
      <c r="Z70" s="3239"/>
      <c r="AA70" s="3239"/>
      <c r="AB70" s="3239"/>
      <c r="AC70" s="3239"/>
      <c r="AD70" s="3238"/>
      <c r="AE70" s="3239"/>
      <c r="AF70" s="3239"/>
      <c r="AG70" s="3239"/>
    </row>
    <row r="71" spans="1:33" s="3418" customFormat="1" ht="48">
      <c r="A71" s="3408" t="s">
        <v>3421</v>
      </c>
      <c r="B71" s="3419" t="str">
        <f>[1]估价对象房地状况!G4</f>
        <v>估价对象周边道路状况、公共交通通达情况、停车便捷程度，综合评价交通便捷度较好</v>
      </c>
      <c r="C71" s="3413"/>
      <c r="D71" s="3414">
        <f t="shared" si="10"/>
        <v>0</v>
      </c>
      <c r="E71" s="3432"/>
      <c r="F71" s="3416">
        <f>SUMPRODUCT(('2002因素修正幅度'!$A$58:$A$64=A71)*('2002因素修正幅度'!$B$35:$K$35=$G$2)*('2002因素修正幅度'!$B$58:$K$64))</f>
        <v>6.4000000000000001E-2</v>
      </c>
      <c r="G71" s="3416">
        <f t="shared" si="11"/>
        <v>3.2000000000000001E-2</v>
      </c>
      <c r="H71" s="3417">
        <v>0</v>
      </c>
      <c r="I71" s="3416">
        <f t="shared" si="12"/>
        <v>-3.2000000000000001E-2</v>
      </c>
      <c r="J71" s="3416">
        <f>SUMPRODUCT(('2002因素修正幅度'!$A$88:$A$94=A71)*('2002因素修正幅度'!$B$35:$K$35=$G$2)*('2002因素修正幅度'!$B$88:$K$94))</f>
        <v>-6.4000000000000001E-2</v>
      </c>
      <c r="K71" s="3236"/>
      <c r="L71" s="3237"/>
      <c r="M71" s="3237"/>
      <c r="N71" s="3237"/>
      <c r="O71" s="3237"/>
      <c r="P71" s="3237"/>
      <c r="Q71" s="3237"/>
      <c r="R71" s="3237"/>
      <c r="S71" s="3237"/>
      <c r="T71" s="3237"/>
      <c r="U71" s="3237"/>
      <c r="V71" s="3237"/>
      <c r="W71" s="3238"/>
      <c r="X71" s="3239"/>
      <c r="Y71" s="3239"/>
      <c r="Z71" s="3239"/>
      <c r="AA71" s="3239"/>
      <c r="AB71" s="3239"/>
      <c r="AC71" s="3239"/>
      <c r="AD71" s="3238"/>
      <c r="AE71" s="3239"/>
      <c r="AF71" s="3239"/>
      <c r="AG71" s="3239"/>
    </row>
    <row r="72" spans="1:33" s="3418" customFormat="1" ht="24">
      <c r="A72" s="3408" t="s">
        <v>3422</v>
      </c>
      <c r="B72" s="3419" t="str">
        <f>[1]估价对象房地状况!G5</f>
        <v>零星有其他用地，基本不影响本宗地</v>
      </c>
      <c r="C72" s="3413"/>
      <c r="D72" s="3414">
        <f t="shared" si="10"/>
        <v>0</v>
      </c>
      <c r="E72" s="3432"/>
      <c r="F72" s="3416">
        <f>SUMPRODUCT(('2002因素修正幅度'!$A$58:$A$64=A72)*('2002因素修正幅度'!$B$35:$K$35=$G$2)*('2002因素修正幅度'!$B$58:$K$64))</f>
        <v>0.02</v>
      </c>
      <c r="G72" s="3416">
        <f t="shared" si="11"/>
        <v>0.01</v>
      </c>
      <c r="H72" s="3417">
        <v>0</v>
      </c>
      <c r="I72" s="3416">
        <f t="shared" si="12"/>
        <v>-0.01</v>
      </c>
      <c r="J72" s="3416">
        <f>SUMPRODUCT(('2002因素修正幅度'!$A$88:$A$94=A72)*('2002因素修正幅度'!$B$35:$K$35=$G$2)*('2002因素修正幅度'!$B$88:$K$94))</f>
        <v>-0.02</v>
      </c>
      <c r="K72" s="3236"/>
      <c r="L72" s="3237"/>
      <c r="M72" s="3237"/>
      <c r="N72" s="3237"/>
      <c r="O72" s="3237"/>
      <c r="P72" s="3237"/>
      <c r="Q72" s="3237"/>
      <c r="R72" s="3237"/>
      <c r="S72" s="3237"/>
      <c r="T72" s="3237"/>
      <c r="U72" s="3237"/>
      <c r="V72" s="3237"/>
      <c r="W72" s="3238"/>
      <c r="X72" s="3239"/>
      <c r="Y72" s="3239"/>
      <c r="Z72" s="3239"/>
      <c r="AA72" s="3239"/>
      <c r="AB72" s="3239"/>
      <c r="AC72" s="3239"/>
      <c r="AD72" s="3238"/>
      <c r="AE72" s="3239"/>
      <c r="AF72" s="3239"/>
      <c r="AG72" s="3239"/>
    </row>
    <row r="73" spans="1:33" s="3418" customFormat="1" ht="14.25">
      <c r="A73" s="3408" t="s">
        <v>3486</v>
      </c>
      <c r="B73" s="3419">
        <f>[1]估价对象房地状况!G10</f>
        <v>0</v>
      </c>
      <c r="C73" s="3413"/>
      <c r="D73" s="3414">
        <f t="shared" si="10"/>
        <v>0</v>
      </c>
      <c r="E73" s="3432"/>
      <c r="F73" s="3416">
        <f>SUMPRODUCT(('2002因素修正幅度'!$A$58:$A$64=A73)*('2002因素修正幅度'!$B$35:$K$35=$G$2)*('2002因素修正幅度'!$B$58:$K$64))</f>
        <v>1.6E-2</v>
      </c>
      <c r="G73" s="3416">
        <f t="shared" si="11"/>
        <v>8.0000000000000002E-3</v>
      </c>
      <c r="H73" s="3417">
        <v>0</v>
      </c>
      <c r="I73" s="3416">
        <f t="shared" si="12"/>
        <v>-8.0000000000000002E-3</v>
      </c>
      <c r="J73" s="3416">
        <f>SUMPRODUCT(('2002因素修正幅度'!$A$88:$A$94=A73)*('2002因素修正幅度'!$B$35:$K$35=$G$2)*('2002因素修正幅度'!$B$88:$K$94))</f>
        <v>-1.6E-2</v>
      </c>
      <c r="K73" s="3236"/>
      <c r="L73" s="3237"/>
      <c r="M73" s="3237"/>
      <c r="N73" s="3237"/>
      <c r="O73" s="3237"/>
      <c r="P73" s="3237"/>
      <c r="Q73" s="3237"/>
      <c r="R73" s="3237"/>
      <c r="S73" s="3237"/>
      <c r="T73" s="3237"/>
      <c r="U73" s="3237"/>
      <c r="V73" s="3237"/>
      <c r="W73" s="3238"/>
      <c r="X73" s="3239"/>
      <c r="Y73" s="3239"/>
      <c r="Z73" s="3239"/>
      <c r="AA73" s="3239"/>
      <c r="AB73" s="3239"/>
      <c r="AC73" s="3239"/>
      <c r="AD73" s="3238"/>
      <c r="AE73" s="3239"/>
      <c r="AF73" s="3239"/>
      <c r="AG73" s="3239"/>
    </row>
    <row r="74" spans="1:33" s="3418" customFormat="1" ht="24">
      <c r="A74" s="3408" t="s">
        <v>3426</v>
      </c>
      <c r="B74" s="3422" t="s">
        <v>3427</v>
      </c>
      <c r="C74" s="3413"/>
      <c r="D74" s="3414">
        <f t="shared" si="10"/>
        <v>0</v>
      </c>
      <c r="E74" s="3432"/>
      <c r="F74" s="3416">
        <f>SUMPRODUCT(('2002因素修正幅度'!$A$58:$A$64=A74)*('2002因素修正幅度'!$B$35:$K$35=$G$2)*('2002因素修正幅度'!$B$58:$K$64))</f>
        <v>2.4E-2</v>
      </c>
      <c r="G74" s="3416">
        <f t="shared" si="11"/>
        <v>1.2E-2</v>
      </c>
      <c r="H74" s="3417">
        <v>0</v>
      </c>
      <c r="I74" s="3416">
        <f t="shared" si="12"/>
        <v>-1.2E-2</v>
      </c>
      <c r="J74" s="3416">
        <f>SUMPRODUCT(('2002因素修正幅度'!$A$88:$A$94=A74)*('2002因素修正幅度'!$B$35:$K$35=$G$2)*('2002因素修正幅度'!$B$88:$K$94))</f>
        <v>-2.4E-2</v>
      </c>
      <c r="K74" s="3236"/>
      <c r="L74" s="3237"/>
      <c r="M74" s="3237"/>
      <c r="N74" s="3237"/>
      <c r="O74" s="3237"/>
      <c r="P74" s="3237"/>
      <c r="Q74" s="3237"/>
      <c r="R74" s="3237"/>
      <c r="S74" s="3237"/>
      <c r="T74" s="3237"/>
      <c r="U74" s="3237"/>
      <c r="V74" s="3237"/>
      <c r="W74" s="3238"/>
      <c r="X74" s="3239"/>
      <c r="Y74" s="3239"/>
      <c r="Z74" s="3239"/>
      <c r="AA74" s="3239"/>
      <c r="AB74" s="3239"/>
      <c r="AC74" s="3239"/>
      <c r="AD74" s="3238"/>
      <c r="AE74" s="3239"/>
      <c r="AF74" s="3239"/>
      <c r="AG74" s="3239"/>
    </row>
    <row r="75" spans="1:33" s="3418" customFormat="1" ht="24">
      <c r="A75" s="3408" t="s">
        <v>3485</v>
      </c>
      <c r="B75" s="3431" t="str">
        <f>[1]估价对象房地状况!G8</f>
        <v>估价对象所在区域基础设施水平</v>
      </c>
      <c r="C75" s="3413"/>
      <c r="D75" s="3414">
        <f t="shared" si="10"/>
        <v>0</v>
      </c>
      <c r="E75" s="3432"/>
      <c r="F75" s="3416">
        <f>SUMPRODUCT(('2002因素修正幅度'!$A$58:$A$64=A75)*('2002因素修正幅度'!$B$35:$K$35=$G$2)*('2002因素修正幅度'!$B$58:$K$64))</f>
        <v>0.02</v>
      </c>
      <c r="G75" s="3416">
        <f t="shared" si="11"/>
        <v>0.01</v>
      </c>
      <c r="H75" s="3417">
        <v>0</v>
      </c>
      <c r="I75" s="3416">
        <f t="shared" si="12"/>
        <v>-0.01</v>
      </c>
      <c r="J75" s="3416">
        <f>SUMPRODUCT(('2002因素修正幅度'!$A$88:$A$94=A75)*('2002因素修正幅度'!$B$35:$K$35=$G$2)*('2002因素修正幅度'!$B$88:$K$94))</f>
        <v>-0.02</v>
      </c>
      <c r="K75" s="3236"/>
      <c r="L75" s="3237"/>
      <c r="M75" s="3237"/>
      <c r="N75" s="3237"/>
      <c r="O75" s="3237"/>
      <c r="P75" s="3237"/>
      <c r="Q75" s="3237"/>
      <c r="R75" s="3237"/>
      <c r="S75" s="3237"/>
      <c r="T75" s="3237"/>
      <c r="U75" s="3237"/>
      <c r="V75" s="3237"/>
      <c r="W75" s="3238"/>
      <c r="X75" s="3239"/>
      <c r="Y75" s="3239"/>
      <c r="Z75" s="3239"/>
      <c r="AA75" s="3239"/>
      <c r="AB75" s="3239"/>
      <c r="AC75" s="3239"/>
      <c r="AD75" s="3238"/>
      <c r="AE75" s="3239"/>
      <c r="AF75" s="3239"/>
      <c r="AG75" s="3239"/>
    </row>
    <row r="76" spans="1:33" s="3418" customFormat="1" ht="36.75" thickBot="1">
      <c r="A76" s="3433" t="s">
        <v>3491</v>
      </c>
      <c r="B76" s="3436" t="str">
        <f>[1]估价对象房地状况!G6</f>
        <v>该园区内无污染型企业，绿化较好，卫生条件良好，整体环境状况较好</v>
      </c>
      <c r="C76" s="3413"/>
      <c r="D76" s="3414">
        <f t="shared" si="10"/>
        <v>0</v>
      </c>
      <c r="E76" s="3435"/>
      <c r="F76" s="3416">
        <f>SUMPRODUCT(('2002因素修正幅度'!$A$58:$A$64=A76)*('2002因素修正幅度'!$B$35:$K$35=$G$2)*('2002因素修正幅度'!$B$58:$K$64))</f>
        <v>1.6E-2</v>
      </c>
      <c r="G76" s="3416">
        <f t="shared" si="11"/>
        <v>8.0000000000000002E-3</v>
      </c>
      <c r="H76" s="3417">
        <v>0</v>
      </c>
      <c r="I76" s="3416">
        <f t="shared" si="12"/>
        <v>-8.0000000000000002E-3</v>
      </c>
      <c r="J76" s="3416">
        <f>SUMPRODUCT(('2002因素修正幅度'!$A$88:$A$94=A76)*('2002因素修正幅度'!$B$35:$K$35=$G$2)*('2002因素修正幅度'!$B$88:$K$94))</f>
        <v>-1.6E-2</v>
      </c>
      <c r="K76" s="3236"/>
      <c r="L76" s="3237"/>
      <c r="M76" s="3237"/>
      <c r="N76" s="3237"/>
      <c r="O76" s="3237"/>
      <c r="P76" s="3237"/>
      <c r="Q76" s="3237"/>
      <c r="R76" s="3237"/>
      <c r="S76" s="3237"/>
      <c r="T76" s="3237"/>
      <c r="U76" s="3237"/>
      <c r="V76" s="3237"/>
      <c r="W76" s="3238"/>
      <c r="X76" s="3239"/>
      <c r="Y76" s="3239"/>
      <c r="Z76" s="3239"/>
      <c r="AA76" s="3239"/>
      <c r="AB76" s="3239"/>
      <c r="AC76" s="3239"/>
      <c r="AD76" s="3238"/>
      <c r="AE76" s="3239"/>
      <c r="AF76" s="3239"/>
      <c r="AG76" s="3239"/>
    </row>
    <row r="77" spans="1:33" s="3418" customFormat="1">
      <c r="A77" s="3238"/>
      <c r="B77" s="3383"/>
      <c r="C77" s="3237"/>
      <c r="D77" s="3237"/>
      <c r="E77" s="3237"/>
      <c r="F77" s="3237"/>
      <c r="G77" s="3237"/>
      <c r="H77" s="3237"/>
      <c r="I77" s="3237"/>
      <c r="J77" s="3237"/>
      <c r="K77" s="3236"/>
      <c r="L77" s="3237"/>
      <c r="M77" s="3237"/>
      <c r="N77" s="3237"/>
      <c r="O77" s="3237"/>
      <c r="P77" s="3237"/>
      <c r="Q77" s="3237"/>
      <c r="R77" s="3237"/>
      <c r="S77" s="3237"/>
      <c r="T77" s="3237"/>
      <c r="U77" s="3237"/>
      <c r="V77" s="3237"/>
      <c r="W77" s="3238"/>
      <c r="X77" s="3239"/>
      <c r="Y77" s="3239"/>
      <c r="Z77" s="3239"/>
      <c r="AA77" s="3239"/>
      <c r="AB77" s="3239"/>
      <c r="AC77" s="3239"/>
      <c r="AD77" s="3238"/>
      <c r="AE77" s="3239"/>
      <c r="AF77" s="3239"/>
      <c r="AG77" s="3239"/>
    </row>
    <row r="78" spans="1:33" s="3418" customFormat="1">
      <c r="A78" s="3238"/>
      <c r="B78" s="3383"/>
      <c r="C78" s="3237"/>
      <c r="D78" s="3237"/>
      <c r="E78" s="3237"/>
      <c r="F78" s="3237"/>
      <c r="G78" s="3237"/>
      <c r="H78" s="3237"/>
      <c r="I78" s="3237"/>
      <c r="J78" s="3237"/>
      <c r="K78" s="3236"/>
      <c r="L78" s="3237"/>
      <c r="M78" s="3237"/>
      <c r="N78" s="3237"/>
      <c r="O78" s="3237"/>
      <c r="P78" s="3237"/>
      <c r="Q78" s="3237"/>
      <c r="R78" s="3237"/>
      <c r="S78" s="3237"/>
      <c r="T78" s="3237"/>
      <c r="U78" s="3237"/>
      <c r="V78" s="3237"/>
      <c r="W78" s="3238"/>
      <c r="X78" s="3239"/>
      <c r="Y78" s="3239"/>
      <c r="Z78" s="3239"/>
      <c r="AA78" s="3239"/>
      <c r="AB78" s="3239"/>
      <c r="AC78" s="3239"/>
      <c r="AD78" s="3238"/>
      <c r="AE78" s="3239"/>
      <c r="AF78" s="3239"/>
      <c r="AG78" s="3239"/>
    </row>
    <row r="79" spans="1:33" s="3418" customFormat="1">
      <c r="A79" s="3238"/>
      <c r="B79" s="3383"/>
      <c r="C79" s="3237"/>
      <c r="D79" s="3237"/>
      <c r="E79" s="3237"/>
      <c r="F79" s="3237"/>
      <c r="G79" s="3237"/>
      <c r="H79" s="3237"/>
      <c r="I79" s="3237"/>
      <c r="J79" s="3237"/>
      <c r="K79" s="3236"/>
      <c r="L79" s="3237"/>
      <c r="M79" s="3237"/>
      <c r="N79" s="3237"/>
      <c r="O79" s="3237"/>
      <c r="P79" s="3237"/>
      <c r="Q79" s="3237"/>
      <c r="R79" s="3237"/>
      <c r="S79" s="3237"/>
      <c r="T79" s="3237"/>
      <c r="U79" s="3237"/>
      <c r="V79" s="3237"/>
      <c r="W79" s="3238"/>
      <c r="X79" s="3239"/>
      <c r="Y79" s="3239"/>
      <c r="Z79" s="3239"/>
      <c r="AA79" s="3239"/>
      <c r="AB79" s="3239"/>
      <c r="AC79" s="3239"/>
      <c r="AD79" s="3238"/>
      <c r="AE79" s="3239"/>
      <c r="AF79" s="3239"/>
      <c r="AG79" s="3239"/>
    </row>
    <row r="80" spans="1:33" s="3418" customFormat="1" ht="13.5">
      <c r="A80" s="3246" t="s">
        <v>3492</v>
      </c>
      <c r="B80" s="3437">
        <f>G3</f>
        <v>6.4</v>
      </c>
      <c r="C80" s="3237"/>
      <c r="D80" s="3237"/>
      <c r="E80" s="3237"/>
      <c r="F80" s="3237"/>
      <c r="G80" s="3438"/>
      <c r="H80" s="3438"/>
      <c r="I80" s="3438"/>
      <c r="J80" s="3438"/>
      <c r="K80" s="3236"/>
      <c r="L80" s="3237"/>
      <c r="M80" s="3237"/>
      <c r="N80" s="3237"/>
      <c r="O80" s="3237"/>
      <c r="P80" s="3237"/>
      <c r="Q80" s="3237"/>
      <c r="R80" s="3237"/>
      <c r="S80" s="3237"/>
      <c r="T80" s="3237"/>
      <c r="U80" s="3237"/>
      <c r="V80" s="3237"/>
      <c r="W80" s="3237"/>
      <c r="X80" s="3237"/>
      <c r="Y80" s="3237"/>
      <c r="Z80" s="3238"/>
      <c r="AA80" s="3239"/>
      <c r="AB80" s="3239"/>
      <c r="AC80" s="3239"/>
      <c r="AD80" s="3239"/>
      <c r="AE80" s="3239"/>
      <c r="AF80" s="3239"/>
      <c r="AG80" s="3239"/>
    </row>
    <row r="81" spans="1:36" s="3418" customFormat="1" ht="12.75">
      <c r="A81" s="3246" t="s">
        <v>3493</v>
      </c>
      <c r="B81" s="3439">
        <f>SUMIF(A82:A85,E2,B82:B85)</f>
        <v>0</v>
      </c>
      <c r="C81" s="3237"/>
      <c r="D81" s="3237"/>
      <c r="E81" s="3237"/>
      <c r="F81" s="3237"/>
      <c r="G81" s="3237"/>
      <c r="H81" s="3237"/>
      <c r="I81" s="3237"/>
      <c r="J81" s="3237"/>
      <c r="K81" s="3236"/>
      <c r="L81" s="3237"/>
      <c r="M81" s="3237"/>
      <c r="N81" s="3237"/>
      <c r="O81" s="3237"/>
      <c r="P81" s="3237"/>
      <c r="Q81" s="3237"/>
      <c r="R81" s="3237"/>
      <c r="S81" s="3237"/>
      <c r="T81" s="3237"/>
      <c r="U81" s="3237"/>
      <c r="V81" s="3237"/>
      <c r="W81" s="3237"/>
      <c r="X81" s="3237"/>
      <c r="Y81" s="3237"/>
      <c r="Z81" s="3238"/>
      <c r="AA81" s="3239"/>
      <c r="AB81" s="3239"/>
      <c r="AC81" s="3239"/>
      <c r="AD81" s="3239"/>
      <c r="AE81" s="3239"/>
      <c r="AF81" s="3239"/>
      <c r="AG81" s="3239"/>
    </row>
    <row r="82" spans="1:36" s="3418" customFormat="1" ht="12.75">
      <c r="A82" s="3440" t="s">
        <v>3405</v>
      </c>
      <c r="B82" s="3439">
        <f>ROUND(0.892-0.0373*B80,4)</f>
        <v>0.65329999999999999</v>
      </c>
      <c r="C82" s="3237"/>
      <c r="D82" s="3237"/>
      <c r="E82" s="3237"/>
      <c r="F82" s="3237"/>
      <c r="G82" s="3237"/>
      <c r="H82" s="3237"/>
      <c r="I82" s="3237"/>
      <c r="J82" s="3237"/>
      <c r="K82" s="3236"/>
      <c r="L82" s="3237"/>
      <c r="M82" s="3237"/>
      <c r="N82" s="3237"/>
      <c r="O82" s="3237"/>
      <c r="P82" s="3237"/>
      <c r="Q82" s="3237"/>
      <c r="R82" s="3237"/>
      <c r="S82" s="3237"/>
      <c r="T82" s="3237"/>
      <c r="U82" s="3237"/>
      <c r="V82" s="3237"/>
      <c r="W82" s="3237"/>
      <c r="X82" s="3237"/>
      <c r="Y82" s="3237"/>
      <c r="Z82" s="3238"/>
      <c r="AA82" s="3239"/>
      <c r="AB82" s="3239"/>
      <c r="AC82" s="3239"/>
      <c r="AD82" s="3239"/>
      <c r="AE82" s="3239"/>
      <c r="AF82" s="3239"/>
      <c r="AG82" s="3239"/>
    </row>
    <row r="83" spans="1:36" s="3418" customFormat="1" ht="13.5">
      <c r="A83" s="3440" t="s">
        <v>3406</v>
      </c>
      <c r="B83" s="3439">
        <f>ROUND(1.007-0.0278*B80,4)</f>
        <v>0.82909999999999995</v>
      </c>
      <c r="C83" s="3237"/>
      <c r="D83" s="3237"/>
      <c r="E83" s="3237"/>
      <c r="F83" s="3237"/>
      <c r="G83" s="3237"/>
      <c r="H83" s="3237"/>
      <c r="I83" s="3237"/>
      <c r="J83" s="3237"/>
      <c r="K83" s="3236"/>
      <c r="L83" s="3438"/>
      <c r="M83" s="3438"/>
      <c r="N83" s="3237"/>
      <c r="O83" s="3237"/>
      <c r="P83" s="3237"/>
      <c r="Q83" s="3237"/>
      <c r="R83" s="3237"/>
      <c r="S83" s="3237"/>
      <c r="T83" s="3237"/>
      <c r="U83" s="3237"/>
      <c r="V83" s="3237"/>
      <c r="W83" s="3237"/>
      <c r="X83" s="3237"/>
      <c r="Y83" s="3237"/>
      <c r="Z83" s="3238"/>
      <c r="AA83" s="3239"/>
      <c r="AB83" s="3239"/>
      <c r="AC83" s="3239"/>
      <c r="AD83" s="3239"/>
      <c r="AE83" s="3239"/>
      <c r="AF83" s="3239"/>
      <c r="AG83" s="3239"/>
    </row>
    <row r="84" spans="1:36" ht="12.75">
      <c r="A84" s="3440" t="s">
        <v>3438</v>
      </c>
      <c r="B84" s="3439">
        <f>ROUND(1.018-0.0219*B80,4)</f>
        <v>0.87780000000000002</v>
      </c>
      <c r="K84" s="3237"/>
      <c r="AE84" s="3238"/>
      <c r="AF84" s="3238"/>
      <c r="AH84" s="3237"/>
      <c r="AI84" s="3237"/>
      <c r="AJ84" s="3237"/>
    </row>
    <row r="85" spans="1:36" s="3418" customFormat="1" ht="13.5" thickBot="1">
      <c r="A85" s="3441" t="s">
        <v>3494</v>
      </c>
      <c r="B85" s="3442">
        <f>ROUND(0.7275-0.01*B80,4)</f>
        <v>0.66349999999999998</v>
      </c>
      <c r="C85" s="3237"/>
      <c r="D85" s="3237"/>
      <c r="E85" s="3237"/>
      <c r="F85" s="3237"/>
      <c r="G85" s="3237"/>
      <c r="H85" s="3237"/>
      <c r="I85" s="3237"/>
      <c r="J85" s="3237"/>
      <c r="K85" s="3236"/>
      <c r="L85" s="3237"/>
      <c r="M85" s="3237"/>
      <c r="N85" s="3237"/>
      <c r="O85" s="3237"/>
      <c r="P85" s="3237"/>
      <c r="Q85" s="3237"/>
      <c r="R85" s="3237"/>
      <c r="S85" s="3237"/>
      <c r="T85" s="3237"/>
      <c r="U85" s="3237"/>
      <c r="V85" s="3237"/>
      <c r="W85" s="3237"/>
      <c r="X85" s="3237"/>
      <c r="Y85" s="3237"/>
      <c r="Z85" s="3238"/>
      <c r="AA85" s="3239"/>
      <c r="AB85" s="3239"/>
      <c r="AC85" s="3239"/>
      <c r="AD85" s="3239"/>
      <c r="AE85" s="3239"/>
      <c r="AF85" s="3239"/>
      <c r="AG85" s="3239"/>
    </row>
    <row r="86" spans="1:36">
      <c r="K86" s="3237"/>
      <c r="AE86" s="3238"/>
      <c r="AF86" s="3238"/>
      <c r="AH86" s="3237"/>
      <c r="AI86" s="3237"/>
      <c r="AJ86" s="3237"/>
    </row>
    <row r="87" spans="1:36" ht="12.75" thickBot="1">
      <c r="K87" s="3237"/>
      <c r="AE87" s="3238"/>
      <c r="AF87" s="3238"/>
      <c r="AH87" s="3237"/>
      <c r="AI87" s="3237"/>
      <c r="AJ87" s="3237"/>
    </row>
    <row r="88" spans="1:36" ht="14.25" thickBot="1">
      <c r="A88" s="3443" t="s">
        <v>3350</v>
      </c>
      <c r="B88" s="3444" t="s">
        <v>3495</v>
      </c>
      <c r="C88" s="3444" t="s">
        <v>3496</v>
      </c>
      <c r="D88" s="3444" t="s">
        <v>3497</v>
      </c>
      <c r="E88" s="3444" t="s">
        <v>3498</v>
      </c>
      <c r="F88" s="3444" t="s">
        <v>3499</v>
      </c>
      <c r="G88" s="3444" t="s">
        <v>3500</v>
      </c>
      <c r="H88" s="3444" t="s">
        <v>3501</v>
      </c>
      <c r="I88" s="3444" t="s">
        <v>3502</v>
      </c>
      <c r="J88" s="3444" t="s">
        <v>3503</v>
      </c>
      <c r="K88" s="3444" t="s">
        <v>3504</v>
      </c>
      <c r="AE88" s="3238"/>
      <c r="AF88" s="3238"/>
      <c r="AH88" s="3237"/>
      <c r="AI88" s="3237"/>
      <c r="AJ88" s="3237"/>
    </row>
    <row r="89" spans="1:36" ht="13.5">
      <c r="A89" s="3445" t="s">
        <v>3405</v>
      </c>
      <c r="B89" s="3446">
        <v>2</v>
      </c>
      <c r="C89" s="3446">
        <v>2</v>
      </c>
      <c r="D89" s="3446">
        <v>2</v>
      </c>
      <c r="E89" s="3446">
        <v>2</v>
      </c>
      <c r="F89" s="3446">
        <v>2</v>
      </c>
      <c r="G89" s="3446">
        <v>2</v>
      </c>
      <c r="H89" s="3447">
        <v>1</v>
      </c>
      <c r="I89" s="3447">
        <v>1</v>
      </c>
      <c r="J89" s="3447">
        <v>1</v>
      </c>
      <c r="K89" s="3447">
        <v>1</v>
      </c>
      <c r="AE89" s="3238"/>
      <c r="AF89" s="3238"/>
      <c r="AH89" s="3237"/>
      <c r="AI89" s="3237"/>
      <c r="AJ89" s="3237"/>
    </row>
    <row r="90" spans="1:36" ht="13.5">
      <c r="A90" s="3448" t="s">
        <v>3406</v>
      </c>
      <c r="B90" s="3449">
        <v>2</v>
      </c>
      <c r="C90" s="3449">
        <v>2</v>
      </c>
      <c r="D90" s="3449">
        <v>2</v>
      </c>
      <c r="E90" s="3449">
        <v>2</v>
      </c>
      <c r="F90" s="3449">
        <v>2</v>
      </c>
      <c r="G90" s="3449">
        <v>2</v>
      </c>
      <c r="H90" s="3450">
        <v>1</v>
      </c>
      <c r="I90" s="3450">
        <v>1</v>
      </c>
      <c r="J90" s="3450">
        <v>1</v>
      </c>
      <c r="K90" s="3450">
        <v>1</v>
      </c>
      <c r="AE90" s="3238"/>
      <c r="AF90" s="3238"/>
      <c r="AH90" s="3237"/>
      <c r="AI90" s="3237"/>
      <c r="AJ90" s="3237"/>
    </row>
    <row r="91" spans="1:36" ht="13.5">
      <c r="A91" s="3448" t="s">
        <v>3438</v>
      </c>
      <c r="B91" s="3449">
        <v>2</v>
      </c>
      <c r="C91" s="3449">
        <v>2</v>
      </c>
      <c r="D91" s="3449">
        <v>2</v>
      </c>
      <c r="E91" s="3449">
        <v>2</v>
      </c>
      <c r="F91" s="3449">
        <v>2</v>
      </c>
      <c r="G91" s="3449">
        <v>2</v>
      </c>
      <c r="H91" s="3450">
        <v>1</v>
      </c>
      <c r="I91" s="3450">
        <v>1</v>
      </c>
      <c r="J91" s="3450">
        <v>1</v>
      </c>
      <c r="K91" s="3450">
        <v>1</v>
      </c>
      <c r="AE91" s="3238"/>
      <c r="AF91" s="3238"/>
      <c r="AH91" s="3237"/>
      <c r="AI91" s="3237"/>
      <c r="AJ91" s="3237"/>
    </row>
    <row r="92" spans="1:36" ht="14.25" thickBot="1">
      <c r="A92" s="3451" t="s">
        <v>3489</v>
      </c>
      <c r="B92" s="3452">
        <v>1</v>
      </c>
      <c r="C92" s="3452">
        <v>1</v>
      </c>
      <c r="D92" s="3452">
        <v>1</v>
      </c>
      <c r="E92" s="3452">
        <v>1</v>
      </c>
      <c r="F92" s="3452">
        <v>1</v>
      </c>
      <c r="G92" s="3452">
        <v>1</v>
      </c>
      <c r="H92" s="3452">
        <v>1</v>
      </c>
      <c r="I92" s="3452">
        <v>1</v>
      </c>
      <c r="J92" s="3452">
        <v>1</v>
      </c>
      <c r="K92" s="3452">
        <v>1</v>
      </c>
      <c r="AE92" s="3238"/>
      <c r="AF92" s="3238"/>
      <c r="AH92" s="3237"/>
      <c r="AI92" s="3237"/>
      <c r="AJ92" s="3237"/>
    </row>
    <row r="93" spans="1:36">
      <c r="K93" s="3237"/>
      <c r="AE93" s="3238"/>
      <c r="AF93" s="3238"/>
      <c r="AH93" s="3237"/>
      <c r="AI93" s="3237"/>
      <c r="AJ93" s="3237"/>
    </row>
  </sheetData>
  <sheetProtection formatCells="0" formatColumns="0" formatRows="0"/>
  <dataConsolidate/>
  <mergeCells count="2">
    <mergeCell ref="A18:A19"/>
    <mergeCell ref="A20:A21"/>
  </mergeCells>
  <phoneticPr fontId="146" type="noConversion"/>
  <dataValidations count="9">
    <dataValidation type="list" allowBlank="1" showInputMessage="1" showErrorMessage="1" sqref="F10">
      <formula1>"剩余土地使用年限,剩余土地使用年限（设定）"</formula1>
    </dataValidation>
    <dataValidation type="list" allowBlank="1" showInputMessage="1" showErrorMessage="1" sqref="F3">
      <formula1>"容积率,设定容积率"</formula1>
    </dataValidation>
    <dataValidation type="list" allowBlank="1" showInputMessage="1" showErrorMessage="1" sqref="D22">
      <formula1>"四环路外,四环路内"</formula1>
    </dataValidation>
    <dataValidation type="list" allowBlank="1" showInputMessage="1" showErrorMessage="1" sqref="I2">
      <formula1>"地上,地下"</formula1>
    </dataValidation>
    <dataValidation type="list" allowBlank="1" showInputMessage="1" showErrorMessage="1" sqref="D11">
      <formula1>"市区,郊区"</formula1>
    </dataValidation>
    <dataValidation type="list" allowBlank="1" showInputMessage="1" showErrorMessage="1" sqref="F16">
      <formula1>"三通一平,四通一平,五通一平,六通一平,七通一平"</formula1>
    </dataValidation>
    <dataValidation type="list" allowBlank="1" showInputMessage="1" showErrorMessage="1" sqref="E3">
      <formula1>二级分类</formula1>
    </dataValidation>
    <dataValidation type="list" allowBlank="1" showInputMessage="1" showErrorMessage="1" sqref="C25">
      <formula1>季度2002</formula1>
    </dataValidation>
    <dataValidation type="list" allowBlank="1" showInputMessage="1" showErrorMessage="1" sqref="C60:C67 C42:C48 C51:C57 C70:C76">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election activeCell="R15" sqref="R15"/>
    </sheetView>
  </sheetViews>
  <sheetFormatPr defaultRowHeight="13.5"/>
  <cols>
    <col min="1" max="9" width="9" style="3453"/>
    <col min="10" max="10" width="2.25" style="3453" customWidth="1"/>
    <col min="11" max="11" width="11.5" style="3453" customWidth="1"/>
    <col min="12" max="16384" width="9" style="3453"/>
  </cols>
  <sheetData>
    <row r="1" spans="1:19" ht="14.25" thickBot="1">
      <c r="K1" s="3454" t="str">
        <f>'2002基准地价 (2)'!E2</f>
        <v>住宅</v>
      </c>
      <c r="L1" s="3454" t="str">
        <f>'2002基准地价 (2)'!G2</f>
        <v>三级</v>
      </c>
      <c r="M1" s="3455">
        <f>SUMPRODUCT((K3:K12=L1)*(L2:O2=K1)*(L3:O12))</f>
        <v>3660</v>
      </c>
    </row>
    <row r="2" spans="1:19">
      <c r="A2" s="3456" t="s">
        <v>3505</v>
      </c>
      <c r="B2" s="3457" t="s">
        <v>3506</v>
      </c>
      <c r="C2" s="3458"/>
      <c r="D2" s="3459" t="s">
        <v>3507</v>
      </c>
      <c r="E2" s="3459"/>
      <c r="F2" s="3460" t="s">
        <v>3508</v>
      </c>
      <c r="G2" s="3459"/>
      <c r="H2" s="3460" t="s">
        <v>3509</v>
      </c>
      <c r="I2" s="3459"/>
      <c r="K2" s="3461"/>
      <c r="L2" s="3462" t="s">
        <v>3405</v>
      </c>
      <c r="M2" s="3462" t="s">
        <v>3406</v>
      </c>
      <c r="N2" s="3462" t="s">
        <v>729</v>
      </c>
      <c r="O2" s="3462" t="s">
        <v>3489</v>
      </c>
    </row>
    <row r="3" spans="1:19">
      <c r="A3" s="3463"/>
      <c r="B3" s="3464" t="s">
        <v>3510</v>
      </c>
      <c r="C3" s="3464" t="s">
        <v>3511</v>
      </c>
      <c r="D3" s="3465" t="s">
        <v>3510</v>
      </c>
      <c r="E3" s="3465" t="s">
        <v>3511</v>
      </c>
      <c r="F3" s="3465" t="s">
        <v>3510</v>
      </c>
      <c r="G3" s="3465" t="s">
        <v>3511</v>
      </c>
      <c r="H3" s="3465" t="s">
        <v>3510</v>
      </c>
      <c r="I3" s="3465" t="s">
        <v>3511</v>
      </c>
      <c r="K3" s="3465" t="s">
        <v>161</v>
      </c>
      <c r="L3" s="3466">
        <f>ROUND(AVERAGE(B4:C4),0)</f>
        <v>8480</v>
      </c>
      <c r="M3" s="3466">
        <f>ROUND(AVERAGE(D4:E4),0)</f>
        <v>6895</v>
      </c>
      <c r="N3" s="3466">
        <f>ROUND(AVERAGE(F4:G4),0)</f>
        <v>5870</v>
      </c>
      <c r="O3" s="3466">
        <f>ROUND(AVERAGE(H4:I4),0)</f>
        <v>1500</v>
      </c>
    </row>
    <row r="4" spans="1:19">
      <c r="A4" s="3465" t="s">
        <v>161</v>
      </c>
      <c r="B4" s="3467">
        <v>7210</v>
      </c>
      <c r="C4" s="3467">
        <v>9750</v>
      </c>
      <c r="D4" s="3467">
        <v>5540</v>
      </c>
      <c r="E4" s="3467">
        <v>8250</v>
      </c>
      <c r="F4" s="3467">
        <v>4740</v>
      </c>
      <c r="G4" s="3467">
        <v>7000</v>
      </c>
      <c r="H4" s="3467">
        <v>1200</v>
      </c>
      <c r="I4" s="3467">
        <v>1800</v>
      </c>
      <c r="K4" s="3465" t="s">
        <v>221</v>
      </c>
      <c r="L4" s="3466">
        <f t="shared" ref="L4:L12" si="0">ROUND(AVERAGE(B5:C5),0)</f>
        <v>6680</v>
      </c>
      <c r="M4" s="3466">
        <f t="shared" ref="M4:M12" si="1">ROUND(AVERAGE(D5:E5),0)</f>
        <v>5220</v>
      </c>
      <c r="N4" s="3466">
        <f t="shared" ref="N4:N12" si="2">ROUND(AVERAGE(F5:G5),0)</f>
        <v>4780</v>
      </c>
      <c r="O4" s="3466">
        <f t="shared" ref="O4:O11" si="3">ROUND(AVERAGE(H5:I5),0)</f>
        <v>1110</v>
      </c>
    </row>
    <row r="5" spans="1:19">
      <c r="A5" s="3465" t="s">
        <v>221</v>
      </c>
      <c r="B5" s="3467">
        <v>5680</v>
      </c>
      <c r="C5" s="3467">
        <v>7680</v>
      </c>
      <c r="D5" s="3467">
        <v>4440</v>
      </c>
      <c r="E5" s="3467">
        <v>6000</v>
      </c>
      <c r="F5" s="3467">
        <v>3800</v>
      </c>
      <c r="G5" s="3467">
        <v>5760</v>
      </c>
      <c r="H5" s="3467">
        <v>1000</v>
      </c>
      <c r="I5" s="3467">
        <v>1220</v>
      </c>
      <c r="K5" s="3465" t="s">
        <v>399</v>
      </c>
      <c r="L5" s="3466">
        <f t="shared" si="0"/>
        <v>5330</v>
      </c>
      <c r="M5" s="3466">
        <f t="shared" si="1"/>
        <v>4280</v>
      </c>
      <c r="N5" s="3466">
        <f t="shared" si="2"/>
        <v>3660</v>
      </c>
      <c r="O5" s="3466">
        <f t="shared" si="3"/>
        <v>950</v>
      </c>
    </row>
    <row r="6" spans="1:19">
      <c r="A6" s="3465" t="s">
        <v>399</v>
      </c>
      <c r="B6" s="3467">
        <v>4530</v>
      </c>
      <c r="C6" s="3467">
        <v>6130</v>
      </c>
      <c r="D6" s="3467">
        <v>3620</v>
      </c>
      <c r="E6" s="3467">
        <v>4940</v>
      </c>
      <c r="F6" s="3467">
        <v>2730</v>
      </c>
      <c r="G6" s="3467">
        <v>4590</v>
      </c>
      <c r="H6" s="3467">
        <v>850</v>
      </c>
      <c r="I6" s="3467">
        <v>1050</v>
      </c>
      <c r="K6" s="3465" t="s">
        <v>87</v>
      </c>
      <c r="L6" s="3466">
        <f t="shared" si="0"/>
        <v>4405</v>
      </c>
      <c r="M6" s="3466">
        <f t="shared" si="1"/>
        <v>3275</v>
      </c>
      <c r="N6" s="3466">
        <f t="shared" si="2"/>
        <v>2845</v>
      </c>
      <c r="O6" s="3466">
        <f t="shared" si="3"/>
        <v>750</v>
      </c>
    </row>
    <row r="7" spans="1:19">
      <c r="A7" s="3465" t="s">
        <v>87</v>
      </c>
      <c r="B7" s="3467">
        <v>3720</v>
      </c>
      <c r="C7" s="3467">
        <v>5090</v>
      </c>
      <c r="D7" s="3467">
        <v>2650</v>
      </c>
      <c r="E7" s="3467">
        <v>3900</v>
      </c>
      <c r="F7" s="3467">
        <v>2090</v>
      </c>
      <c r="G7" s="3467">
        <v>3600</v>
      </c>
      <c r="H7" s="3467">
        <v>600</v>
      </c>
      <c r="I7" s="3467">
        <v>900</v>
      </c>
      <c r="K7" s="3465" t="s">
        <v>480</v>
      </c>
      <c r="L7" s="3466">
        <f t="shared" si="0"/>
        <v>3360</v>
      </c>
      <c r="M7" s="3466">
        <f t="shared" si="1"/>
        <v>2375</v>
      </c>
      <c r="N7" s="3466">
        <f t="shared" si="2"/>
        <v>2145</v>
      </c>
      <c r="O7" s="3466">
        <f t="shared" si="3"/>
        <v>550</v>
      </c>
    </row>
    <row r="8" spans="1:19">
      <c r="A8" s="3465" t="s">
        <v>480</v>
      </c>
      <c r="B8" s="3467">
        <v>2720</v>
      </c>
      <c r="C8" s="3467">
        <v>4000</v>
      </c>
      <c r="D8" s="3467">
        <v>1960</v>
      </c>
      <c r="E8" s="3467">
        <v>2790</v>
      </c>
      <c r="F8" s="3467">
        <v>1500</v>
      </c>
      <c r="G8" s="3467">
        <v>2790</v>
      </c>
      <c r="H8" s="3467">
        <v>420</v>
      </c>
      <c r="I8" s="3467">
        <v>680</v>
      </c>
      <c r="K8" s="3465" t="s">
        <v>70</v>
      </c>
      <c r="L8" s="3466">
        <f t="shared" si="0"/>
        <v>2435</v>
      </c>
      <c r="M8" s="3466">
        <f t="shared" si="1"/>
        <v>1685</v>
      </c>
      <c r="N8" s="3466">
        <f t="shared" si="2"/>
        <v>1440</v>
      </c>
      <c r="O8" s="3466">
        <f t="shared" si="3"/>
        <v>410</v>
      </c>
    </row>
    <row r="9" spans="1:19">
      <c r="A9" s="3465" t="s">
        <v>70</v>
      </c>
      <c r="B9" s="3467">
        <v>1970</v>
      </c>
      <c r="C9" s="3467">
        <v>2900</v>
      </c>
      <c r="D9" s="3467">
        <v>1290</v>
      </c>
      <c r="E9" s="3467">
        <v>2080</v>
      </c>
      <c r="F9" s="3467">
        <v>1060</v>
      </c>
      <c r="G9" s="3467">
        <v>1820</v>
      </c>
      <c r="H9" s="3467">
        <v>310</v>
      </c>
      <c r="I9" s="3467">
        <v>510</v>
      </c>
      <c r="K9" s="3465" t="s">
        <v>483</v>
      </c>
      <c r="L9" s="3466">
        <f t="shared" si="0"/>
        <v>1565</v>
      </c>
      <c r="M9" s="3466">
        <f t="shared" si="1"/>
        <v>1100</v>
      </c>
      <c r="N9" s="3466">
        <f t="shared" si="2"/>
        <v>855</v>
      </c>
      <c r="O9" s="3466">
        <f t="shared" si="3"/>
        <v>275</v>
      </c>
    </row>
    <row r="10" spans="1:19">
      <c r="A10" s="3465" t="s">
        <v>483</v>
      </c>
      <c r="B10" s="3467">
        <v>1150</v>
      </c>
      <c r="C10" s="3467">
        <v>1980</v>
      </c>
      <c r="D10" s="3467">
        <v>880</v>
      </c>
      <c r="E10" s="3467">
        <v>1320</v>
      </c>
      <c r="F10" s="3467">
        <v>630</v>
      </c>
      <c r="G10" s="3467">
        <v>1080</v>
      </c>
      <c r="H10" s="3467">
        <v>220</v>
      </c>
      <c r="I10" s="3467">
        <v>330</v>
      </c>
      <c r="K10" s="3465" t="s">
        <v>485</v>
      </c>
      <c r="L10" s="3466">
        <f t="shared" si="0"/>
        <v>855</v>
      </c>
      <c r="M10" s="3466">
        <f t="shared" si="1"/>
        <v>665</v>
      </c>
      <c r="N10" s="3466">
        <f t="shared" si="2"/>
        <v>490</v>
      </c>
      <c r="O10" s="3466">
        <f t="shared" si="3"/>
        <v>195</v>
      </c>
    </row>
    <row r="11" spans="1:19">
      <c r="A11" s="3465" t="s">
        <v>485</v>
      </c>
      <c r="B11" s="3467">
        <v>530</v>
      </c>
      <c r="C11" s="3467">
        <v>1180</v>
      </c>
      <c r="D11" s="3467">
        <v>430</v>
      </c>
      <c r="E11" s="3467">
        <v>900</v>
      </c>
      <c r="F11" s="3467">
        <v>330</v>
      </c>
      <c r="G11" s="3467">
        <v>650</v>
      </c>
      <c r="H11" s="3467">
        <v>150</v>
      </c>
      <c r="I11" s="3467">
        <v>240</v>
      </c>
      <c r="K11" s="3465" t="s">
        <v>487</v>
      </c>
      <c r="L11" s="3466">
        <f t="shared" si="0"/>
        <v>395</v>
      </c>
      <c r="M11" s="3466">
        <f t="shared" si="1"/>
        <v>325</v>
      </c>
      <c r="N11" s="3466">
        <f t="shared" si="2"/>
        <v>275</v>
      </c>
      <c r="O11" s="3466">
        <f t="shared" si="3"/>
        <v>135</v>
      </c>
    </row>
    <row r="12" spans="1:19">
      <c r="A12" s="3465" t="s">
        <v>487</v>
      </c>
      <c r="B12" s="3467">
        <v>250</v>
      </c>
      <c r="C12" s="3467">
        <v>540</v>
      </c>
      <c r="D12" s="3467">
        <v>200</v>
      </c>
      <c r="E12" s="3467">
        <v>450</v>
      </c>
      <c r="F12" s="3467">
        <v>180</v>
      </c>
      <c r="G12" s="3467">
        <v>370</v>
      </c>
      <c r="H12" s="3467">
        <v>100</v>
      </c>
      <c r="I12" s="3467">
        <v>170</v>
      </c>
      <c r="K12" s="3465" t="s">
        <v>491</v>
      </c>
      <c r="L12" s="3466">
        <f t="shared" si="0"/>
        <v>200</v>
      </c>
      <c r="M12" s="3466">
        <f t="shared" si="1"/>
        <v>200</v>
      </c>
      <c r="N12" s="3466">
        <f t="shared" si="2"/>
        <v>200</v>
      </c>
      <c r="O12" s="3466"/>
    </row>
    <row r="13" spans="1:19" ht="14.25" thickBot="1">
      <c r="A13" s="3465" t="s">
        <v>491</v>
      </c>
      <c r="B13" s="3467">
        <v>140</v>
      </c>
      <c r="C13" s="3467">
        <v>260</v>
      </c>
      <c r="D13" s="3467">
        <v>140</v>
      </c>
      <c r="E13" s="3467">
        <v>260</v>
      </c>
      <c r="F13" s="3467">
        <v>140</v>
      </c>
      <c r="G13" s="3467">
        <v>260</v>
      </c>
      <c r="H13" s="3467"/>
      <c r="I13" s="3467"/>
    </row>
    <row r="14" spans="1:19">
      <c r="A14" s="3468" t="s">
        <v>3512</v>
      </c>
      <c r="B14" s="3465" t="s">
        <v>3510</v>
      </c>
      <c r="C14" s="3465" t="s">
        <v>3511</v>
      </c>
      <c r="D14" s="3465" t="s">
        <v>3510</v>
      </c>
      <c r="E14" s="3465" t="s">
        <v>3511</v>
      </c>
      <c r="F14" s="3465" t="s">
        <v>3510</v>
      </c>
      <c r="G14" s="3465" t="s">
        <v>3511</v>
      </c>
      <c r="H14" s="3465" t="s">
        <v>3510</v>
      </c>
      <c r="I14" s="3469" t="s">
        <v>3511</v>
      </c>
      <c r="L14" s="3470" t="s">
        <v>3405</v>
      </c>
      <c r="M14" s="3462" t="s">
        <v>3406</v>
      </c>
      <c r="N14" s="3462" t="s">
        <v>729</v>
      </c>
      <c r="O14" s="3471" t="s">
        <v>3489</v>
      </c>
      <c r="P14" s="3470" t="s">
        <v>3405</v>
      </c>
      <c r="Q14" s="3462" t="s">
        <v>3406</v>
      </c>
      <c r="R14" s="3462" t="s">
        <v>729</v>
      </c>
      <c r="S14" s="3471" t="s">
        <v>3489</v>
      </c>
    </row>
    <row r="15" spans="1:19" ht="14.25">
      <c r="A15" s="3465" t="s">
        <v>161</v>
      </c>
      <c r="B15" s="3467">
        <v>2660</v>
      </c>
      <c r="C15" s="3467">
        <v>4900</v>
      </c>
      <c r="D15" s="3467">
        <v>1640</v>
      </c>
      <c r="E15" s="3467">
        <v>4500</v>
      </c>
      <c r="F15" s="3467">
        <v>1710</v>
      </c>
      <c r="G15" s="3467">
        <v>3000</v>
      </c>
      <c r="H15" s="3472">
        <v>420</v>
      </c>
      <c r="I15" s="3473">
        <v>850</v>
      </c>
      <c r="K15" s="3474" t="s">
        <v>161</v>
      </c>
      <c r="L15" s="3475">
        <v>2660</v>
      </c>
      <c r="M15" s="3467">
        <v>1640</v>
      </c>
      <c r="N15" s="3467">
        <v>1710</v>
      </c>
      <c r="O15" s="3476">
        <v>420</v>
      </c>
      <c r="P15" s="3475">
        <v>4900</v>
      </c>
      <c r="Q15" s="3467">
        <v>4500</v>
      </c>
      <c r="R15" s="3467">
        <v>3000</v>
      </c>
      <c r="S15" s="3477">
        <v>850</v>
      </c>
    </row>
    <row r="16" spans="1:19" ht="14.25">
      <c r="A16" s="3465" t="s">
        <v>221</v>
      </c>
      <c r="B16" s="3467">
        <v>1680</v>
      </c>
      <c r="C16" s="3467">
        <v>3120</v>
      </c>
      <c r="D16" s="3467">
        <v>1460</v>
      </c>
      <c r="E16" s="3467">
        <v>2200</v>
      </c>
      <c r="F16" s="3467">
        <v>900</v>
      </c>
      <c r="G16" s="3467">
        <v>2100</v>
      </c>
      <c r="H16" s="3472">
        <v>430</v>
      </c>
      <c r="I16" s="3473">
        <v>530</v>
      </c>
      <c r="K16" s="3474" t="s">
        <v>221</v>
      </c>
      <c r="L16" s="3475">
        <v>1680</v>
      </c>
      <c r="M16" s="3467">
        <v>1460</v>
      </c>
      <c r="N16" s="3467">
        <v>900</v>
      </c>
      <c r="O16" s="3476">
        <v>430</v>
      </c>
      <c r="P16" s="3475">
        <v>3120</v>
      </c>
      <c r="Q16" s="3467">
        <v>2200</v>
      </c>
      <c r="R16" s="3467">
        <v>2100</v>
      </c>
      <c r="S16" s="3477">
        <v>530</v>
      </c>
    </row>
    <row r="17" spans="1:19" ht="14.25">
      <c r="A17" s="3465" t="s">
        <v>399</v>
      </c>
      <c r="B17" s="3467">
        <v>1500</v>
      </c>
      <c r="C17" s="3467">
        <v>2420</v>
      </c>
      <c r="D17" s="3467">
        <v>1130</v>
      </c>
      <c r="E17" s="3467">
        <v>1690</v>
      </c>
      <c r="F17" s="3467">
        <v>550</v>
      </c>
      <c r="G17" s="3467">
        <v>1300</v>
      </c>
      <c r="H17" s="3472">
        <v>340</v>
      </c>
      <c r="I17" s="3473">
        <v>440</v>
      </c>
      <c r="K17" s="3474" t="s">
        <v>399</v>
      </c>
      <c r="L17" s="3475">
        <v>1500</v>
      </c>
      <c r="M17" s="3467">
        <v>1130</v>
      </c>
      <c r="N17" s="3467">
        <v>550</v>
      </c>
      <c r="O17" s="3476">
        <v>340</v>
      </c>
      <c r="P17" s="3475">
        <v>2420</v>
      </c>
      <c r="Q17" s="3467">
        <v>1690</v>
      </c>
      <c r="R17" s="3467">
        <v>1300</v>
      </c>
      <c r="S17" s="3477">
        <v>440</v>
      </c>
    </row>
    <row r="18" spans="1:19" ht="14.25">
      <c r="A18" s="3465" t="s">
        <v>87</v>
      </c>
      <c r="B18" s="3467">
        <v>1240</v>
      </c>
      <c r="C18" s="3467">
        <v>1860</v>
      </c>
      <c r="D18" s="3467">
        <v>880</v>
      </c>
      <c r="E18" s="3467">
        <v>1320</v>
      </c>
      <c r="F18" s="3467">
        <v>400</v>
      </c>
      <c r="G18" s="3467">
        <v>930</v>
      </c>
      <c r="H18" s="3472">
        <v>270</v>
      </c>
      <c r="I18" s="3473">
        <v>360</v>
      </c>
      <c r="K18" s="3474" t="s">
        <v>87</v>
      </c>
      <c r="L18" s="3475">
        <v>1240</v>
      </c>
      <c r="M18" s="3467">
        <v>880</v>
      </c>
      <c r="N18" s="3467">
        <v>400</v>
      </c>
      <c r="O18" s="3476">
        <v>270</v>
      </c>
      <c r="P18" s="3475">
        <v>1860</v>
      </c>
      <c r="Q18" s="3467">
        <v>1320</v>
      </c>
      <c r="R18" s="3467">
        <v>930</v>
      </c>
      <c r="S18" s="3477">
        <v>360</v>
      </c>
    </row>
    <row r="19" spans="1:19" ht="14.25">
      <c r="A19" s="3465" t="s">
        <v>480</v>
      </c>
      <c r="B19" s="3467">
        <v>970</v>
      </c>
      <c r="C19" s="3467">
        <v>1450</v>
      </c>
      <c r="D19" s="3467">
        <v>660</v>
      </c>
      <c r="E19" s="3467">
        <v>990</v>
      </c>
      <c r="F19" s="3467">
        <v>300</v>
      </c>
      <c r="G19" s="3467">
        <v>680</v>
      </c>
      <c r="H19" s="3472">
        <v>195</v>
      </c>
      <c r="I19" s="3473">
        <v>300</v>
      </c>
      <c r="K19" s="3474" t="s">
        <v>480</v>
      </c>
      <c r="L19" s="3475">
        <v>970</v>
      </c>
      <c r="M19" s="3467">
        <v>660</v>
      </c>
      <c r="N19" s="3467">
        <v>300</v>
      </c>
      <c r="O19" s="3476">
        <v>195</v>
      </c>
      <c r="P19" s="3475">
        <v>1450</v>
      </c>
      <c r="Q19" s="3467">
        <v>990</v>
      </c>
      <c r="R19" s="3467">
        <v>680</v>
      </c>
      <c r="S19" s="3477">
        <v>300</v>
      </c>
    </row>
    <row r="20" spans="1:19" ht="14.25">
      <c r="A20" s="3465" t="s">
        <v>70</v>
      </c>
      <c r="B20" s="3467">
        <v>720</v>
      </c>
      <c r="C20" s="3467">
        <v>1090</v>
      </c>
      <c r="D20" s="3467">
        <v>500</v>
      </c>
      <c r="E20" s="3467">
        <v>740</v>
      </c>
      <c r="F20" s="3467">
        <v>190</v>
      </c>
      <c r="G20" s="3467">
        <v>430</v>
      </c>
      <c r="H20" s="3472">
        <v>135</v>
      </c>
      <c r="I20" s="3473">
        <v>225</v>
      </c>
      <c r="K20" s="3474" t="s">
        <v>70</v>
      </c>
      <c r="L20" s="3475">
        <v>720</v>
      </c>
      <c r="M20" s="3467">
        <v>500</v>
      </c>
      <c r="N20" s="3467">
        <v>190</v>
      </c>
      <c r="O20" s="3476">
        <v>135</v>
      </c>
      <c r="P20" s="3475">
        <v>1090</v>
      </c>
      <c r="Q20" s="3467">
        <v>740</v>
      </c>
      <c r="R20" s="3467">
        <v>430</v>
      </c>
      <c r="S20" s="3477">
        <v>225</v>
      </c>
    </row>
    <row r="21" spans="1:19" ht="14.25">
      <c r="A21" s="3465" t="s">
        <v>483</v>
      </c>
      <c r="B21" s="3467">
        <v>500</v>
      </c>
      <c r="C21" s="3467">
        <v>740</v>
      </c>
      <c r="D21" s="3467">
        <v>400</v>
      </c>
      <c r="E21" s="3467">
        <v>600</v>
      </c>
      <c r="F21" s="3467">
        <v>150</v>
      </c>
      <c r="G21" s="3467">
        <v>350</v>
      </c>
      <c r="H21" s="3472">
        <v>100</v>
      </c>
      <c r="I21" s="3473">
        <v>160</v>
      </c>
      <c r="K21" s="3474" t="s">
        <v>483</v>
      </c>
      <c r="L21" s="3475">
        <v>500</v>
      </c>
      <c r="M21" s="3467">
        <v>400</v>
      </c>
      <c r="N21" s="3467">
        <v>150</v>
      </c>
      <c r="O21" s="3476">
        <v>100</v>
      </c>
      <c r="P21" s="3475">
        <v>740</v>
      </c>
      <c r="Q21" s="3467">
        <v>600</v>
      </c>
      <c r="R21" s="3467">
        <v>350</v>
      </c>
      <c r="S21" s="3477">
        <v>160</v>
      </c>
    </row>
    <row r="22" spans="1:19" ht="14.25">
      <c r="A22" s="3465" t="s">
        <v>485</v>
      </c>
      <c r="B22" s="3467">
        <v>360</v>
      </c>
      <c r="C22" s="3467">
        <v>540</v>
      </c>
      <c r="D22" s="3467">
        <v>250</v>
      </c>
      <c r="E22" s="3467">
        <v>470</v>
      </c>
      <c r="F22" s="3467">
        <v>120</v>
      </c>
      <c r="G22" s="3467">
        <v>280</v>
      </c>
      <c r="H22" s="3472">
        <v>60</v>
      </c>
      <c r="I22" s="3473">
        <v>100</v>
      </c>
      <c r="K22" s="3474" t="s">
        <v>485</v>
      </c>
      <c r="L22" s="3475">
        <v>360</v>
      </c>
      <c r="M22" s="3467">
        <v>250</v>
      </c>
      <c r="N22" s="3467">
        <v>120</v>
      </c>
      <c r="O22" s="3476">
        <v>60</v>
      </c>
      <c r="P22" s="3475">
        <v>540</v>
      </c>
      <c r="Q22" s="3467">
        <v>470</v>
      </c>
      <c r="R22" s="3467">
        <v>280</v>
      </c>
      <c r="S22" s="3477">
        <v>100</v>
      </c>
    </row>
    <row r="23" spans="1:19" ht="14.25">
      <c r="A23" s="3465" t="s">
        <v>487</v>
      </c>
      <c r="B23" s="3467">
        <v>180</v>
      </c>
      <c r="C23" s="3467">
        <v>380</v>
      </c>
      <c r="D23" s="3467">
        <v>140</v>
      </c>
      <c r="E23" s="3467">
        <v>260</v>
      </c>
      <c r="F23" s="3467">
        <v>100</v>
      </c>
      <c r="G23" s="3467">
        <v>220</v>
      </c>
      <c r="H23" s="3472">
        <v>20</v>
      </c>
      <c r="I23" s="3473">
        <v>60</v>
      </c>
      <c r="K23" s="3474" t="s">
        <v>487</v>
      </c>
      <c r="L23" s="3475">
        <v>180</v>
      </c>
      <c r="M23" s="3467">
        <v>140</v>
      </c>
      <c r="N23" s="3467">
        <v>100</v>
      </c>
      <c r="O23" s="3476">
        <v>20</v>
      </c>
      <c r="P23" s="3475">
        <v>380</v>
      </c>
      <c r="Q23" s="3467">
        <v>260</v>
      </c>
      <c r="R23" s="3467">
        <v>220</v>
      </c>
      <c r="S23" s="3477">
        <v>60</v>
      </c>
    </row>
    <row r="24" spans="1:19" ht="15" thickBot="1">
      <c r="A24" s="3465" t="s">
        <v>491</v>
      </c>
      <c r="B24" s="3467">
        <v>90</v>
      </c>
      <c r="C24" s="3467">
        <v>190</v>
      </c>
      <c r="D24" s="3467">
        <v>90</v>
      </c>
      <c r="E24" s="3467">
        <v>150</v>
      </c>
      <c r="F24" s="3467">
        <v>90</v>
      </c>
      <c r="G24" s="3467">
        <v>150</v>
      </c>
      <c r="H24" s="3472"/>
      <c r="I24" s="3473"/>
      <c r="K24" s="3474" t="s">
        <v>491</v>
      </c>
      <c r="L24" s="3478">
        <v>90</v>
      </c>
      <c r="M24" s="3479">
        <v>90</v>
      </c>
      <c r="N24" s="3479">
        <v>90</v>
      </c>
      <c r="O24" s="3480"/>
      <c r="P24" s="3478">
        <v>190</v>
      </c>
      <c r="Q24" s="3479">
        <v>150</v>
      </c>
      <c r="R24" s="3479">
        <v>150</v>
      </c>
      <c r="S24" s="3481"/>
    </row>
  </sheetData>
  <phoneticPr fontId="146"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
  <sheetViews>
    <sheetView workbookViewId="0">
      <selection activeCell="I15" sqref="I15"/>
    </sheetView>
  </sheetViews>
  <sheetFormatPr defaultRowHeight="13.5"/>
  <cols>
    <col min="1" max="1" width="9" style="3486"/>
    <col min="2" max="4" width="15" style="3486" customWidth="1"/>
    <col min="5" max="7" width="15.125" style="3486" customWidth="1"/>
    <col min="8" max="16384" width="9" style="3486"/>
  </cols>
  <sheetData>
    <row r="1" spans="1:7">
      <c r="A1" s="3482" t="s">
        <v>3513</v>
      </c>
      <c r="B1" s="3483" t="s">
        <v>3514</v>
      </c>
      <c r="C1" s="3484"/>
      <c r="D1" s="3485"/>
      <c r="E1" s="3483" t="s">
        <v>3515</v>
      </c>
      <c r="F1" s="3484"/>
      <c r="G1" s="3485"/>
    </row>
    <row r="2" spans="1:7">
      <c r="A2" s="3487"/>
      <c r="B2" s="3488" t="s">
        <v>3516</v>
      </c>
      <c r="C2" s="3489" t="s">
        <v>3517</v>
      </c>
      <c r="D2" s="3718" t="s">
        <v>3608</v>
      </c>
      <c r="E2" s="3488" t="s">
        <v>3516</v>
      </c>
      <c r="F2" s="3489" t="s">
        <v>3517</v>
      </c>
      <c r="G2" s="3718" t="s">
        <v>3608</v>
      </c>
    </row>
    <row r="3" spans="1:7" ht="14.25">
      <c r="A3" s="3490">
        <v>0.1</v>
      </c>
      <c r="B3" s="3491">
        <v>1.5</v>
      </c>
      <c r="C3" s="3492">
        <v>1.4370000000000001</v>
      </c>
      <c r="D3" s="3493">
        <v>1.4179999999999999</v>
      </c>
      <c r="E3" s="3494">
        <f>ROUND(B3/1.232,3)</f>
        <v>1.218</v>
      </c>
      <c r="F3" s="3473">
        <f>ROUND(C3/1.189,3)</f>
        <v>1.2090000000000001</v>
      </c>
      <c r="G3" s="3477">
        <f>ROUND(D3/1.177,3)</f>
        <v>1.2050000000000001</v>
      </c>
    </row>
    <row r="4" spans="1:7" ht="14.25">
      <c r="A4" s="3490">
        <v>0.2</v>
      </c>
      <c r="B4" s="3491">
        <v>1.4670000000000001</v>
      </c>
      <c r="C4" s="3492">
        <v>1.4059999999999999</v>
      </c>
      <c r="D4" s="3493">
        <v>1.387</v>
      </c>
      <c r="E4" s="3494">
        <f t="shared" ref="E4:E67" si="0">ROUND(B4/1.232,3)</f>
        <v>1.1910000000000001</v>
      </c>
      <c r="F4" s="3473">
        <f t="shared" ref="F4:F67" si="1">ROUND(C4/1.189,3)</f>
        <v>1.1830000000000001</v>
      </c>
      <c r="G4" s="3477">
        <f t="shared" ref="G4:G67" si="2">ROUND(D4/1.177,3)</f>
        <v>1.1779999999999999</v>
      </c>
    </row>
    <row r="5" spans="1:7" ht="14.25">
      <c r="A5" s="3490">
        <v>0.3</v>
      </c>
      <c r="B5" s="3491">
        <v>1.4350000000000001</v>
      </c>
      <c r="C5" s="3492">
        <v>1.375</v>
      </c>
      <c r="D5" s="3493">
        <v>1.3580000000000001</v>
      </c>
      <c r="E5" s="3494">
        <f t="shared" si="0"/>
        <v>1.165</v>
      </c>
      <c r="F5" s="3473">
        <f t="shared" si="1"/>
        <v>1.1559999999999999</v>
      </c>
      <c r="G5" s="3477">
        <f t="shared" si="2"/>
        <v>1.1539999999999999</v>
      </c>
    </row>
    <row r="6" spans="1:7" ht="14.25">
      <c r="A6" s="3490">
        <v>0.4</v>
      </c>
      <c r="B6" s="3491">
        <v>1.4039999999999999</v>
      </c>
      <c r="C6" s="3492">
        <v>1.3460000000000001</v>
      </c>
      <c r="D6" s="3493">
        <v>1.329</v>
      </c>
      <c r="E6" s="3494">
        <f t="shared" si="0"/>
        <v>1.1399999999999999</v>
      </c>
      <c r="F6" s="3473">
        <f t="shared" si="1"/>
        <v>1.1319999999999999</v>
      </c>
      <c r="G6" s="3477">
        <f t="shared" si="2"/>
        <v>1.129</v>
      </c>
    </row>
    <row r="7" spans="1:7" ht="14.25">
      <c r="A7" s="3490">
        <v>0.5</v>
      </c>
      <c r="B7" s="3491">
        <v>1.3740000000000001</v>
      </c>
      <c r="C7" s="3492">
        <v>1.3180000000000001</v>
      </c>
      <c r="D7" s="3493">
        <v>1.3009999999999999</v>
      </c>
      <c r="E7" s="3494">
        <f t="shared" si="0"/>
        <v>1.115</v>
      </c>
      <c r="F7" s="3473">
        <f t="shared" si="1"/>
        <v>1.1080000000000001</v>
      </c>
      <c r="G7" s="3477">
        <f t="shared" si="2"/>
        <v>1.105</v>
      </c>
    </row>
    <row r="8" spans="1:7" ht="14.25">
      <c r="A8" s="3490">
        <v>0.6</v>
      </c>
      <c r="B8" s="3491">
        <v>1.3440000000000001</v>
      </c>
      <c r="C8" s="3492">
        <v>1.29</v>
      </c>
      <c r="D8" s="3493">
        <v>1.2749999999999999</v>
      </c>
      <c r="E8" s="3494">
        <f t="shared" si="0"/>
        <v>1.091</v>
      </c>
      <c r="F8" s="3473">
        <f t="shared" si="1"/>
        <v>1.085</v>
      </c>
      <c r="G8" s="3477">
        <f t="shared" si="2"/>
        <v>1.083</v>
      </c>
    </row>
    <row r="9" spans="1:7" ht="14.25">
      <c r="A9" s="3490">
        <v>0.7</v>
      </c>
      <c r="B9" s="3491">
        <v>1.3149999999999999</v>
      </c>
      <c r="C9" s="3492">
        <v>1.2629999999999999</v>
      </c>
      <c r="D9" s="3493">
        <v>1.2490000000000001</v>
      </c>
      <c r="E9" s="3494">
        <f t="shared" si="0"/>
        <v>1.0669999999999999</v>
      </c>
      <c r="F9" s="3473">
        <f t="shared" si="1"/>
        <v>1.0620000000000001</v>
      </c>
      <c r="G9" s="3477">
        <f t="shared" si="2"/>
        <v>1.0609999999999999</v>
      </c>
    </row>
    <row r="10" spans="1:7" ht="14.25">
      <c r="A10" s="3490">
        <v>0.8</v>
      </c>
      <c r="B10" s="3491">
        <v>1.2869999999999999</v>
      </c>
      <c r="C10" s="3492">
        <v>1.238</v>
      </c>
      <c r="D10" s="3493">
        <v>1.224</v>
      </c>
      <c r="E10" s="3494">
        <f t="shared" si="0"/>
        <v>1.0449999999999999</v>
      </c>
      <c r="F10" s="3473">
        <f t="shared" si="1"/>
        <v>1.0409999999999999</v>
      </c>
      <c r="G10" s="3477">
        <f t="shared" si="2"/>
        <v>1.04</v>
      </c>
    </row>
    <row r="11" spans="1:7" ht="14.25">
      <c r="A11" s="3490">
        <v>0.9</v>
      </c>
      <c r="B11" s="3491">
        <v>1.2589999999999999</v>
      </c>
      <c r="C11" s="3492">
        <v>1.2130000000000001</v>
      </c>
      <c r="D11" s="3493">
        <v>1.2</v>
      </c>
      <c r="E11" s="3494">
        <f t="shared" si="0"/>
        <v>1.022</v>
      </c>
      <c r="F11" s="3473">
        <f t="shared" si="1"/>
        <v>1.02</v>
      </c>
      <c r="G11" s="3477">
        <f t="shared" si="2"/>
        <v>1.02</v>
      </c>
    </row>
    <row r="12" spans="1:7" ht="14.25">
      <c r="A12" s="3490">
        <v>1</v>
      </c>
      <c r="B12" s="3491">
        <v>1.232</v>
      </c>
      <c r="C12" s="3492">
        <v>1.1890000000000001</v>
      </c>
      <c r="D12" s="3493">
        <v>1.177</v>
      </c>
      <c r="E12" s="3494">
        <f t="shared" si="0"/>
        <v>1</v>
      </c>
      <c r="F12" s="3473">
        <f t="shared" si="1"/>
        <v>1</v>
      </c>
      <c r="G12" s="3477">
        <f t="shared" si="2"/>
        <v>1</v>
      </c>
    </row>
    <row r="13" spans="1:7" ht="14.25">
      <c r="A13" s="3490">
        <v>1.1000000000000001</v>
      </c>
      <c r="B13" s="3491">
        <v>1.2050000000000001</v>
      </c>
      <c r="C13" s="3492">
        <v>1.1659999999999999</v>
      </c>
      <c r="D13" s="3493">
        <v>1.155</v>
      </c>
      <c r="E13" s="3494">
        <f t="shared" si="0"/>
        <v>0.97799999999999998</v>
      </c>
      <c r="F13" s="3473">
        <f t="shared" si="1"/>
        <v>0.98099999999999998</v>
      </c>
      <c r="G13" s="3477">
        <f t="shared" si="2"/>
        <v>0.98099999999999998</v>
      </c>
    </row>
    <row r="14" spans="1:7" ht="14.25">
      <c r="A14" s="3490">
        <v>1.2</v>
      </c>
      <c r="B14" s="3491">
        <v>1.18</v>
      </c>
      <c r="C14" s="3492">
        <v>1.1439999999999999</v>
      </c>
      <c r="D14" s="3493">
        <v>1.1339999999999999</v>
      </c>
      <c r="E14" s="3494">
        <f t="shared" si="0"/>
        <v>0.95799999999999996</v>
      </c>
      <c r="F14" s="3473">
        <f t="shared" si="1"/>
        <v>0.96199999999999997</v>
      </c>
      <c r="G14" s="3477">
        <f t="shared" si="2"/>
        <v>0.96299999999999997</v>
      </c>
    </row>
    <row r="15" spans="1:7" ht="14.25">
      <c r="A15" s="3490">
        <v>1.3</v>
      </c>
      <c r="B15" s="3491">
        <v>1.155</v>
      </c>
      <c r="C15" s="3492">
        <v>1.123</v>
      </c>
      <c r="D15" s="3493">
        <v>1.1140000000000001</v>
      </c>
      <c r="E15" s="3494">
        <f t="shared" si="0"/>
        <v>0.93799999999999994</v>
      </c>
      <c r="F15" s="3473">
        <f t="shared" si="1"/>
        <v>0.94399999999999995</v>
      </c>
      <c r="G15" s="3477">
        <f t="shared" si="2"/>
        <v>0.94599999999999995</v>
      </c>
    </row>
    <row r="16" spans="1:7" ht="14.25">
      <c r="A16" s="3490">
        <v>1.4</v>
      </c>
      <c r="B16" s="3491">
        <v>1.131</v>
      </c>
      <c r="C16" s="3492">
        <v>1.103</v>
      </c>
      <c r="D16" s="3493">
        <v>1.095</v>
      </c>
      <c r="E16" s="3494">
        <f t="shared" si="0"/>
        <v>0.91800000000000004</v>
      </c>
      <c r="F16" s="3473">
        <f t="shared" si="1"/>
        <v>0.92800000000000005</v>
      </c>
      <c r="G16" s="3477">
        <f t="shared" si="2"/>
        <v>0.93</v>
      </c>
    </row>
    <row r="17" spans="1:20" ht="14.25">
      <c r="A17" s="3490">
        <v>1.5</v>
      </c>
      <c r="B17" s="3491">
        <v>1.107</v>
      </c>
      <c r="C17" s="3492">
        <v>1.083</v>
      </c>
      <c r="D17" s="3493">
        <v>1.077</v>
      </c>
      <c r="E17" s="3494">
        <f t="shared" si="0"/>
        <v>0.89900000000000002</v>
      </c>
      <c r="F17" s="3473">
        <f t="shared" si="1"/>
        <v>0.91100000000000003</v>
      </c>
      <c r="G17" s="3477">
        <f t="shared" si="2"/>
        <v>0.91500000000000004</v>
      </c>
    </row>
    <row r="18" spans="1:20" ht="14.25">
      <c r="A18" s="3490">
        <v>1.6</v>
      </c>
      <c r="B18" s="3491">
        <v>1.0840000000000001</v>
      </c>
      <c r="C18" s="3492">
        <v>1.0649999999999999</v>
      </c>
      <c r="D18" s="3493">
        <v>1.06</v>
      </c>
      <c r="E18" s="3494">
        <f t="shared" si="0"/>
        <v>0.88</v>
      </c>
      <c r="F18" s="3473">
        <f t="shared" si="1"/>
        <v>0.89600000000000002</v>
      </c>
      <c r="G18" s="3477">
        <f t="shared" si="2"/>
        <v>0.90100000000000002</v>
      </c>
    </row>
    <row r="19" spans="1:20" ht="14.25">
      <c r="A19" s="3490">
        <v>1.7</v>
      </c>
      <c r="B19" s="3491">
        <v>1.0620000000000001</v>
      </c>
      <c r="C19" s="3492">
        <v>1.0469999999999999</v>
      </c>
      <c r="D19" s="3493">
        <v>1.0429999999999999</v>
      </c>
      <c r="E19" s="3494">
        <f t="shared" si="0"/>
        <v>0.86199999999999999</v>
      </c>
      <c r="F19" s="3473">
        <f t="shared" si="1"/>
        <v>0.88100000000000001</v>
      </c>
      <c r="G19" s="3477">
        <f t="shared" si="2"/>
        <v>0.88600000000000001</v>
      </c>
    </row>
    <row r="20" spans="1:20" ht="14.25">
      <c r="A20" s="3490">
        <v>1.8</v>
      </c>
      <c r="B20" s="3491">
        <v>1.0409999999999999</v>
      </c>
      <c r="C20" s="3492">
        <v>1.0309999999999999</v>
      </c>
      <c r="D20" s="3493">
        <v>1.028</v>
      </c>
      <c r="E20" s="3494">
        <f t="shared" si="0"/>
        <v>0.84499999999999997</v>
      </c>
      <c r="F20" s="3473">
        <f t="shared" si="1"/>
        <v>0.86699999999999999</v>
      </c>
      <c r="G20" s="3477">
        <f t="shared" si="2"/>
        <v>0.873</v>
      </c>
    </row>
    <row r="21" spans="1:20" ht="14.25">
      <c r="A21" s="3490">
        <v>1.9</v>
      </c>
      <c r="B21" s="3491">
        <v>1.02</v>
      </c>
      <c r="C21" s="3492">
        <v>1.0149999999999999</v>
      </c>
      <c r="D21" s="3493">
        <v>1.014</v>
      </c>
      <c r="E21" s="3494">
        <f t="shared" si="0"/>
        <v>0.82799999999999996</v>
      </c>
      <c r="F21" s="3473">
        <f t="shared" si="1"/>
        <v>0.85399999999999998</v>
      </c>
      <c r="G21" s="3477">
        <f t="shared" si="2"/>
        <v>0.86199999999999999</v>
      </c>
    </row>
    <row r="22" spans="1:20" ht="14.25">
      <c r="A22" s="3490">
        <v>2</v>
      </c>
      <c r="B22" s="3491">
        <v>1</v>
      </c>
      <c r="C22" s="3492">
        <v>1</v>
      </c>
      <c r="D22" s="3493">
        <v>1</v>
      </c>
      <c r="E22" s="3494">
        <f t="shared" si="0"/>
        <v>0.81200000000000006</v>
      </c>
      <c r="F22" s="3473">
        <f t="shared" si="1"/>
        <v>0.84099999999999997</v>
      </c>
      <c r="G22" s="3477">
        <f t="shared" si="2"/>
        <v>0.85</v>
      </c>
    </row>
    <row r="23" spans="1:20" ht="14.25">
      <c r="A23" s="3495">
        <v>2.1</v>
      </c>
      <c r="B23" s="3496">
        <v>0.98</v>
      </c>
      <c r="C23" s="3492">
        <v>0.98599999999999999</v>
      </c>
      <c r="D23" s="3493">
        <v>0.98799999999999999</v>
      </c>
      <c r="E23" s="3494">
        <f t="shared" si="0"/>
        <v>0.79500000000000004</v>
      </c>
      <c r="F23" s="3473">
        <f t="shared" si="1"/>
        <v>0.82899999999999996</v>
      </c>
      <c r="G23" s="3477">
        <f t="shared" si="2"/>
        <v>0.83899999999999997</v>
      </c>
      <c r="H23" s="3497"/>
      <c r="I23" s="3498"/>
      <c r="J23" s="3498"/>
      <c r="K23" s="3497"/>
      <c r="L23" s="3497"/>
      <c r="M23" s="3497"/>
      <c r="N23" s="3497"/>
      <c r="O23" s="3497"/>
      <c r="P23" s="3497"/>
      <c r="Q23" s="3498"/>
      <c r="R23" s="3498"/>
      <c r="S23" s="3497"/>
      <c r="T23" s="3497"/>
    </row>
    <row r="24" spans="1:20" ht="14.25">
      <c r="A24" s="3495">
        <v>2.2000000000000002</v>
      </c>
      <c r="B24" s="3496">
        <v>0.96199999999999997</v>
      </c>
      <c r="C24" s="3492">
        <v>0.97299999999999998</v>
      </c>
      <c r="D24" s="3493">
        <v>0.97599999999999998</v>
      </c>
      <c r="E24" s="3494">
        <f t="shared" si="0"/>
        <v>0.78100000000000003</v>
      </c>
      <c r="F24" s="3473">
        <f t="shared" si="1"/>
        <v>0.81799999999999995</v>
      </c>
      <c r="G24" s="3477">
        <f t="shared" si="2"/>
        <v>0.82899999999999996</v>
      </c>
      <c r="H24" s="3497"/>
      <c r="I24" s="3498"/>
      <c r="J24" s="3498"/>
      <c r="K24" s="3497"/>
      <c r="L24" s="3497"/>
      <c r="M24" s="3497"/>
      <c r="N24" s="3497"/>
      <c r="O24" s="3497"/>
      <c r="P24" s="3497"/>
      <c r="Q24" s="3498"/>
      <c r="R24" s="3498"/>
      <c r="S24" s="3497"/>
      <c r="T24" s="3497"/>
    </row>
    <row r="25" spans="1:20" ht="14.25">
      <c r="A25" s="3495">
        <v>2.2999999999999998</v>
      </c>
      <c r="B25" s="3496">
        <v>0.94399999999999995</v>
      </c>
      <c r="C25" s="3492">
        <v>0.96099999999999997</v>
      </c>
      <c r="D25" s="3493">
        <v>0.96599999999999997</v>
      </c>
      <c r="E25" s="3494">
        <f t="shared" si="0"/>
        <v>0.76600000000000001</v>
      </c>
      <c r="F25" s="3473">
        <f t="shared" si="1"/>
        <v>0.80800000000000005</v>
      </c>
      <c r="G25" s="3477">
        <f t="shared" si="2"/>
        <v>0.82099999999999995</v>
      </c>
      <c r="H25" s="3497"/>
      <c r="I25" s="3498"/>
      <c r="J25" s="3498"/>
      <c r="K25" s="3497"/>
      <c r="L25" s="3497"/>
      <c r="M25" s="3497"/>
      <c r="N25" s="3497"/>
      <c r="O25" s="3497"/>
      <c r="P25" s="3497"/>
      <c r="Q25" s="3498"/>
      <c r="R25" s="3498"/>
      <c r="S25" s="3497"/>
      <c r="T25" s="3497"/>
    </row>
    <row r="26" spans="1:20" ht="14.25">
      <c r="A26" s="3495">
        <v>2.4</v>
      </c>
      <c r="B26" s="3496">
        <v>0.92600000000000005</v>
      </c>
      <c r="C26" s="3492">
        <v>0.95</v>
      </c>
      <c r="D26" s="3493">
        <v>0.95599999999999996</v>
      </c>
      <c r="E26" s="3494">
        <f t="shared" si="0"/>
        <v>0.752</v>
      </c>
      <c r="F26" s="3473">
        <f t="shared" si="1"/>
        <v>0.79900000000000004</v>
      </c>
      <c r="G26" s="3477">
        <f t="shared" si="2"/>
        <v>0.81200000000000006</v>
      </c>
      <c r="H26" s="3497"/>
      <c r="I26" s="3498"/>
      <c r="J26" s="3498"/>
      <c r="K26" s="3497"/>
      <c r="L26" s="3497"/>
      <c r="M26" s="3497"/>
      <c r="N26" s="3497"/>
      <c r="O26" s="3497"/>
      <c r="P26" s="3497"/>
      <c r="Q26" s="3498"/>
      <c r="R26" s="3498"/>
      <c r="S26" s="3497"/>
      <c r="T26" s="3497"/>
    </row>
    <row r="27" spans="1:20" ht="14.25">
      <c r="A27" s="3495">
        <v>2.5</v>
      </c>
      <c r="B27" s="3496">
        <v>0.91</v>
      </c>
      <c r="C27" s="3492">
        <v>0.94</v>
      </c>
      <c r="D27" s="3493">
        <v>0.94699999999999995</v>
      </c>
      <c r="E27" s="3494">
        <f t="shared" si="0"/>
        <v>0.73899999999999999</v>
      </c>
      <c r="F27" s="3473">
        <f t="shared" si="1"/>
        <v>0.79100000000000004</v>
      </c>
      <c r="G27" s="3477">
        <f t="shared" si="2"/>
        <v>0.80500000000000005</v>
      </c>
      <c r="H27" s="3497"/>
      <c r="I27" s="3498"/>
      <c r="J27" s="3498"/>
      <c r="K27" s="3497"/>
      <c r="L27" s="3497"/>
      <c r="M27" s="3497"/>
      <c r="N27" s="3497"/>
      <c r="O27" s="3497"/>
      <c r="P27" s="3497"/>
      <c r="Q27" s="3498"/>
      <c r="R27" s="3498"/>
      <c r="S27" s="3497"/>
      <c r="T27" s="3497"/>
    </row>
    <row r="28" spans="1:20" ht="14.25">
      <c r="A28" s="3495">
        <v>2.6</v>
      </c>
      <c r="B28" s="3496">
        <v>0.89400000000000002</v>
      </c>
      <c r="C28" s="3492">
        <v>0.93100000000000005</v>
      </c>
      <c r="D28" s="3493">
        <v>0.94</v>
      </c>
      <c r="E28" s="3494">
        <f t="shared" si="0"/>
        <v>0.72599999999999998</v>
      </c>
      <c r="F28" s="3473">
        <f t="shared" si="1"/>
        <v>0.78300000000000003</v>
      </c>
      <c r="G28" s="3477">
        <f t="shared" si="2"/>
        <v>0.79900000000000004</v>
      </c>
      <c r="H28" s="3497"/>
      <c r="I28" s="3498"/>
      <c r="J28" s="3498"/>
      <c r="K28" s="3497"/>
      <c r="L28" s="3497"/>
      <c r="M28" s="3497"/>
      <c r="N28" s="3497"/>
      <c r="O28" s="3497"/>
      <c r="P28" s="3497"/>
      <c r="Q28" s="3498"/>
      <c r="R28" s="3498"/>
      <c r="S28" s="3497"/>
      <c r="T28" s="3497"/>
    </row>
    <row r="29" spans="1:20" ht="14.25">
      <c r="A29" s="3495">
        <v>2.7</v>
      </c>
      <c r="B29" s="3496">
        <v>0.879</v>
      </c>
      <c r="C29" s="3492">
        <v>0.92200000000000004</v>
      </c>
      <c r="D29" s="3493">
        <v>0.93300000000000005</v>
      </c>
      <c r="E29" s="3494">
        <f t="shared" si="0"/>
        <v>0.71299999999999997</v>
      </c>
      <c r="F29" s="3473">
        <f t="shared" si="1"/>
        <v>0.77500000000000002</v>
      </c>
      <c r="G29" s="3477">
        <f t="shared" si="2"/>
        <v>0.79300000000000004</v>
      </c>
      <c r="H29" s="3497"/>
      <c r="I29" s="3498"/>
      <c r="J29" s="3498"/>
      <c r="K29" s="3497"/>
      <c r="L29" s="3497"/>
      <c r="M29" s="3497"/>
      <c r="N29" s="3497"/>
      <c r="O29" s="3497"/>
      <c r="P29" s="3497"/>
      <c r="Q29" s="3498"/>
      <c r="R29" s="3498"/>
      <c r="S29" s="3497"/>
      <c r="T29" s="3497"/>
    </row>
    <row r="30" spans="1:20" ht="14.25">
      <c r="A30" s="3495">
        <v>2.8</v>
      </c>
      <c r="B30" s="3496">
        <v>0.86399999999999999</v>
      </c>
      <c r="C30" s="3492">
        <v>0.91500000000000004</v>
      </c>
      <c r="D30" s="3493">
        <v>0.92700000000000005</v>
      </c>
      <c r="E30" s="3494">
        <f t="shared" si="0"/>
        <v>0.70099999999999996</v>
      </c>
      <c r="F30" s="3473">
        <f t="shared" si="1"/>
        <v>0.77</v>
      </c>
      <c r="G30" s="3477">
        <f t="shared" si="2"/>
        <v>0.78800000000000003</v>
      </c>
      <c r="H30" s="3497"/>
      <c r="I30" s="3498"/>
      <c r="J30" s="3498"/>
      <c r="K30" s="3497"/>
      <c r="L30" s="3497"/>
      <c r="M30" s="3497"/>
      <c r="N30" s="3497"/>
      <c r="O30" s="3497"/>
      <c r="P30" s="3497"/>
      <c r="Q30" s="3498"/>
      <c r="R30" s="3498"/>
      <c r="S30" s="3497"/>
      <c r="T30" s="3497"/>
    </row>
    <row r="31" spans="1:20" ht="14.25">
      <c r="A31" s="3495">
        <v>2.9</v>
      </c>
      <c r="B31" s="3496">
        <v>0.85</v>
      </c>
      <c r="C31" s="3492">
        <v>0.90800000000000003</v>
      </c>
      <c r="D31" s="3493">
        <v>0.92200000000000004</v>
      </c>
      <c r="E31" s="3494">
        <f t="shared" si="0"/>
        <v>0.69</v>
      </c>
      <c r="F31" s="3473">
        <f t="shared" si="1"/>
        <v>0.76400000000000001</v>
      </c>
      <c r="G31" s="3477">
        <f t="shared" si="2"/>
        <v>0.78300000000000003</v>
      </c>
      <c r="H31" s="3497"/>
      <c r="I31" s="3498"/>
      <c r="J31" s="3498"/>
      <c r="K31" s="3497"/>
      <c r="L31" s="3497"/>
      <c r="M31" s="3497"/>
      <c r="N31" s="3497"/>
      <c r="O31" s="3497"/>
      <c r="P31" s="3497"/>
      <c r="Q31" s="3498"/>
      <c r="R31" s="3498"/>
      <c r="S31" s="3497"/>
      <c r="T31" s="3497"/>
    </row>
    <row r="32" spans="1:20" ht="14.25">
      <c r="A32" s="3495">
        <v>3</v>
      </c>
      <c r="B32" s="3496">
        <v>0.83699999999999997</v>
      </c>
      <c r="C32" s="3492">
        <v>0.90300000000000002</v>
      </c>
      <c r="D32" s="3493">
        <v>0.91800000000000004</v>
      </c>
      <c r="E32" s="3494">
        <f t="shared" si="0"/>
        <v>0.67900000000000005</v>
      </c>
      <c r="F32" s="3473">
        <f t="shared" si="1"/>
        <v>0.75900000000000001</v>
      </c>
      <c r="G32" s="3477">
        <f t="shared" si="2"/>
        <v>0.78</v>
      </c>
      <c r="H32" s="3497"/>
      <c r="I32" s="3498"/>
      <c r="J32" s="3498"/>
      <c r="K32" s="3497"/>
      <c r="L32" s="3497"/>
      <c r="M32" s="3497"/>
      <c r="N32" s="3497"/>
      <c r="O32" s="3497"/>
      <c r="P32" s="3497"/>
      <c r="Q32" s="3498"/>
      <c r="R32" s="3498"/>
      <c r="S32" s="3497"/>
      <c r="T32" s="3497"/>
    </row>
    <row r="33" spans="1:20" ht="14.25">
      <c r="A33" s="3495">
        <v>3.1</v>
      </c>
      <c r="B33" s="3496">
        <v>0.82499999999999996</v>
      </c>
      <c r="C33" s="3492">
        <v>0.89800000000000002</v>
      </c>
      <c r="D33" s="3493">
        <v>0.91500000000000004</v>
      </c>
      <c r="E33" s="3494">
        <f t="shared" si="0"/>
        <v>0.67</v>
      </c>
      <c r="F33" s="3473">
        <f t="shared" si="1"/>
        <v>0.755</v>
      </c>
      <c r="G33" s="3477">
        <f t="shared" si="2"/>
        <v>0.77700000000000002</v>
      </c>
      <c r="H33" s="3497"/>
      <c r="I33" s="3498"/>
      <c r="J33" s="3498"/>
      <c r="K33" s="3497"/>
      <c r="L33" s="3497"/>
      <c r="M33" s="3497"/>
      <c r="N33" s="3497"/>
      <c r="O33" s="3497"/>
      <c r="P33" s="3497"/>
      <c r="Q33" s="3498"/>
      <c r="R33" s="3498"/>
      <c r="S33" s="3497"/>
      <c r="T33" s="3497"/>
    </row>
    <row r="34" spans="1:20" ht="14.25">
      <c r="A34" s="3495">
        <v>3.2</v>
      </c>
      <c r="B34" s="3496">
        <v>0.81299999999999994</v>
      </c>
      <c r="C34" s="3492">
        <v>0.89400000000000002</v>
      </c>
      <c r="D34" s="3493">
        <v>0.91300000000000003</v>
      </c>
      <c r="E34" s="3494">
        <f t="shared" si="0"/>
        <v>0.66</v>
      </c>
      <c r="F34" s="3473">
        <f t="shared" si="1"/>
        <v>0.752</v>
      </c>
      <c r="G34" s="3477">
        <f t="shared" si="2"/>
        <v>0.77600000000000002</v>
      </c>
      <c r="H34" s="3497"/>
      <c r="I34" s="3498"/>
      <c r="J34" s="3498"/>
      <c r="K34" s="3497"/>
      <c r="L34" s="3497"/>
      <c r="M34" s="3497"/>
      <c r="N34" s="3497"/>
      <c r="O34" s="3497"/>
      <c r="P34" s="3497"/>
      <c r="Q34" s="3498"/>
      <c r="R34" s="3498"/>
      <c r="S34" s="3497"/>
      <c r="T34" s="3497"/>
    </row>
    <row r="35" spans="1:20" ht="14.25">
      <c r="A35" s="3495">
        <v>3.3</v>
      </c>
      <c r="B35" s="3496">
        <v>0.80200000000000005</v>
      </c>
      <c r="C35" s="3492">
        <v>0.89100000000000001</v>
      </c>
      <c r="D35" s="3493">
        <v>0.91200000000000003</v>
      </c>
      <c r="E35" s="3494">
        <f t="shared" si="0"/>
        <v>0.65100000000000002</v>
      </c>
      <c r="F35" s="3473">
        <f t="shared" si="1"/>
        <v>0.749</v>
      </c>
      <c r="G35" s="3477">
        <f t="shared" si="2"/>
        <v>0.77500000000000002</v>
      </c>
      <c r="H35" s="3497"/>
      <c r="I35" s="3498"/>
      <c r="J35" s="3498"/>
      <c r="K35" s="3497"/>
      <c r="L35" s="3497"/>
      <c r="M35" s="3497"/>
      <c r="N35" s="3497"/>
      <c r="O35" s="3497"/>
      <c r="P35" s="3497"/>
      <c r="Q35" s="3498"/>
      <c r="R35" s="3498"/>
      <c r="S35" s="3497"/>
      <c r="T35" s="3497"/>
    </row>
    <row r="36" spans="1:20" ht="14.25">
      <c r="A36" s="3495">
        <v>3.4</v>
      </c>
      <c r="B36" s="3496">
        <v>0.79100000000000004</v>
      </c>
      <c r="C36" s="3492">
        <v>0.88900000000000001</v>
      </c>
      <c r="D36" s="3493">
        <v>0.91200000000000003</v>
      </c>
      <c r="E36" s="3494">
        <f t="shared" si="0"/>
        <v>0.64200000000000002</v>
      </c>
      <c r="F36" s="3473">
        <f t="shared" si="1"/>
        <v>0.748</v>
      </c>
      <c r="G36" s="3477">
        <f t="shared" si="2"/>
        <v>0.77500000000000002</v>
      </c>
      <c r="H36" s="3497"/>
      <c r="I36" s="3498"/>
      <c r="J36" s="3498"/>
      <c r="K36" s="3497"/>
      <c r="L36" s="3497"/>
      <c r="M36" s="3497"/>
      <c r="N36" s="3497"/>
      <c r="O36" s="3497"/>
      <c r="P36" s="3497"/>
      <c r="Q36" s="3498"/>
      <c r="R36" s="3498"/>
      <c r="S36" s="3497"/>
      <c r="T36" s="3497"/>
    </row>
    <row r="37" spans="1:20" ht="14.25">
      <c r="A37" s="3495">
        <v>3.5</v>
      </c>
      <c r="B37" s="3496">
        <v>0.78200000000000003</v>
      </c>
      <c r="C37" s="3492">
        <v>0.88800000000000001</v>
      </c>
      <c r="D37" s="3493">
        <v>0.91200000000000003</v>
      </c>
      <c r="E37" s="3494">
        <f t="shared" si="0"/>
        <v>0.63500000000000001</v>
      </c>
      <c r="F37" s="3473">
        <f t="shared" si="1"/>
        <v>0.747</v>
      </c>
      <c r="G37" s="3477">
        <f t="shared" si="2"/>
        <v>0.77500000000000002</v>
      </c>
      <c r="H37" s="3497"/>
      <c r="I37" s="3498"/>
      <c r="J37" s="3498"/>
      <c r="K37" s="3497"/>
      <c r="L37" s="3497"/>
      <c r="M37" s="3497"/>
      <c r="N37" s="3497"/>
      <c r="O37" s="3497"/>
      <c r="P37" s="3497"/>
      <c r="Q37" s="3498"/>
      <c r="R37" s="3498"/>
      <c r="S37" s="3497"/>
      <c r="T37" s="3497"/>
    </row>
    <row r="38" spans="1:20" ht="14.25">
      <c r="A38" s="3495">
        <v>3.6</v>
      </c>
      <c r="B38" s="3496">
        <v>0.77300000000000002</v>
      </c>
      <c r="C38" s="3492">
        <v>0.88800000000000001</v>
      </c>
      <c r="D38" s="3493">
        <v>0.91400000000000003</v>
      </c>
      <c r="E38" s="3494">
        <f t="shared" si="0"/>
        <v>0.627</v>
      </c>
      <c r="F38" s="3473">
        <f t="shared" si="1"/>
        <v>0.747</v>
      </c>
      <c r="G38" s="3477">
        <f t="shared" si="2"/>
        <v>0.77700000000000002</v>
      </c>
      <c r="H38" s="3497"/>
      <c r="I38" s="3498"/>
      <c r="J38" s="3498"/>
      <c r="K38" s="3497"/>
      <c r="L38" s="3497"/>
      <c r="M38" s="3497"/>
      <c r="N38" s="3497"/>
      <c r="O38" s="3497"/>
      <c r="P38" s="3497"/>
      <c r="Q38" s="3498"/>
      <c r="R38" s="3498"/>
      <c r="S38" s="3497"/>
      <c r="T38" s="3497"/>
    </row>
    <row r="39" spans="1:20" ht="14.25">
      <c r="A39" s="3495">
        <v>3.7</v>
      </c>
      <c r="B39" s="3496">
        <v>0.76400000000000001</v>
      </c>
      <c r="C39" s="3492">
        <v>0.88900000000000001</v>
      </c>
      <c r="D39" s="3493">
        <v>0.91700000000000004</v>
      </c>
      <c r="E39" s="3494">
        <f t="shared" si="0"/>
        <v>0.62</v>
      </c>
      <c r="F39" s="3473">
        <f t="shared" si="1"/>
        <v>0.748</v>
      </c>
      <c r="G39" s="3477">
        <f t="shared" si="2"/>
        <v>0.77900000000000003</v>
      </c>
      <c r="H39" s="3497"/>
      <c r="I39" s="3498"/>
      <c r="J39" s="3498"/>
      <c r="K39" s="3497"/>
      <c r="L39" s="3497"/>
      <c r="M39" s="3497"/>
      <c r="N39" s="3497"/>
      <c r="O39" s="3497"/>
      <c r="P39" s="3497"/>
      <c r="Q39" s="3498"/>
      <c r="R39" s="3498"/>
      <c r="S39" s="3497"/>
      <c r="T39" s="3497"/>
    </row>
    <row r="40" spans="1:20" ht="14.25">
      <c r="A40" s="3495">
        <v>3.8</v>
      </c>
      <c r="B40" s="3496">
        <v>0.75700000000000001</v>
      </c>
      <c r="C40" s="3492">
        <v>0.89</v>
      </c>
      <c r="D40" s="3493">
        <v>0.92</v>
      </c>
      <c r="E40" s="3494">
        <f t="shared" si="0"/>
        <v>0.61399999999999999</v>
      </c>
      <c r="F40" s="3473">
        <f t="shared" si="1"/>
        <v>0.749</v>
      </c>
      <c r="G40" s="3477">
        <f t="shared" si="2"/>
        <v>0.78200000000000003</v>
      </c>
      <c r="H40" s="3497"/>
      <c r="I40" s="3498"/>
      <c r="J40" s="3498"/>
      <c r="K40" s="3497"/>
      <c r="L40" s="3497"/>
      <c r="M40" s="3497"/>
      <c r="N40" s="3497"/>
      <c r="O40" s="3497"/>
      <c r="P40" s="3497"/>
      <c r="Q40" s="3498"/>
      <c r="R40" s="3498"/>
      <c r="S40" s="3497"/>
      <c r="T40" s="3497"/>
    </row>
    <row r="41" spans="1:20" ht="14.25">
      <c r="A41" s="3495">
        <v>3.9</v>
      </c>
      <c r="B41" s="3496">
        <v>0.75</v>
      </c>
      <c r="C41" s="3492">
        <v>0.89300000000000002</v>
      </c>
      <c r="D41" s="3493">
        <v>0.92500000000000004</v>
      </c>
      <c r="E41" s="3494">
        <f t="shared" si="0"/>
        <v>0.60899999999999999</v>
      </c>
      <c r="F41" s="3473">
        <f t="shared" si="1"/>
        <v>0.751</v>
      </c>
      <c r="G41" s="3477">
        <f t="shared" si="2"/>
        <v>0.78600000000000003</v>
      </c>
      <c r="H41" s="3497"/>
      <c r="I41" s="3498"/>
      <c r="J41" s="3498"/>
      <c r="K41" s="3497"/>
      <c r="L41" s="3497"/>
      <c r="M41" s="3497"/>
      <c r="N41" s="3497"/>
      <c r="O41" s="3497"/>
      <c r="P41" s="3497"/>
      <c r="Q41" s="3498"/>
      <c r="R41" s="3498"/>
      <c r="S41" s="3497"/>
      <c r="T41" s="3497"/>
    </row>
    <row r="42" spans="1:20" ht="14.25">
      <c r="A42" s="3495">
        <v>4</v>
      </c>
      <c r="B42" s="3496">
        <v>0.74299999999999999</v>
      </c>
      <c r="C42" s="3492">
        <v>0.89600000000000002</v>
      </c>
      <c r="D42" s="3493">
        <v>0.93100000000000005</v>
      </c>
      <c r="E42" s="3494">
        <f t="shared" si="0"/>
        <v>0.60299999999999998</v>
      </c>
      <c r="F42" s="3473">
        <f t="shared" si="1"/>
        <v>0.754</v>
      </c>
      <c r="G42" s="3477">
        <f t="shared" si="2"/>
        <v>0.79100000000000004</v>
      </c>
      <c r="H42" s="3497"/>
      <c r="I42" s="3498"/>
      <c r="J42" s="3498"/>
      <c r="K42" s="3497"/>
      <c r="L42" s="3497"/>
      <c r="M42" s="3497"/>
      <c r="N42" s="3497"/>
      <c r="O42" s="3497"/>
      <c r="P42" s="3497"/>
      <c r="Q42" s="3498"/>
      <c r="R42" s="3498"/>
      <c r="S42" s="3497"/>
      <c r="T42" s="3497"/>
    </row>
    <row r="43" spans="1:20" ht="14.25">
      <c r="A43" s="3490">
        <v>4.0999999999999996</v>
      </c>
      <c r="B43" s="3491">
        <v>0.73899999999999999</v>
      </c>
      <c r="C43" s="3492">
        <v>0.89300000000000002</v>
      </c>
      <c r="D43" s="3493">
        <v>0.92800000000000005</v>
      </c>
      <c r="E43" s="3494">
        <f t="shared" si="0"/>
        <v>0.6</v>
      </c>
      <c r="F43" s="3473">
        <f t="shared" si="1"/>
        <v>0.751</v>
      </c>
      <c r="G43" s="3477">
        <f t="shared" si="2"/>
        <v>0.78800000000000003</v>
      </c>
      <c r="H43" s="3497"/>
      <c r="I43" s="3498"/>
      <c r="J43" s="3498"/>
      <c r="K43" s="3497"/>
      <c r="L43" s="3497"/>
      <c r="M43" s="3497"/>
      <c r="N43" s="3497"/>
      <c r="O43" s="3497"/>
      <c r="P43" s="3497"/>
      <c r="Q43" s="3498"/>
      <c r="R43" s="3498"/>
      <c r="S43" s="3497"/>
      <c r="T43" s="3497"/>
    </row>
    <row r="44" spans="1:20" ht="14.25">
      <c r="A44" s="3490">
        <v>4.2</v>
      </c>
      <c r="B44" s="3491">
        <v>0.73499999999999999</v>
      </c>
      <c r="C44" s="3492">
        <v>0.89</v>
      </c>
      <c r="D44" s="3493">
        <v>0.92600000000000005</v>
      </c>
      <c r="E44" s="3494">
        <f t="shared" si="0"/>
        <v>0.59699999999999998</v>
      </c>
      <c r="F44" s="3473">
        <f t="shared" si="1"/>
        <v>0.749</v>
      </c>
      <c r="G44" s="3477">
        <f t="shared" si="2"/>
        <v>0.78700000000000003</v>
      </c>
      <c r="H44" s="3497"/>
      <c r="I44" s="3498"/>
      <c r="J44" s="3498"/>
      <c r="K44" s="3497"/>
      <c r="L44" s="3497"/>
      <c r="M44" s="3497"/>
      <c r="N44" s="3497"/>
      <c r="O44" s="3497"/>
      <c r="P44" s="3497"/>
      <c r="Q44" s="3498"/>
      <c r="R44" s="3498"/>
      <c r="S44" s="3497"/>
      <c r="T44" s="3497"/>
    </row>
    <row r="45" spans="1:20" ht="14.25">
      <c r="A45" s="3490">
        <v>4.3</v>
      </c>
      <c r="B45" s="3491">
        <v>0.73199999999999998</v>
      </c>
      <c r="C45" s="3492">
        <v>0.88700000000000001</v>
      </c>
      <c r="D45" s="3493">
        <v>0.92400000000000004</v>
      </c>
      <c r="E45" s="3494">
        <f t="shared" si="0"/>
        <v>0.59399999999999997</v>
      </c>
      <c r="F45" s="3473">
        <f t="shared" si="1"/>
        <v>0.746</v>
      </c>
      <c r="G45" s="3477">
        <f t="shared" si="2"/>
        <v>0.78500000000000003</v>
      </c>
      <c r="H45" s="3497"/>
      <c r="I45" s="3498"/>
      <c r="J45" s="3498"/>
      <c r="K45" s="3497"/>
      <c r="L45" s="3497"/>
      <c r="M45" s="3497"/>
      <c r="N45" s="3497"/>
      <c r="O45" s="3497"/>
      <c r="P45" s="3497"/>
      <c r="Q45" s="3498"/>
      <c r="R45" s="3498"/>
      <c r="S45" s="3497"/>
      <c r="T45" s="3497"/>
    </row>
    <row r="46" spans="1:20" ht="14.25">
      <c r="A46" s="3490">
        <v>4.4000000000000004</v>
      </c>
      <c r="B46" s="3491">
        <v>0.72799999999999998</v>
      </c>
      <c r="C46" s="3492">
        <v>0.88500000000000001</v>
      </c>
      <c r="D46" s="3493">
        <v>0.92200000000000004</v>
      </c>
      <c r="E46" s="3494">
        <f t="shared" si="0"/>
        <v>0.59099999999999997</v>
      </c>
      <c r="F46" s="3473">
        <f t="shared" si="1"/>
        <v>0.74399999999999999</v>
      </c>
      <c r="G46" s="3477">
        <f t="shared" si="2"/>
        <v>0.78300000000000003</v>
      </c>
      <c r="H46" s="3497"/>
      <c r="I46" s="3498"/>
      <c r="J46" s="3498"/>
      <c r="K46" s="3497"/>
      <c r="L46" s="3497"/>
      <c r="M46" s="3497"/>
      <c r="N46" s="3497"/>
      <c r="O46" s="3497"/>
      <c r="P46" s="3497"/>
      <c r="Q46" s="3498"/>
      <c r="R46" s="3498"/>
      <c r="S46" s="3497"/>
      <c r="T46" s="3497"/>
    </row>
    <row r="47" spans="1:20" ht="14.25">
      <c r="A47" s="3490">
        <v>4.5</v>
      </c>
      <c r="B47" s="3491">
        <v>0.72399999999999998</v>
      </c>
      <c r="C47" s="3492">
        <v>0.88200000000000001</v>
      </c>
      <c r="D47" s="3493">
        <v>0.91900000000000004</v>
      </c>
      <c r="E47" s="3494">
        <f t="shared" si="0"/>
        <v>0.58799999999999997</v>
      </c>
      <c r="F47" s="3473">
        <f t="shared" si="1"/>
        <v>0.74199999999999999</v>
      </c>
      <c r="G47" s="3477">
        <f t="shared" si="2"/>
        <v>0.78100000000000003</v>
      </c>
      <c r="H47" s="3497"/>
      <c r="I47" s="3498"/>
      <c r="J47" s="3498"/>
      <c r="K47" s="3497"/>
      <c r="L47" s="3497"/>
      <c r="M47" s="3497"/>
      <c r="N47" s="3497"/>
      <c r="O47" s="3497"/>
      <c r="P47" s="3497"/>
      <c r="Q47" s="3498"/>
      <c r="R47" s="3498"/>
      <c r="S47" s="3497"/>
      <c r="T47" s="3497"/>
    </row>
    <row r="48" spans="1:20" ht="14.25">
      <c r="A48" s="3490">
        <v>4.5999999999999996</v>
      </c>
      <c r="B48" s="3491">
        <v>0.72</v>
      </c>
      <c r="C48" s="3492">
        <v>0.879</v>
      </c>
      <c r="D48" s="3493">
        <v>0.91700000000000004</v>
      </c>
      <c r="E48" s="3494">
        <f t="shared" si="0"/>
        <v>0.58399999999999996</v>
      </c>
      <c r="F48" s="3473">
        <f t="shared" si="1"/>
        <v>0.73899999999999999</v>
      </c>
      <c r="G48" s="3477">
        <f t="shared" si="2"/>
        <v>0.77900000000000003</v>
      </c>
      <c r="H48" s="3497"/>
      <c r="I48" s="3498"/>
      <c r="J48" s="3498"/>
      <c r="K48" s="3497"/>
      <c r="L48" s="3497"/>
      <c r="M48" s="3497"/>
      <c r="N48" s="3497"/>
      <c r="O48" s="3497"/>
      <c r="P48" s="3497"/>
      <c r="Q48" s="3498"/>
      <c r="R48" s="3498"/>
      <c r="S48" s="3497"/>
      <c r="T48" s="3497"/>
    </row>
    <row r="49" spans="1:20" ht="14.25">
      <c r="A49" s="3490">
        <v>4.7</v>
      </c>
      <c r="B49" s="3491">
        <v>0.71699999999999997</v>
      </c>
      <c r="C49" s="3492">
        <v>0.876</v>
      </c>
      <c r="D49" s="3493">
        <v>0.91500000000000004</v>
      </c>
      <c r="E49" s="3494">
        <f t="shared" si="0"/>
        <v>0.58199999999999996</v>
      </c>
      <c r="F49" s="3473">
        <f t="shared" si="1"/>
        <v>0.73699999999999999</v>
      </c>
      <c r="G49" s="3477">
        <f t="shared" si="2"/>
        <v>0.77700000000000002</v>
      </c>
      <c r="H49" s="3497"/>
      <c r="I49" s="3498"/>
      <c r="J49" s="3498"/>
      <c r="K49" s="3497"/>
      <c r="L49" s="3497"/>
      <c r="M49" s="3497"/>
      <c r="N49" s="3497"/>
      <c r="O49" s="3497"/>
      <c r="P49" s="3497"/>
      <c r="Q49" s="3498"/>
      <c r="R49" s="3498"/>
      <c r="S49" s="3497"/>
      <c r="T49" s="3497"/>
    </row>
    <row r="50" spans="1:20" ht="14.25">
      <c r="A50" s="3490">
        <v>4.8</v>
      </c>
      <c r="B50" s="3491">
        <v>0.71299999999999997</v>
      </c>
      <c r="C50" s="3492">
        <v>0.874</v>
      </c>
      <c r="D50" s="3493">
        <v>0.91300000000000003</v>
      </c>
      <c r="E50" s="3494">
        <f t="shared" si="0"/>
        <v>0.57899999999999996</v>
      </c>
      <c r="F50" s="3473">
        <f t="shared" si="1"/>
        <v>0.73499999999999999</v>
      </c>
      <c r="G50" s="3477">
        <f t="shared" si="2"/>
        <v>0.77600000000000002</v>
      </c>
      <c r="H50" s="3497"/>
      <c r="I50" s="3498"/>
      <c r="J50" s="3498"/>
      <c r="K50" s="3497"/>
      <c r="L50" s="3497"/>
      <c r="M50" s="3497"/>
      <c r="N50" s="3497"/>
      <c r="O50" s="3497"/>
      <c r="P50" s="3497"/>
      <c r="Q50" s="3498"/>
      <c r="R50" s="3498"/>
      <c r="S50" s="3497"/>
      <c r="T50" s="3497"/>
    </row>
    <row r="51" spans="1:20" ht="14.25">
      <c r="A51" s="3490">
        <v>4.9000000000000004</v>
      </c>
      <c r="B51" s="3491">
        <v>0.70899999999999996</v>
      </c>
      <c r="C51" s="3492">
        <v>0.871</v>
      </c>
      <c r="D51" s="3493">
        <v>0.91100000000000003</v>
      </c>
      <c r="E51" s="3494">
        <f t="shared" si="0"/>
        <v>0.57499999999999996</v>
      </c>
      <c r="F51" s="3473">
        <f t="shared" si="1"/>
        <v>0.73299999999999998</v>
      </c>
      <c r="G51" s="3477">
        <f t="shared" si="2"/>
        <v>0.77400000000000002</v>
      </c>
      <c r="H51" s="3497"/>
      <c r="I51" s="3498"/>
      <c r="J51" s="3498"/>
      <c r="K51" s="3497"/>
      <c r="L51" s="3497"/>
      <c r="M51" s="3497"/>
      <c r="N51" s="3497"/>
      <c r="O51" s="3497"/>
      <c r="P51" s="3497"/>
      <c r="Q51" s="3498"/>
      <c r="R51" s="3498"/>
      <c r="S51" s="3497"/>
      <c r="T51" s="3497"/>
    </row>
    <row r="52" spans="1:20" ht="14.25">
      <c r="A52" s="3490">
        <v>5</v>
      </c>
      <c r="B52" s="3491">
        <v>0.70599999999999996</v>
      </c>
      <c r="C52" s="3492">
        <v>0.86799999999999999</v>
      </c>
      <c r="D52" s="3493">
        <v>0.90900000000000003</v>
      </c>
      <c r="E52" s="3494">
        <f t="shared" si="0"/>
        <v>0.57299999999999995</v>
      </c>
      <c r="F52" s="3473">
        <f t="shared" si="1"/>
        <v>0.73</v>
      </c>
      <c r="G52" s="3477">
        <f t="shared" si="2"/>
        <v>0.77200000000000002</v>
      </c>
      <c r="H52" s="3497"/>
      <c r="I52" s="3498"/>
      <c r="J52" s="3498"/>
      <c r="K52" s="3497"/>
      <c r="L52" s="3497"/>
      <c r="M52" s="3497"/>
      <c r="N52" s="3497"/>
      <c r="O52" s="3497"/>
      <c r="P52" s="3497"/>
      <c r="Q52" s="3498"/>
      <c r="R52" s="3498"/>
      <c r="S52" s="3497"/>
      <c r="T52" s="3497"/>
    </row>
    <row r="53" spans="1:20" ht="14.25">
      <c r="A53" s="3490">
        <v>5.0999999999999996</v>
      </c>
      <c r="B53" s="3491">
        <v>0.70199999999999996</v>
      </c>
      <c r="C53" s="3492">
        <v>0.86499999999999999</v>
      </c>
      <c r="D53" s="3493">
        <v>0.90600000000000003</v>
      </c>
      <c r="E53" s="3494">
        <f t="shared" si="0"/>
        <v>0.56999999999999995</v>
      </c>
      <c r="F53" s="3473">
        <f t="shared" si="1"/>
        <v>0.72799999999999998</v>
      </c>
      <c r="G53" s="3477">
        <f t="shared" si="2"/>
        <v>0.77</v>
      </c>
      <c r="H53" s="3497"/>
      <c r="I53" s="3498"/>
      <c r="J53" s="3498"/>
      <c r="K53" s="3497"/>
      <c r="L53" s="3497"/>
      <c r="M53" s="3497"/>
      <c r="N53" s="3497"/>
      <c r="O53" s="3497"/>
      <c r="P53" s="3497"/>
      <c r="Q53" s="3498"/>
      <c r="R53" s="3498"/>
      <c r="S53" s="3497"/>
      <c r="T53" s="3497"/>
    </row>
    <row r="54" spans="1:20" ht="14.25">
      <c r="A54" s="3490">
        <v>5.2</v>
      </c>
      <c r="B54" s="3491">
        <v>0.69799999999999995</v>
      </c>
      <c r="C54" s="3492">
        <v>0.86199999999999999</v>
      </c>
      <c r="D54" s="3493">
        <v>0.90400000000000003</v>
      </c>
      <c r="E54" s="3494">
        <f t="shared" si="0"/>
        <v>0.56699999999999995</v>
      </c>
      <c r="F54" s="3473">
        <f t="shared" si="1"/>
        <v>0.72499999999999998</v>
      </c>
      <c r="G54" s="3477">
        <f t="shared" si="2"/>
        <v>0.76800000000000002</v>
      </c>
      <c r="H54" s="3497"/>
      <c r="I54" s="3498"/>
      <c r="J54" s="3498"/>
      <c r="K54" s="3497"/>
      <c r="L54" s="3497"/>
      <c r="M54" s="3497"/>
      <c r="N54" s="3497"/>
      <c r="O54" s="3497"/>
      <c r="P54" s="3497"/>
      <c r="Q54" s="3498"/>
      <c r="R54" s="3498"/>
      <c r="S54" s="3497"/>
      <c r="T54" s="3497"/>
    </row>
    <row r="55" spans="1:20" ht="14.25">
      <c r="A55" s="3490">
        <v>5.3</v>
      </c>
      <c r="B55" s="3491">
        <v>0.69399999999999995</v>
      </c>
      <c r="C55" s="3492">
        <v>0.86</v>
      </c>
      <c r="D55" s="3493">
        <v>0.90200000000000002</v>
      </c>
      <c r="E55" s="3494">
        <f t="shared" si="0"/>
        <v>0.56299999999999994</v>
      </c>
      <c r="F55" s="3473">
        <f t="shared" si="1"/>
        <v>0.72299999999999998</v>
      </c>
      <c r="G55" s="3477">
        <f t="shared" si="2"/>
        <v>0.76600000000000001</v>
      </c>
      <c r="H55" s="3497"/>
      <c r="I55" s="3498"/>
      <c r="J55" s="3498"/>
      <c r="K55" s="3497"/>
      <c r="L55" s="3497"/>
      <c r="M55" s="3497"/>
      <c r="N55" s="3497"/>
      <c r="O55" s="3497"/>
      <c r="P55" s="3497"/>
      <c r="Q55" s="3498"/>
      <c r="R55" s="3498"/>
      <c r="S55" s="3497"/>
      <c r="T55" s="3497"/>
    </row>
    <row r="56" spans="1:20" ht="14.25">
      <c r="A56" s="3490">
        <v>5.4</v>
      </c>
      <c r="B56" s="3491">
        <v>0.69099999999999995</v>
      </c>
      <c r="C56" s="3492">
        <v>0.85699999999999998</v>
      </c>
      <c r="D56" s="3493">
        <v>0.9</v>
      </c>
      <c r="E56" s="3494">
        <f t="shared" si="0"/>
        <v>0.56100000000000005</v>
      </c>
      <c r="F56" s="3473">
        <f t="shared" si="1"/>
        <v>0.72099999999999997</v>
      </c>
      <c r="G56" s="3477">
        <f t="shared" si="2"/>
        <v>0.76500000000000001</v>
      </c>
      <c r="H56" s="3497"/>
      <c r="I56" s="3498"/>
      <c r="J56" s="3498"/>
      <c r="K56" s="3497"/>
      <c r="L56" s="3497"/>
      <c r="M56" s="3497"/>
      <c r="N56" s="3497"/>
      <c r="O56" s="3497"/>
      <c r="P56" s="3497"/>
      <c r="Q56" s="3498"/>
      <c r="R56" s="3498"/>
      <c r="S56" s="3497"/>
      <c r="T56" s="3497"/>
    </row>
    <row r="57" spans="1:20" ht="14.25">
      <c r="A57" s="3490">
        <v>5.5</v>
      </c>
      <c r="B57" s="3491">
        <v>0.68700000000000006</v>
      </c>
      <c r="C57" s="3492">
        <v>0.85399999999999998</v>
      </c>
      <c r="D57" s="3493">
        <v>0.89800000000000002</v>
      </c>
      <c r="E57" s="3494">
        <f t="shared" si="0"/>
        <v>0.55800000000000005</v>
      </c>
      <c r="F57" s="3473">
        <f t="shared" si="1"/>
        <v>0.71799999999999997</v>
      </c>
      <c r="G57" s="3477">
        <f t="shared" si="2"/>
        <v>0.76300000000000001</v>
      </c>
      <c r="H57" s="3497"/>
      <c r="I57" s="3498"/>
      <c r="J57" s="3498"/>
      <c r="K57" s="3497"/>
      <c r="L57" s="3497"/>
      <c r="M57" s="3497"/>
      <c r="N57" s="3497"/>
      <c r="O57" s="3497"/>
      <c r="P57" s="3497"/>
      <c r="Q57" s="3498"/>
      <c r="R57" s="3498"/>
      <c r="S57" s="3497"/>
      <c r="T57" s="3497"/>
    </row>
    <row r="58" spans="1:20" ht="14.25">
      <c r="A58" s="3490">
        <v>5.6</v>
      </c>
      <c r="B58" s="3491">
        <v>0.68300000000000005</v>
      </c>
      <c r="C58" s="3492">
        <v>0.85099999999999998</v>
      </c>
      <c r="D58" s="3493">
        <v>0.89500000000000002</v>
      </c>
      <c r="E58" s="3494">
        <f t="shared" si="0"/>
        <v>0.55400000000000005</v>
      </c>
      <c r="F58" s="3473">
        <f t="shared" si="1"/>
        <v>0.71599999999999997</v>
      </c>
      <c r="G58" s="3477">
        <f t="shared" si="2"/>
        <v>0.76</v>
      </c>
      <c r="H58" s="3497"/>
      <c r="I58" s="3498"/>
      <c r="J58" s="3498"/>
      <c r="K58" s="3497"/>
      <c r="L58" s="3497"/>
      <c r="M58" s="3497"/>
      <c r="N58" s="3497"/>
      <c r="O58" s="3497"/>
      <c r="P58" s="3497"/>
      <c r="Q58" s="3498"/>
      <c r="R58" s="3498"/>
      <c r="S58" s="3497"/>
      <c r="T58" s="3497"/>
    </row>
    <row r="59" spans="1:20" ht="14.25">
      <c r="A59" s="3490">
        <v>5.7</v>
      </c>
      <c r="B59" s="3491">
        <v>0.67900000000000005</v>
      </c>
      <c r="C59" s="3492">
        <v>0.84899999999999998</v>
      </c>
      <c r="D59" s="3493">
        <v>0.89300000000000002</v>
      </c>
      <c r="E59" s="3494">
        <f t="shared" si="0"/>
        <v>0.55100000000000005</v>
      </c>
      <c r="F59" s="3473">
        <f t="shared" si="1"/>
        <v>0.71399999999999997</v>
      </c>
      <c r="G59" s="3477">
        <f t="shared" si="2"/>
        <v>0.75900000000000001</v>
      </c>
      <c r="H59" s="3497"/>
      <c r="I59" s="3498"/>
      <c r="J59" s="3498"/>
      <c r="K59" s="3497"/>
      <c r="L59" s="3497"/>
      <c r="M59" s="3497"/>
      <c r="N59" s="3497"/>
      <c r="O59" s="3497"/>
      <c r="P59" s="3497"/>
      <c r="Q59" s="3498"/>
      <c r="R59" s="3498"/>
      <c r="S59" s="3497"/>
      <c r="T59" s="3497"/>
    </row>
    <row r="60" spans="1:20" ht="14.25">
      <c r="A60" s="3490">
        <v>5.8</v>
      </c>
      <c r="B60" s="3491">
        <v>0.67600000000000005</v>
      </c>
      <c r="C60" s="3492">
        <v>0.84599999999999997</v>
      </c>
      <c r="D60" s="3493">
        <v>0.89100000000000001</v>
      </c>
      <c r="E60" s="3494">
        <f t="shared" si="0"/>
        <v>0.54900000000000004</v>
      </c>
      <c r="F60" s="3473">
        <f t="shared" si="1"/>
        <v>0.71199999999999997</v>
      </c>
      <c r="G60" s="3477">
        <f t="shared" si="2"/>
        <v>0.75700000000000001</v>
      </c>
      <c r="H60" s="3497"/>
      <c r="I60" s="3498"/>
      <c r="J60" s="3498"/>
      <c r="K60" s="3497"/>
      <c r="L60" s="3497"/>
      <c r="M60" s="3497"/>
      <c r="N60" s="3497"/>
      <c r="O60" s="3497"/>
      <c r="P60" s="3497"/>
      <c r="Q60" s="3498"/>
      <c r="R60" s="3498"/>
      <c r="S60" s="3497"/>
      <c r="T60" s="3497"/>
    </row>
    <row r="61" spans="1:20" ht="14.25">
      <c r="A61" s="3490">
        <v>5.9</v>
      </c>
      <c r="B61" s="3491">
        <v>0.67200000000000004</v>
      </c>
      <c r="C61" s="3492">
        <v>0.84299999999999997</v>
      </c>
      <c r="D61" s="3493">
        <v>0.88900000000000001</v>
      </c>
      <c r="E61" s="3494">
        <f t="shared" si="0"/>
        <v>0.54500000000000004</v>
      </c>
      <c r="F61" s="3473">
        <f t="shared" si="1"/>
        <v>0.70899999999999996</v>
      </c>
      <c r="G61" s="3477">
        <f t="shared" si="2"/>
        <v>0.755</v>
      </c>
      <c r="H61" s="3497"/>
      <c r="I61" s="3498"/>
      <c r="J61" s="3498"/>
      <c r="K61" s="3497"/>
      <c r="L61" s="3497"/>
      <c r="M61" s="3497"/>
      <c r="N61" s="3497"/>
      <c r="O61" s="3497"/>
      <c r="P61" s="3497"/>
      <c r="Q61" s="3498"/>
      <c r="R61" s="3498"/>
      <c r="S61" s="3497"/>
      <c r="T61" s="3497"/>
    </row>
    <row r="62" spans="1:20" ht="14.25">
      <c r="A62" s="3490">
        <v>6</v>
      </c>
      <c r="B62" s="3491">
        <v>0.66800000000000004</v>
      </c>
      <c r="C62" s="3492">
        <v>0.84</v>
      </c>
      <c r="D62" s="3493">
        <v>0.88700000000000001</v>
      </c>
      <c r="E62" s="3494">
        <f t="shared" si="0"/>
        <v>0.54200000000000004</v>
      </c>
      <c r="F62" s="3473">
        <f t="shared" si="1"/>
        <v>0.70599999999999996</v>
      </c>
      <c r="G62" s="3477">
        <f t="shared" si="2"/>
        <v>0.754</v>
      </c>
      <c r="H62" s="3497"/>
      <c r="I62" s="3498"/>
      <c r="J62" s="3498"/>
      <c r="K62" s="3497"/>
      <c r="L62" s="3497"/>
      <c r="M62" s="3497"/>
      <c r="N62" s="3497"/>
      <c r="O62" s="3497"/>
      <c r="P62" s="3497"/>
      <c r="Q62" s="3498"/>
      <c r="R62" s="3498"/>
      <c r="S62" s="3497"/>
      <c r="T62" s="3497"/>
    </row>
    <row r="63" spans="1:20" ht="14.25">
      <c r="A63" s="3495">
        <v>6.1</v>
      </c>
      <c r="B63" s="3496">
        <v>0.66400000000000003</v>
      </c>
      <c r="C63" s="3492">
        <v>0.83699999999999997</v>
      </c>
      <c r="D63" s="3493">
        <v>0.88400000000000001</v>
      </c>
      <c r="E63" s="3494">
        <f t="shared" si="0"/>
        <v>0.53900000000000003</v>
      </c>
      <c r="F63" s="3473">
        <f t="shared" si="1"/>
        <v>0.70399999999999996</v>
      </c>
      <c r="G63" s="3477">
        <f t="shared" si="2"/>
        <v>0.751</v>
      </c>
      <c r="H63" s="3497"/>
      <c r="I63" s="3498"/>
      <c r="J63" s="3498"/>
      <c r="K63" s="3497"/>
      <c r="L63" s="3497"/>
      <c r="M63" s="3497"/>
      <c r="N63" s="3497"/>
      <c r="O63" s="3497"/>
      <c r="P63" s="3497"/>
      <c r="Q63" s="3498"/>
      <c r="R63" s="3498"/>
      <c r="S63" s="3497"/>
      <c r="T63" s="3497"/>
    </row>
    <row r="64" spans="1:20" ht="14.25">
      <c r="A64" s="3495">
        <v>6.2</v>
      </c>
      <c r="B64" s="3496">
        <v>0.66100000000000003</v>
      </c>
      <c r="C64" s="3492">
        <v>0.83499999999999996</v>
      </c>
      <c r="D64" s="3493">
        <v>0.88200000000000001</v>
      </c>
      <c r="E64" s="3494">
        <f t="shared" si="0"/>
        <v>0.53700000000000003</v>
      </c>
      <c r="F64" s="3473">
        <f t="shared" si="1"/>
        <v>0.70199999999999996</v>
      </c>
      <c r="G64" s="3477">
        <f t="shared" si="2"/>
        <v>0.749</v>
      </c>
      <c r="H64" s="3497"/>
      <c r="I64" s="3498"/>
      <c r="J64" s="3498"/>
      <c r="K64" s="3497"/>
      <c r="L64" s="3497"/>
      <c r="M64" s="3497"/>
      <c r="N64" s="3497"/>
      <c r="O64" s="3497"/>
      <c r="P64" s="3497"/>
      <c r="Q64" s="3498"/>
      <c r="R64" s="3498"/>
      <c r="S64" s="3497"/>
      <c r="T64" s="3497"/>
    </row>
    <row r="65" spans="1:20" ht="14.25">
      <c r="A65" s="3495">
        <v>6.3</v>
      </c>
      <c r="B65" s="3496">
        <v>0.65700000000000003</v>
      </c>
      <c r="C65" s="3492">
        <v>0.83199999999999996</v>
      </c>
      <c r="D65" s="3493">
        <v>0.88</v>
      </c>
      <c r="E65" s="3494">
        <f t="shared" si="0"/>
        <v>0.53300000000000003</v>
      </c>
      <c r="F65" s="3473">
        <f t="shared" si="1"/>
        <v>0.7</v>
      </c>
      <c r="G65" s="3477">
        <f t="shared" si="2"/>
        <v>0.748</v>
      </c>
      <c r="H65" s="3497"/>
      <c r="I65" s="3498"/>
      <c r="J65" s="3498"/>
      <c r="K65" s="3497"/>
      <c r="L65" s="3497"/>
      <c r="M65" s="3497"/>
      <c r="N65" s="3497"/>
      <c r="O65" s="3497"/>
      <c r="P65" s="3497"/>
      <c r="Q65" s="3498"/>
      <c r="R65" s="3498"/>
      <c r="S65" s="3497"/>
      <c r="T65" s="3497"/>
    </row>
    <row r="66" spans="1:20" ht="14.25">
      <c r="A66" s="3495">
        <v>6.4</v>
      </c>
      <c r="B66" s="3496">
        <v>0.65300000000000002</v>
      </c>
      <c r="C66" s="3492">
        <v>0.82899999999999996</v>
      </c>
      <c r="D66" s="3493">
        <v>0.878</v>
      </c>
      <c r="E66" s="3494">
        <f t="shared" si="0"/>
        <v>0.53</v>
      </c>
      <c r="F66" s="3473">
        <f t="shared" si="1"/>
        <v>0.69699999999999995</v>
      </c>
      <c r="G66" s="3477">
        <f t="shared" si="2"/>
        <v>0.746</v>
      </c>
      <c r="H66" s="3497"/>
      <c r="I66" s="3498"/>
      <c r="J66" s="3498"/>
      <c r="K66" s="3497"/>
      <c r="L66" s="3497"/>
      <c r="M66" s="3497"/>
      <c r="N66" s="3497"/>
      <c r="O66" s="3497"/>
      <c r="P66" s="3497"/>
      <c r="Q66" s="3498"/>
      <c r="R66" s="3498"/>
      <c r="S66" s="3497"/>
      <c r="T66" s="3497"/>
    </row>
    <row r="67" spans="1:20" ht="14.25">
      <c r="A67" s="3495">
        <v>6.5</v>
      </c>
      <c r="B67" s="3496">
        <v>0.65</v>
      </c>
      <c r="C67" s="3492">
        <v>0.82599999999999996</v>
      </c>
      <c r="D67" s="3493">
        <v>0.876</v>
      </c>
      <c r="E67" s="3494">
        <f t="shared" si="0"/>
        <v>0.52800000000000002</v>
      </c>
      <c r="F67" s="3473">
        <f t="shared" si="1"/>
        <v>0.69499999999999995</v>
      </c>
      <c r="G67" s="3477">
        <f t="shared" si="2"/>
        <v>0.74399999999999999</v>
      </c>
      <c r="H67" s="3497"/>
      <c r="I67" s="3498"/>
      <c r="J67" s="3498"/>
      <c r="K67" s="3497"/>
      <c r="L67" s="3497"/>
      <c r="M67" s="3497"/>
      <c r="N67" s="3497"/>
      <c r="O67" s="3497"/>
      <c r="P67" s="3497"/>
      <c r="Q67" s="3498"/>
      <c r="R67" s="3498"/>
      <c r="S67" s="3497"/>
      <c r="T67" s="3497"/>
    </row>
    <row r="68" spans="1:20" ht="14.25">
      <c r="A68" s="3495">
        <v>6.6</v>
      </c>
      <c r="B68" s="3496">
        <v>0.64600000000000002</v>
      </c>
      <c r="C68" s="3492">
        <v>0.82399999999999995</v>
      </c>
      <c r="D68" s="3493">
        <v>0.873</v>
      </c>
      <c r="E68" s="3494">
        <f t="shared" ref="E68:E102" si="3">ROUND(B68/1.232,3)</f>
        <v>0.52400000000000002</v>
      </c>
      <c r="F68" s="3473">
        <f t="shared" ref="F68:F102" si="4">ROUND(C68/1.189,3)</f>
        <v>0.69299999999999995</v>
      </c>
      <c r="G68" s="3477">
        <f t="shared" ref="G68:G102" si="5">ROUND(D68/1.177,3)</f>
        <v>0.74199999999999999</v>
      </c>
      <c r="H68" s="3497"/>
      <c r="I68" s="3498"/>
      <c r="J68" s="3498"/>
      <c r="K68" s="3497"/>
      <c r="L68" s="3497"/>
      <c r="M68" s="3497"/>
      <c r="N68" s="3497"/>
      <c r="O68" s="3497"/>
      <c r="P68" s="3497"/>
      <c r="Q68" s="3498"/>
      <c r="R68" s="3498"/>
      <c r="S68" s="3497"/>
      <c r="T68" s="3497"/>
    </row>
    <row r="69" spans="1:20" ht="14.25">
      <c r="A69" s="3495">
        <v>6.7</v>
      </c>
      <c r="B69" s="3496">
        <v>0.64200000000000002</v>
      </c>
      <c r="C69" s="3492">
        <v>0.82099999999999995</v>
      </c>
      <c r="D69" s="3493">
        <v>0.871</v>
      </c>
      <c r="E69" s="3494">
        <f t="shared" si="3"/>
        <v>0.52100000000000002</v>
      </c>
      <c r="F69" s="3473">
        <f t="shared" si="4"/>
        <v>0.69</v>
      </c>
      <c r="G69" s="3477">
        <f t="shared" si="5"/>
        <v>0.74</v>
      </c>
      <c r="H69" s="3497"/>
      <c r="I69" s="3498"/>
      <c r="J69" s="3498"/>
      <c r="K69" s="3497"/>
      <c r="L69" s="3497"/>
      <c r="M69" s="3497"/>
      <c r="N69" s="3497"/>
      <c r="O69" s="3497"/>
      <c r="P69" s="3497"/>
      <c r="Q69" s="3498"/>
      <c r="R69" s="3498"/>
      <c r="S69" s="3497"/>
      <c r="T69" s="3497"/>
    </row>
    <row r="70" spans="1:20" ht="14.25">
      <c r="A70" s="3495">
        <v>6.8</v>
      </c>
      <c r="B70" s="3496">
        <v>0.63800000000000001</v>
      </c>
      <c r="C70" s="3492">
        <v>0.81799999999999995</v>
      </c>
      <c r="D70" s="3493">
        <v>0.86899999999999999</v>
      </c>
      <c r="E70" s="3494">
        <f t="shared" si="3"/>
        <v>0.51800000000000002</v>
      </c>
      <c r="F70" s="3473">
        <f t="shared" si="4"/>
        <v>0.68799999999999994</v>
      </c>
      <c r="G70" s="3477">
        <f t="shared" si="5"/>
        <v>0.73799999999999999</v>
      </c>
      <c r="H70" s="3497"/>
      <c r="I70" s="3498"/>
      <c r="J70" s="3498"/>
      <c r="K70" s="3497"/>
      <c r="L70" s="3497"/>
      <c r="M70" s="3497"/>
      <c r="N70" s="3497"/>
      <c r="O70" s="3497"/>
      <c r="P70" s="3497"/>
      <c r="Q70" s="3498"/>
      <c r="R70" s="3498"/>
      <c r="S70" s="3497"/>
      <c r="T70" s="3497"/>
    </row>
    <row r="71" spans="1:20" ht="14.25">
      <c r="A71" s="3495">
        <v>6.9</v>
      </c>
      <c r="B71" s="3496">
        <v>0.63500000000000001</v>
      </c>
      <c r="C71" s="3492">
        <v>0.81499999999999995</v>
      </c>
      <c r="D71" s="3493">
        <v>0.86699999999999999</v>
      </c>
      <c r="E71" s="3494">
        <f t="shared" si="3"/>
        <v>0.51500000000000001</v>
      </c>
      <c r="F71" s="3473">
        <f t="shared" si="4"/>
        <v>0.68500000000000005</v>
      </c>
      <c r="G71" s="3477">
        <f t="shared" si="5"/>
        <v>0.73699999999999999</v>
      </c>
      <c r="H71" s="3497"/>
      <c r="I71" s="3498"/>
      <c r="J71" s="3498"/>
      <c r="K71" s="3497"/>
      <c r="L71" s="3497"/>
      <c r="M71" s="3497"/>
      <c r="N71" s="3497"/>
      <c r="O71" s="3497"/>
      <c r="P71" s="3497"/>
      <c r="Q71" s="3498"/>
      <c r="R71" s="3498"/>
      <c r="S71" s="3497"/>
      <c r="T71" s="3497"/>
    </row>
    <row r="72" spans="1:20" ht="14.25">
      <c r="A72" s="3495">
        <v>7</v>
      </c>
      <c r="B72" s="3496">
        <v>0.63100000000000001</v>
      </c>
      <c r="C72" s="3492">
        <v>0.81200000000000006</v>
      </c>
      <c r="D72" s="3493">
        <v>0.86499999999999999</v>
      </c>
      <c r="E72" s="3494">
        <f t="shared" si="3"/>
        <v>0.51200000000000001</v>
      </c>
      <c r="F72" s="3473">
        <f t="shared" si="4"/>
        <v>0.68300000000000005</v>
      </c>
      <c r="G72" s="3477">
        <f t="shared" si="5"/>
        <v>0.73499999999999999</v>
      </c>
      <c r="H72" s="3497"/>
      <c r="I72" s="3498"/>
      <c r="J72" s="3498"/>
      <c r="K72" s="3497"/>
      <c r="L72" s="3497"/>
      <c r="M72" s="3497"/>
      <c r="N72" s="3497"/>
      <c r="O72" s="3497"/>
      <c r="P72" s="3497"/>
      <c r="Q72" s="3498"/>
      <c r="R72" s="3498"/>
      <c r="S72" s="3497"/>
      <c r="T72" s="3497"/>
    </row>
    <row r="73" spans="1:20" ht="14.25">
      <c r="A73" s="3495">
        <v>7.1</v>
      </c>
      <c r="B73" s="3496">
        <v>0.627</v>
      </c>
      <c r="C73" s="3492">
        <v>0.81</v>
      </c>
      <c r="D73" s="3493">
        <v>0.86299999999999999</v>
      </c>
      <c r="E73" s="3494">
        <f t="shared" si="3"/>
        <v>0.50900000000000001</v>
      </c>
      <c r="F73" s="3473">
        <f t="shared" si="4"/>
        <v>0.68100000000000005</v>
      </c>
      <c r="G73" s="3477">
        <f t="shared" si="5"/>
        <v>0.73299999999999998</v>
      </c>
      <c r="H73" s="3497"/>
      <c r="I73" s="3498"/>
      <c r="J73" s="3498"/>
      <c r="K73" s="3497"/>
      <c r="L73" s="3497"/>
      <c r="M73" s="3497"/>
      <c r="N73" s="3497"/>
      <c r="O73" s="3497"/>
      <c r="P73" s="3497"/>
      <c r="Q73" s="3498"/>
      <c r="R73" s="3498"/>
      <c r="S73" s="3497"/>
      <c r="T73" s="3497"/>
    </row>
    <row r="74" spans="1:20" ht="14.25">
      <c r="A74" s="3495">
        <v>7.2</v>
      </c>
      <c r="B74" s="3496">
        <v>0.623</v>
      </c>
      <c r="C74" s="3492">
        <v>0.80700000000000005</v>
      </c>
      <c r="D74" s="3493">
        <v>0.86</v>
      </c>
      <c r="E74" s="3494">
        <f t="shared" si="3"/>
        <v>0.50600000000000001</v>
      </c>
      <c r="F74" s="3473">
        <f t="shared" si="4"/>
        <v>0.67900000000000005</v>
      </c>
      <c r="G74" s="3477">
        <f t="shared" si="5"/>
        <v>0.73099999999999998</v>
      </c>
      <c r="H74" s="3497"/>
      <c r="I74" s="3498"/>
      <c r="J74" s="3498"/>
      <c r="K74" s="3497"/>
      <c r="L74" s="3497"/>
      <c r="M74" s="3497"/>
      <c r="N74" s="3497"/>
      <c r="O74" s="3497"/>
      <c r="P74" s="3497"/>
      <c r="Q74" s="3498"/>
      <c r="R74" s="3498"/>
      <c r="S74" s="3497"/>
      <c r="T74" s="3497"/>
    </row>
    <row r="75" spans="1:20" ht="14.25">
      <c r="A75" s="3495">
        <v>7.3</v>
      </c>
      <c r="B75" s="3496">
        <v>0.62</v>
      </c>
      <c r="C75" s="3492">
        <v>0.80400000000000005</v>
      </c>
      <c r="D75" s="3493">
        <v>0.85799999999999998</v>
      </c>
      <c r="E75" s="3494">
        <f t="shared" si="3"/>
        <v>0.503</v>
      </c>
      <c r="F75" s="3473">
        <f t="shared" si="4"/>
        <v>0.67600000000000005</v>
      </c>
      <c r="G75" s="3477">
        <f t="shared" si="5"/>
        <v>0.72899999999999998</v>
      </c>
      <c r="H75" s="3497"/>
      <c r="I75" s="3498"/>
      <c r="J75" s="3498"/>
      <c r="K75" s="3497"/>
      <c r="L75" s="3497"/>
      <c r="M75" s="3497"/>
      <c r="N75" s="3497"/>
      <c r="O75" s="3497"/>
      <c r="P75" s="3497"/>
      <c r="Q75" s="3498"/>
      <c r="R75" s="3498"/>
      <c r="S75" s="3497"/>
      <c r="T75" s="3497"/>
    </row>
    <row r="76" spans="1:20" ht="14.25">
      <c r="A76" s="3495">
        <v>7.4</v>
      </c>
      <c r="B76" s="3496">
        <v>0.61599999999999999</v>
      </c>
      <c r="C76" s="3492">
        <v>0.80100000000000005</v>
      </c>
      <c r="D76" s="3493">
        <v>0.85599999999999998</v>
      </c>
      <c r="E76" s="3494">
        <f t="shared" si="3"/>
        <v>0.5</v>
      </c>
      <c r="F76" s="3473">
        <f t="shared" si="4"/>
        <v>0.67400000000000004</v>
      </c>
      <c r="G76" s="3477">
        <f t="shared" si="5"/>
        <v>0.72699999999999998</v>
      </c>
      <c r="H76" s="3497"/>
      <c r="I76" s="3498"/>
      <c r="J76" s="3498"/>
      <c r="K76" s="3497"/>
      <c r="L76" s="3497"/>
      <c r="M76" s="3497"/>
      <c r="N76" s="3497"/>
      <c r="O76" s="3497"/>
      <c r="P76" s="3497"/>
      <c r="Q76" s="3498"/>
      <c r="R76" s="3498"/>
      <c r="S76" s="3497"/>
      <c r="T76" s="3497"/>
    </row>
    <row r="77" spans="1:20" ht="14.25">
      <c r="A77" s="3495">
        <v>7.5</v>
      </c>
      <c r="B77" s="3496">
        <v>0.61199999999999999</v>
      </c>
      <c r="C77" s="3492">
        <v>0.79900000000000004</v>
      </c>
      <c r="D77" s="3493">
        <v>0.85399999999999998</v>
      </c>
      <c r="E77" s="3494">
        <f t="shared" si="3"/>
        <v>0.497</v>
      </c>
      <c r="F77" s="3473">
        <f t="shared" si="4"/>
        <v>0.67200000000000004</v>
      </c>
      <c r="G77" s="3477">
        <f t="shared" si="5"/>
        <v>0.72599999999999998</v>
      </c>
      <c r="H77" s="3497"/>
      <c r="I77" s="3498"/>
      <c r="J77" s="3498"/>
      <c r="K77" s="3497"/>
      <c r="L77" s="3497"/>
      <c r="M77" s="3497"/>
      <c r="N77" s="3497"/>
      <c r="O77" s="3497"/>
      <c r="P77" s="3497"/>
      <c r="Q77" s="3498"/>
      <c r="R77" s="3498"/>
      <c r="S77" s="3497"/>
      <c r="T77" s="3497"/>
    </row>
    <row r="78" spans="1:20" ht="14.25">
      <c r="A78" s="3495">
        <v>7.6</v>
      </c>
      <c r="B78" s="3496">
        <v>0.60899999999999999</v>
      </c>
      <c r="C78" s="3492">
        <v>0.79600000000000004</v>
      </c>
      <c r="D78" s="3493">
        <v>0.85199999999999998</v>
      </c>
      <c r="E78" s="3494">
        <f t="shared" si="3"/>
        <v>0.49399999999999999</v>
      </c>
      <c r="F78" s="3473">
        <f t="shared" si="4"/>
        <v>0.66900000000000004</v>
      </c>
      <c r="G78" s="3477">
        <f t="shared" si="5"/>
        <v>0.72399999999999998</v>
      </c>
      <c r="H78" s="3497"/>
      <c r="I78" s="3498"/>
      <c r="J78" s="3498"/>
      <c r="K78" s="3497"/>
      <c r="L78" s="3497"/>
      <c r="M78" s="3497"/>
      <c r="N78" s="3497"/>
      <c r="O78" s="3497"/>
      <c r="P78" s="3497"/>
      <c r="Q78" s="3498"/>
      <c r="R78" s="3498"/>
      <c r="S78" s="3497"/>
      <c r="T78" s="3497"/>
    </row>
    <row r="79" spans="1:20" ht="14.25">
      <c r="A79" s="3495">
        <v>7.7</v>
      </c>
      <c r="B79" s="3496">
        <v>0.60499999999999998</v>
      </c>
      <c r="C79" s="3492">
        <v>0.79300000000000004</v>
      </c>
      <c r="D79" s="3493">
        <v>0.84899999999999998</v>
      </c>
      <c r="E79" s="3494">
        <f t="shared" si="3"/>
        <v>0.49099999999999999</v>
      </c>
      <c r="F79" s="3473">
        <f t="shared" si="4"/>
        <v>0.66700000000000004</v>
      </c>
      <c r="G79" s="3477">
        <f t="shared" si="5"/>
        <v>0.72099999999999997</v>
      </c>
      <c r="H79" s="3497"/>
      <c r="I79" s="3498"/>
      <c r="J79" s="3498"/>
      <c r="K79" s="3497"/>
      <c r="L79" s="3497"/>
      <c r="M79" s="3497"/>
      <c r="N79" s="3497"/>
      <c r="O79" s="3497"/>
      <c r="P79" s="3497"/>
      <c r="Q79" s="3498"/>
      <c r="R79" s="3498"/>
      <c r="S79" s="3497"/>
      <c r="T79" s="3497"/>
    </row>
    <row r="80" spans="1:20" ht="14.25">
      <c r="A80" s="3495">
        <v>7.8</v>
      </c>
      <c r="B80" s="3496">
        <v>0.60099999999999998</v>
      </c>
      <c r="C80" s="3492">
        <v>0.79</v>
      </c>
      <c r="D80" s="3493">
        <v>0.84699999999999998</v>
      </c>
      <c r="E80" s="3494">
        <f t="shared" si="3"/>
        <v>0.48799999999999999</v>
      </c>
      <c r="F80" s="3473">
        <f t="shared" si="4"/>
        <v>0.66400000000000003</v>
      </c>
      <c r="G80" s="3477">
        <f t="shared" si="5"/>
        <v>0.72</v>
      </c>
      <c r="H80" s="3497"/>
      <c r="I80" s="3498"/>
      <c r="J80" s="3498"/>
      <c r="K80" s="3497"/>
      <c r="L80" s="3497"/>
      <c r="M80" s="3497"/>
      <c r="N80" s="3497"/>
      <c r="O80" s="3497"/>
      <c r="P80" s="3497"/>
      <c r="Q80" s="3498"/>
      <c r="R80" s="3498"/>
      <c r="S80" s="3497"/>
      <c r="T80" s="3497"/>
    </row>
    <row r="81" spans="1:20" ht="14.25">
      <c r="A81" s="3495">
        <v>7.9</v>
      </c>
      <c r="B81" s="3496">
        <v>0.59699999999999998</v>
      </c>
      <c r="C81" s="3492">
        <v>0.78700000000000003</v>
      </c>
      <c r="D81" s="3493">
        <v>0.84499999999999997</v>
      </c>
      <c r="E81" s="3494">
        <f t="shared" si="3"/>
        <v>0.48499999999999999</v>
      </c>
      <c r="F81" s="3473">
        <f t="shared" si="4"/>
        <v>0.66200000000000003</v>
      </c>
      <c r="G81" s="3477">
        <f t="shared" si="5"/>
        <v>0.71799999999999997</v>
      </c>
      <c r="H81" s="3497"/>
      <c r="I81" s="3498"/>
      <c r="J81" s="3498"/>
      <c r="K81" s="3497"/>
      <c r="L81" s="3497"/>
      <c r="M81" s="3497"/>
      <c r="N81" s="3497"/>
      <c r="O81" s="3497"/>
      <c r="P81" s="3497"/>
      <c r="Q81" s="3498"/>
      <c r="R81" s="3498"/>
      <c r="S81" s="3497"/>
      <c r="T81" s="3497"/>
    </row>
    <row r="82" spans="1:20" ht="14.25">
      <c r="A82" s="3495">
        <v>8</v>
      </c>
      <c r="B82" s="3496">
        <v>0.59399999999999997</v>
      </c>
      <c r="C82" s="3492">
        <v>0.78500000000000003</v>
      </c>
      <c r="D82" s="3493">
        <v>0.84299999999999997</v>
      </c>
      <c r="E82" s="3494">
        <f t="shared" si="3"/>
        <v>0.48199999999999998</v>
      </c>
      <c r="F82" s="3473">
        <f t="shared" si="4"/>
        <v>0.66</v>
      </c>
      <c r="G82" s="3477">
        <f t="shared" si="5"/>
        <v>0.71599999999999997</v>
      </c>
      <c r="H82" s="3497"/>
      <c r="I82" s="3498"/>
      <c r="J82" s="3498"/>
      <c r="K82" s="3497"/>
      <c r="L82" s="3497"/>
      <c r="M82" s="3497"/>
      <c r="N82" s="3497"/>
      <c r="O82" s="3497"/>
      <c r="P82" s="3497"/>
      <c r="Q82" s="3498"/>
      <c r="R82" s="3498"/>
      <c r="S82" s="3497"/>
      <c r="T82" s="3497"/>
    </row>
    <row r="83" spans="1:20" ht="14.25">
      <c r="A83" s="3490">
        <v>8.1</v>
      </c>
      <c r="B83" s="3491">
        <v>0.59</v>
      </c>
      <c r="C83" s="3492">
        <v>0.78200000000000003</v>
      </c>
      <c r="D83" s="3493">
        <v>0.84099999999999997</v>
      </c>
      <c r="E83" s="3494">
        <f t="shared" si="3"/>
        <v>0.47899999999999998</v>
      </c>
      <c r="F83" s="3473">
        <f t="shared" si="4"/>
        <v>0.65800000000000003</v>
      </c>
      <c r="G83" s="3477">
        <f t="shared" si="5"/>
        <v>0.71499999999999997</v>
      </c>
      <c r="H83" s="3497"/>
      <c r="I83" s="3498"/>
      <c r="J83" s="3498"/>
      <c r="K83" s="3497"/>
      <c r="L83" s="3497"/>
      <c r="M83" s="3497"/>
      <c r="N83" s="3497"/>
      <c r="O83" s="3497"/>
      <c r="P83" s="3497"/>
      <c r="Q83" s="3498"/>
      <c r="R83" s="3498"/>
      <c r="S83" s="3497"/>
      <c r="T83" s="3497"/>
    </row>
    <row r="84" spans="1:20" ht="14.25">
      <c r="A84" s="3490">
        <v>8.1999999999999993</v>
      </c>
      <c r="B84" s="3491">
        <v>0.58599999999999997</v>
      </c>
      <c r="C84" s="3492">
        <v>0.77900000000000003</v>
      </c>
      <c r="D84" s="3493">
        <v>0.83799999999999997</v>
      </c>
      <c r="E84" s="3494">
        <f t="shared" si="3"/>
        <v>0.47599999999999998</v>
      </c>
      <c r="F84" s="3473">
        <f t="shared" si="4"/>
        <v>0.65500000000000003</v>
      </c>
      <c r="G84" s="3477">
        <f t="shared" si="5"/>
        <v>0.71199999999999997</v>
      </c>
      <c r="H84" s="3497"/>
      <c r="I84" s="3498"/>
      <c r="J84" s="3498"/>
      <c r="K84" s="3497"/>
      <c r="L84" s="3497"/>
      <c r="M84" s="3497"/>
      <c r="N84" s="3497"/>
      <c r="O84" s="3497"/>
      <c r="P84" s="3497"/>
      <c r="Q84" s="3498"/>
      <c r="R84" s="3498"/>
      <c r="S84" s="3497"/>
      <c r="T84" s="3497"/>
    </row>
    <row r="85" spans="1:20" ht="14.25">
      <c r="A85" s="3490">
        <v>8.3000000000000007</v>
      </c>
      <c r="B85" s="3491">
        <v>0.58199999999999996</v>
      </c>
      <c r="C85" s="3492">
        <v>0.77600000000000002</v>
      </c>
      <c r="D85" s="3493">
        <v>0.83599999999999997</v>
      </c>
      <c r="E85" s="3494">
        <f t="shared" si="3"/>
        <v>0.47199999999999998</v>
      </c>
      <c r="F85" s="3473">
        <f t="shared" si="4"/>
        <v>0.65300000000000002</v>
      </c>
      <c r="G85" s="3477">
        <f t="shared" si="5"/>
        <v>0.71</v>
      </c>
      <c r="H85" s="3497"/>
      <c r="I85" s="3498"/>
      <c r="J85" s="3498"/>
      <c r="K85" s="3497"/>
      <c r="L85" s="3497"/>
      <c r="M85" s="3497"/>
      <c r="N85" s="3497"/>
      <c r="O85" s="3497"/>
      <c r="P85" s="3497"/>
      <c r="Q85" s="3498"/>
      <c r="R85" s="3498"/>
      <c r="S85" s="3497"/>
      <c r="T85" s="3497"/>
    </row>
    <row r="86" spans="1:20" ht="14.25">
      <c r="A86" s="3490">
        <v>8.4</v>
      </c>
      <c r="B86" s="3491">
        <v>0.57899999999999996</v>
      </c>
      <c r="C86" s="3492">
        <v>0.77300000000000002</v>
      </c>
      <c r="D86" s="3493">
        <v>0.83399999999999996</v>
      </c>
      <c r="E86" s="3494">
        <f t="shared" si="3"/>
        <v>0.47</v>
      </c>
      <c r="F86" s="3473">
        <f t="shared" si="4"/>
        <v>0.65</v>
      </c>
      <c r="G86" s="3477">
        <f t="shared" si="5"/>
        <v>0.70899999999999996</v>
      </c>
      <c r="H86" s="3497"/>
      <c r="I86" s="3498"/>
      <c r="J86" s="3498"/>
      <c r="K86" s="3497"/>
      <c r="L86" s="3497"/>
      <c r="M86" s="3497"/>
      <c r="N86" s="3497"/>
      <c r="O86" s="3497"/>
      <c r="P86" s="3497"/>
      <c r="Q86" s="3498"/>
      <c r="R86" s="3498"/>
      <c r="S86" s="3497"/>
      <c r="T86" s="3497"/>
    </row>
    <row r="87" spans="1:20" ht="14.25">
      <c r="A87" s="3490">
        <v>8.5</v>
      </c>
      <c r="B87" s="3491">
        <v>0.57499999999999996</v>
      </c>
      <c r="C87" s="3492">
        <v>0.77100000000000002</v>
      </c>
      <c r="D87" s="3493">
        <v>0.83199999999999996</v>
      </c>
      <c r="E87" s="3494">
        <f t="shared" si="3"/>
        <v>0.46700000000000003</v>
      </c>
      <c r="F87" s="3473">
        <f t="shared" si="4"/>
        <v>0.64800000000000002</v>
      </c>
      <c r="G87" s="3477">
        <f t="shared" si="5"/>
        <v>0.70699999999999996</v>
      </c>
      <c r="H87" s="3497"/>
      <c r="I87" s="3498"/>
      <c r="J87" s="3498"/>
      <c r="K87" s="3497"/>
      <c r="L87" s="3497"/>
      <c r="M87" s="3497"/>
      <c r="N87" s="3497"/>
      <c r="O87" s="3497"/>
      <c r="P87" s="3497"/>
      <c r="Q87" s="3498"/>
      <c r="R87" s="3498"/>
      <c r="S87" s="3497"/>
      <c r="T87" s="3497"/>
    </row>
    <row r="88" spans="1:20" ht="14.25">
      <c r="A88" s="3490">
        <v>8.6</v>
      </c>
      <c r="B88" s="3491">
        <v>0.57099999999999995</v>
      </c>
      <c r="C88" s="3492">
        <v>0.76800000000000002</v>
      </c>
      <c r="D88" s="3493">
        <v>0.83</v>
      </c>
      <c r="E88" s="3494">
        <f t="shared" si="3"/>
        <v>0.46300000000000002</v>
      </c>
      <c r="F88" s="3473">
        <f t="shared" si="4"/>
        <v>0.64600000000000002</v>
      </c>
      <c r="G88" s="3477">
        <f t="shared" si="5"/>
        <v>0.70499999999999996</v>
      </c>
      <c r="H88" s="3497"/>
      <c r="I88" s="3498"/>
      <c r="J88" s="3498"/>
      <c r="K88" s="3497"/>
      <c r="L88" s="3497"/>
      <c r="M88" s="3497"/>
      <c r="N88" s="3497"/>
      <c r="O88" s="3497"/>
      <c r="P88" s="3497"/>
      <c r="Q88" s="3498"/>
      <c r="R88" s="3498"/>
      <c r="S88" s="3497"/>
      <c r="T88" s="3497"/>
    </row>
    <row r="89" spans="1:20" ht="14.25">
      <c r="A89" s="3490">
        <v>8.6999999999999993</v>
      </c>
      <c r="B89" s="3491">
        <v>0.56699999999999995</v>
      </c>
      <c r="C89" s="3492">
        <v>0.76500000000000001</v>
      </c>
      <c r="D89" s="3493">
        <v>0.82699999999999996</v>
      </c>
      <c r="E89" s="3494">
        <f t="shared" si="3"/>
        <v>0.46</v>
      </c>
      <c r="F89" s="3473">
        <f t="shared" si="4"/>
        <v>0.64300000000000002</v>
      </c>
      <c r="G89" s="3477">
        <f t="shared" si="5"/>
        <v>0.70299999999999996</v>
      </c>
      <c r="H89" s="3497"/>
      <c r="I89" s="3498"/>
      <c r="J89" s="3498"/>
      <c r="K89" s="3497"/>
      <c r="L89" s="3497"/>
      <c r="M89" s="3497"/>
      <c r="N89" s="3497"/>
      <c r="O89" s="3497"/>
      <c r="P89" s="3497"/>
      <c r="Q89" s="3498"/>
      <c r="R89" s="3498"/>
      <c r="S89" s="3497"/>
      <c r="T89" s="3497"/>
    </row>
    <row r="90" spans="1:20" ht="14.25">
      <c r="A90" s="3490">
        <v>8.8000000000000007</v>
      </c>
      <c r="B90" s="3491">
        <v>0.56399999999999995</v>
      </c>
      <c r="C90" s="3492">
        <v>0.76200000000000001</v>
      </c>
      <c r="D90" s="3493">
        <v>0.82499999999999996</v>
      </c>
      <c r="E90" s="3494">
        <f t="shared" si="3"/>
        <v>0.45800000000000002</v>
      </c>
      <c r="F90" s="3473">
        <f t="shared" si="4"/>
        <v>0.64100000000000001</v>
      </c>
      <c r="G90" s="3477">
        <f t="shared" si="5"/>
        <v>0.70099999999999996</v>
      </c>
      <c r="H90" s="3497"/>
      <c r="I90" s="3498"/>
      <c r="J90" s="3498"/>
      <c r="K90" s="3497"/>
      <c r="L90" s="3497"/>
      <c r="M90" s="3497"/>
      <c r="N90" s="3497"/>
      <c r="O90" s="3497"/>
      <c r="P90" s="3497"/>
      <c r="Q90" s="3498"/>
      <c r="R90" s="3498"/>
      <c r="S90" s="3497"/>
      <c r="T90" s="3497"/>
    </row>
    <row r="91" spans="1:20" ht="14.25">
      <c r="A91" s="3490">
        <v>8.9</v>
      </c>
      <c r="B91" s="3491">
        <v>0.56000000000000005</v>
      </c>
      <c r="C91" s="3492">
        <v>0.76</v>
      </c>
      <c r="D91" s="3493">
        <v>0.82299999999999995</v>
      </c>
      <c r="E91" s="3494">
        <f t="shared" si="3"/>
        <v>0.45500000000000002</v>
      </c>
      <c r="F91" s="3473">
        <f t="shared" si="4"/>
        <v>0.63900000000000001</v>
      </c>
      <c r="G91" s="3477">
        <f t="shared" si="5"/>
        <v>0.69899999999999995</v>
      </c>
      <c r="H91" s="3497"/>
      <c r="I91" s="3498"/>
      <c r="J91" s="3498"/>
      <c r="K91" s="3497"/>
      <c r="L91" s="3497"/>
      <c r="M91" s="3497"/>
      <c r="N91" s="3497"/>
      <c r="O91" s="3497"/>
      <c r="P91" s="3497"/>
      <c r="Q91" s="3498"/>
      <c r="R91" s="3498"/>
      <c r="S91" s="3497"/>
      <c r="T91" s="3497"/>
    </row>
    <row r="92" spans="1:20" ht="14.25">
      <c r="A92" s="3490">
        <v>9</v>
      </c>
      <c r="B92" s="3491">
        <v>0.55600000000000005</v>
      </c>
      <c r="C92" s="3492">
        <v>0.75700000000000001</v>
      </c>
      <c r="D92" s="3493">
        <v>0.82099999999999995</v>
      </c>
      <c r="E92" s="3494">
        <f t="shared" si="3"/>
        <v>0.45100000000000001</v>
      </c>
      <c r="F92" s="3473">
        <f t="shared" si="4"/>
        <v>0.63700000000000001</v>
      </c>
      <c r="G92" s="3477">
        <f t="shared" si="5"/>
        <v>0.69799999999999995</v>
      </c>
      <c r="H92" s="3497"/>
      <c r="I92" s="3498"/>
      <c r="J92" s="3498"/>
      <c r="K92" s="3497"/>
      <c r="L92" s="3497"/>
      <c r="M92" s="3497"/>
      <c r="N92" s="3497"/>
      <c r="O92" s="3497"/>
      <c r="P92" s="3497"/>
      <c r="Q92" s="3498"/>
      <c r="R92" s="3498"/>
      <c r="S92" s="3497"/>
      <c r="T92" s="3497"/>
    </row>
    <row r="93" spans="1:20" ht="14.25">
      <c r="A93" s="3490">
        <v>9.1</v>
      </c>
      <c r="B93" s="3491">
        <v>0.55300000000000005</v>
      </c>
      <c r="C93" s="3492">
        <v>0.754</v>
      </c>
      <c r="D93" s="3493">
        <v>0.81899999999999995</v>
      </c>
      <c r="E93" s="3494">
        <f t="shared" si="3"/>
        <v>0.44900000000000001</v>
      </c>
      <c r="F93" s="3473">
        <f t="shared" si="4"/>
        <v>0.63400000000000001</v>
      </c>
      <c r="G93" s="3477">
        <f t="shared" si="5"/>
        <v>0.69599999999999995</v>
      </c>
      <c r="H93" s="3497"/>
      <c r="I93" s="3498"/>
      <c r="J93" s="3498"/>
      <c r="K93" s="3497"/>
      <c r="L93" s="3497"/>
      <c r="M93" s="3497"/>
      <c r="N93" s="3497"/>
      <c r="O93" s="3497"/>
      <c r="P93" s="3497"/>
      <c r="Q93" s="3498"/>
      <c r="R93" s="3498"/>
      <c r="S93" s="3497"/>
      <c r="T93" s="3497"/>
    </row>
    <row r="94" spans="1:20" ht="14.25">
      <c r="A94" s="3490">
        <v>9.1999999999999993</v>
      </c>
      <c r="B94" s="3491">
        <v>0.54900000000000004</v>
      </c>
      <c r="C94" s="3492">
        <v>0.751</v>
      </c>
      <c r="D94" s="3493">
        <v>0.81699999999999995</v>
      </c>
      <c r="E94" s="3494">
        <f t="shared" si="3"/>
        <v>0.44600000000000001</v>
      </c>
      <c r="F94" s="3473">
        <f t="shared" si="4"/>
        <v>0.63200000000000001</v>
      </c>
      <c r="G94" s="3477">
        <f t="shared" si="5"/>
        <v>0.69399999999999995</v>
      </c>
      <c r="H94" s="3497"/>
      <c r="I94" s="3498"/>
      <c r="J94" s="3498"/>
      <c r="K94" s="3497"/>
      <c r="L94" s="3497"/>
      <c r="M94" s="3497"/>
      <c r="N94" s="3497"/>
      <c r="O94" s="3497"/>
      <c r="P94" s="3497"/>
      <c r="Q94" s="3498"/>
      <c r="R94" s="3498"/>
      <c r="S94" s="3497"/>
      <c r="T94" s="3497"/>
    </row>
    <row r="95" spans="1:20" ht="14.25">
      <c r="A95" s="3490">
        <v>9.3000000000000007</v>
      </c>
      <c r="B95" s="3491">
        <v>0.54500000000000004</v>
      </c>
      <c r="C95" s="3492">
        <v>0.748</v>
      </c>
      <c r="D95" s="3493">
        <v>0.81399999999999995</v>
      </c>
      <c r="E95" s="3494">
        <f t="shared" si="3"/>
        <v>0.442</v>
      </c>
      <c r="F95" s="3473">
        <f t="shared" si="4"/>
        <v>0.629</v>
      </c>
      <c r="G95" s="3477">
        <f t="shared" si="5"/>
        <v>0.69199999999999995</v>
      </c>
      <c r="H95" s="3497"/>
      <c r="I95" s="3498"/>
      <c r="J95" s="3498"/>
      <c r="K95" s="3497"/>
      <c r="L95" s="3497"/>
      <c r="M95" s="3497"/>
      <c r="N95" s="3497"/>
      <c r="O95" s="3497"/>
      <c r="P95" s="3497"/>
      <c r="Q95" s="3498"/>
      <c r="R95" s="3498"/>
      <c r="S95" s="3497"/>
      <c r="T95" s="3497"/>
    </row>
    <row r="96" spans="1:20" ht="14.25">
      <c r="A96" s="3490">
        <v>9.4</v>
      </c>
      <c r="B96" s="3491">
        <v>0.54100000000000004</v>
      </c>
      <c r="C96" s="3492">
        <v>0.746</v>
      </c>
      <c r="D96" s="3493">
        <v>0.81200000000000006</v>
      </c>
      <c r="E96" s="3494">
        <f t="shared" si="3"/>
        <v>0.439</v>
      </c>
      <c r="F96" s="3473">
        <f t="shared" si="4"/>
        <v>0.627</v>
      </c>
      <c r="G96" s="3477">
        <f t="shared" si="5"/>
        <v>0.69</v>
      </c>
      <c r="H96" s="3497"/>
      <c r="I96" s="3498"/>
      <c r="J96" s="3498"/>
      <c r="K96" s="3497"/>
      <c r="L96" s="3497"/>
      <c r="M96" s="3497"/>
      <c r="N96" s="3497"/>
      <c r="O96" s="3497"/>
      <c r="P96" s="3497"/>
      <c r="Q96" s="3498"/>
      <c r="R96" s="3498"/>
      <c r="S96" s="3497"/>
      <c r="T96" s="3497"/>
    </row>
    <row r="97" spans="1:20" ht="14.25">
      <c r="A97" s="3490">
        <v>9.5</v>
      </c>
      <c r="B97" s="3491">
        <v>0.53800000000000003</v>
      </c>
      <c r="C97" s="3492">
        <v>0.74299999999999999</v>
      </c>
      <c r="D97" s="3493">
        <v>0.81</v>
      </c>
      <c r="E97" s="3494">
        <f t="shared" si="3"/>
        <v>0.437</v>
      </c>
      <c r="F97" s="3473">
        <f t="shared" si="4"/>
        <v>0.625</v>
      </c>
      <c r="G97" s="3477">
        <f t="shared" si="5"/>
        <v>0.68799999999999994</v>
      </c>
      <c r="H97" s="3497"/>
      <c r="I97" s="3498"/>
      <c r="J97" s="3498"/>
      <c r="K97" s="3497"/>
      <c r="L97" s="3497"/>
      <c r="M97" s="3497"/>
      <c r="N97" s="3497"/>
      <c r="O97" s="3497"/>
      <c r="P97" s="3497"/>
      <c r="Q97" s="3498"/>
      <c r="R97" s="3498"/>
      <c r="S97" s="3497"/>
      <c r="T97" s="3497"/>
    </row>
    <row r="98" spans="1:20" ht="14.25">
      <c r="A98" s="3490">
        <v>9.6</v>
      </c>
      <c r="B98" s="3491">
        <v>0.53400000000000003</v>
      </c>
      <c r="C98" s="3492">
        <v>0.74</v>
      </c>
      <c r="D98" s="3493">
        <v>0.80800000000000005</v>
      </c>
      <c r="E98" s="3494">
        <f t="shared" si="3"/>
        <v>0.433</v>
      </c>
      <c r="F98" s="3473">
        <f t="shared" si="4"/>
        <v>0.622</v>
      </c>
      <c r="G98" s="3477">
        <f t="shared" si="5"/>
        <v>0.68600000000000005</v>
      </c>
      <c r="H98" s="3497"/>
      <c r="I98" s="3498"/>
      <c r="J98" s="3498"/>
      <c r="K98" s="3497"/>
      <c r="L98" s="3497"/>
      <c r="M98" s="3497"/>
      <c r="N98" s="3497"/>
      <c r="O98" s="3497"/>
      <c r="P98" s="3497"/>
      <c r="Q98" s="3498"/>
      <c r="R98" s="3498"/>
      <c r="S98" s="3497"/>
      <c r="T98" s="3497"/>
    </row>
    <row r="99" spans="1:20" ht="14.25">
      <c r="A99" s="3490">
        <v>9.6999999999999993</v>
      </c>
      <c r="B99" s="3491">
        <v>0.53</v>
      </c>
      <c r="C99" s="3492">
        <v>0.73699999999999999</v>
      </c>
      <c r="D99" s="3493">
        <v>0.80600000000000005</v>
      </c>
      <c r="E99" s="3494">
        <f t="shared" si="3"/>
        <v>0.43</v>
      </c>
      <c r="F99" s="3473">
        <f t="shared" si="4"/>
        <v>0.62</v>
      </c>
      <c r="G99" s="3477">
        <f t="shared" si="5"/>
        <v>0.68500000000000005</v>
      </c>
      <c r="H99" s="3497"/>
      <c r="I99" s="3498"/>
      <c r="J99" s="3498"/>
      <c r="K99" s="3497"/>
      <c r="L99" s="3497"/>
      <c r="M99" s="3497"/>
      <c r="N99" s="3497"/>
      <c r="O99" s="3497"/>
      <c r="P99" s="3497"/>
      <c r="Q99" s="3498"/>
      <c r="R99" s="3498"/>
      <c r="S99" s="3497"/>
      <c r="T99" s="3497"/>
    </row>
    <row r="100" spans="1:20" ht="14.25">
      <c r="A100" s="3490">
        <v>9.8000000000000007</v>
      </c>
      <c r="B100" s="3491">
        <v>0.52600000000000002</v>
      </c>
      <c r="C100" s="3492">
        <v>0.73499999999999999</v>
      </c>
      <c r="D100" s="3493">
        <v>0.80300000000000005</v>
      </c>
      <c r="E100" s="3494">
        <f t="shared" si="3"/>
        <v>0.42699999999999999</v>
      </c>
      <c r="F100" s="3473">
        <f t="shared" si="4"/>
        <v>0.61799999999999999</v>
      </c>
      <c r="G100" s="3477">
        <f t="shared" si="5"/>
        <v>0.68200000000000005</v>
      </c>
      <c r="H100" s="3497"/>
      <c r="I100" s="3498"/>
      <c r="J100" s="3498"/>
      <c r="K100" s="3497"/>
      <c r="L100" s="3497"/>
      <c r="M100" s="3497"/>
      <c r="N100" s="3497"/>
      <c r="O100" s="3497"/>
      <c r="P100" s="3497"/>
      <c r="Q100" s="3498"/>
      <c r="R100" s="3498"/>
      <c r="S100" s="3497"/>
      <c r="T100" s="3497"/>
    </row>
    <row r="101" spans="1:20" ht="14.25">
      <c r="A101" s="3490">
        <v>9.9</v>
      </c>
      <c r="B101" s="3491">
        <v>0.52300000000000002</v>
      </c>
      <c r="C101" s="3492">
        <v>0.73199999999999998</v>
      </c>
      <c r="D101" s="3493">
        <v>0.80100000000000005</v>
      </c>
      <c r="E101" s="3494">
        <f t="shared" si="3"/>
        <v>0.42499999999999999</v>
      </c>
      <c r="F101" s="3473">
        <f t="shared" si="4"/>
        <v>0.61599999999999999</v>
      </c>
      <c r="G101" s="3477">
        <f t="shared" si="5"/>
        <v>0.68100000000000005</v>
      </c>
      <c r="H101" s="3497"/>
      <c r="I101" s="3498"/>
      <c r="J101" s="3498"/>
      <c r="K101" s="3497"/>
      <c r="L101" s="3497"/>
      <c r="M101" s="3497"/>
      <c r="N101" s="3497"/>
      <c r="O101" s="3497"/>
      <c r="P101" s="3497"/>
      <c r="Q101" s="3498"/>
      <c r="R101" s="3498"/>
      <c r="S101" s="3497"/>
      <c r="T101" s="3497"/>
    </row>
    <row r="102" spans="1:20" ht="15" thickBot="1">
      <c r="A102" s="3499">
        <v>10</v>
      </c>
      <c r="B102" s="3500">
        <v>0.51900000000000002</v>
      </c>
      <c r="C102" s="3501">
        <v>0.72899999999999998</v>
      </c>
      <c r="D102" s="3502">
        <v>0.79900000000000004</v>
      </c>
      <c r="E102" s="3503">
        <f t="shared" si="3"/>
        <v>0.42099999999999999</v>
      </c>
      <c r="F102" s="3504">
        <f t="shared" si="4"/>
        <v>0.61299999999999999</v>
      </c>
      <c r="G102" s="3481">
        <f t="shared" si="5"/>
        <v>0.67900000000000005</v>
      </c>
      <c r="H102" s="3497"/>
      <c r="I102" s="3498"/>
      <c r="J102" s="3498"/>
      <c r="K102" s="3497"/>
      <c r="L102" s="3497"/>
      <c r="M102" s="3497"/>
      <c r="N102" s="3497"/>
      <c r="O102" s="3497"/>
      <c r="P102" s="3497"/>
      <c r="Q102" s="3498"/>
      <c r="R102" s="3498"/>
      <c r="S102" s="3497"/>
      <c r="T102" s="3497"/>
    </row>
  </sheetData>
  <mergeCells count="3">
    <mergeCell ref="A1:A2"/>
    <mergeCell ref="B1:D1"/>
    <mergeCell ref="E1:G1"/>
  </mergeCells>
  <phoneticPr fontId="146"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4"/>
  <sheetViews>
    <sheetView workbookViewId="0">
      <selection activeCell="H27" sqref="H27"/>
    </sheetView>
  </sheetViews>
  <sheetFormatPr defaultRowHeight="12"/>
  <cols>
    <col min="1" max="1" width="23.75" style="3510" customWidth="1"/>
    <col min="2" max="16384" width="9" style="3510"/>
  </cols>
  <sheetData>
    <row r="1" spans="1:21">
      <c r="A1" s="3505" t="s">
        <v>3518</v>
      </c>
      <c r="B1" s="3506" t="s">
        <v>161</v>
      </c>
      <c r="C1" s="3507" t="s">
        <v>161</v>
      </c>
      <c r="D1" s="3506" t="s">
        <v>221</v>
      </c>
      <c r="E1" s="3508" t="s">
        <v>221</v>
      </c>
      <c r="F1" s="3509" t="s">
        <v>399</v>
      </c>
      <c r="G1" s="3507" t="s">
        <v>399</v>
      </c>
      <c r="H1" s="3506" t="s">
        <v>87</v>
      </c>
      <c r="I1" s="3508" t="s">
        <v>87</v>
      </c>
      <c r="J1" s="3509" t="s">
        <v>480</v>
      </c>
      <c r="K1" s="3507" t="s">
        <v>480</v>
      </c>
      <c r="L1" s="3506" t="s">
        <v>70</v>
      </c>
      <c r="M1" s="3508" t="s">
        <v>70</v>
      </c>
      <c r="N1" s="3509" t="s">
        <v>483</v>
      </c>
      <c r="O1" s="3507" t="s">
        <v>483</v>
      </c>
      <c r="P1" s="3506" t="s">
        <v>485</v>
      </c>
      <c r="Q1" s="3508" t="s">
        <v>485</v>
      </c>
      <c r="R1" s="3509" t="s">
        <v>487</v>
      </c>
      <c r="S1" s="3507" t="s">
        <v>487</v>
      </c>
      <c r="T1" s="3506" t="s">
        <v>491</v>
      </c>
      <c r="U1" s="3508" t="s">
        <v>491</v>
      </c>
    </row>
    <row r="2" spans="1:21" ht="12.75" thickBot="1">
      <c r="A2" s="3511"/>
      <c r="B2" s="3512" t="s">
        <v>3519</v>
      </c>
      <c r="C2" s="3513" t="s">
        <v>3520</v>
      </c>
      <c r="D2" s="3512" t="s">
        <v>3519</v>
      </c>
      <c r="E2" s="3514" t="s">
        <v>3520</v>
      </c>
      <c r="F2" s="3515" t="s">
        <v>3519</v>
      </c>
      <c r="G2" s="3513" t="s">
        <v>3520</v>
      </c>
      <c r="H2" s="3512" t="s">
        <v>3519</v>
      </c>
      <c r="I2" s="3514" t="s">
        <v>3520</v>
      </c>
      <c r="J2" s="3515" t="s">
        <v>3519</v>
      </c>
      <c r="K2" s="3513" t="s">
        <v>3520</v>
      </c>
      <c r="L2" s="3512" t="s">
        <v>3519</v>
      </c>
      <c r="M2" s="3514" t="s">
        <v>3520</v>
      </c>
      <c r="N2" s="3515" t="s">
        <v>3519</v>
      </c>
      <c r="O2" s="3513" t="s">
        <v>3520</v>
      </c>
      <c r="P2" s="3512" t="s">
        <v>3519</v>
      </c>
      <c r="Q2" s="3514" t="s">
        <v>3520</v>
      </c>
      <c r="R2" s="3515" t="s">
        <v>3519</v>
      </c>
      <c r="S2" s="3513" t="s">
        <v>3520</v>
      </c>
      <c r="T2" s="3512" t="s">
        <v>3519</v>
      </c>
      <c r="U2" s="3514" t="s">
        <v>3520</v>
      </c>
    </row>
    <row r="3" spans="1:21">
      <c r="A3" s="3516" t="s">
        <v>3420</v>
      </c>
      <c r="B3" s="3517">
        <f>0-C3</f>
        <v>-4.4999999999999998E-2</v>
      </c>
      <c r="C3" s="3518">
        <v>4.4999999999999998E-2</v>
      </c>
      <c r="D3" s="3519">
        <f>0-E3</f>
        <v>-4.4999999999999998E-2</v>
      </c>
      <c r="E3" s="3520">
        <v>4.4999999999999998E-2</v>
      </c>
      <c r="F3" s="3517">
        <f>0-G3</f>
        <v>-4.4999999999999998E-2</v>
      </c>
      <c r="G3" s="3518">
        <v>4.4999999999999998E-2</v>
      </c>
      <c r="H3" s="3519">
        <f>0-I3</f>
        <v>-4.4999999999999998E-2</v>
      </c>
      <c r="I3" s="3520">
        <v>4.4999999999999998E-2</v>
      </c>
      <c r="J3" s="3517">
        <f>0-K3</f>
        <v>-0.06</v>
      </c>
      <c r="K3" s="3518">
        <v>0.06</v>
      </c>
      <c r="L3" s="3521">
        <v>-0.06</v>
      </c>
      <c r="M3" s="3520">
        <v>5.3999999999999999E-2</v>
      </c>
      <c r="N3" s="3517">
        <f>0-O3</f>
        <v>-7.4999999999999997E-2</v>
      </c>
      <c r="O3" s="3518">
        <v>7.4999999999999997E-2</v>
      </c>
      <c r="P3" s="3521">
        <v>-0.114</v>
      </c>
      <c r="Q3" s="3520">
        <v>0.111</v>
      </c>
      <c r="R3" s="3522">
        <v>-0.114</v>
      </c>
      <c r="S3" s="3518">
        <v>0.105</v>
      </c>
      <c r="T3" s="3519">
        <f>0-U3</f>
        <v>-0.09</v>
      </c>
      <c r="U3" s="3523">
        <v>0.09</v>
      </c>
    </row>
    <row r="4" spans="1:21">
      <c r="A4" s="3524" t="s">
        <v>3421</v>
      </c>
      <c r="B4" s="3525">
        <f t="shared" ref="B4:B9" si="0">0-C4</f>
        <v>-2.2499999999999999E-2</v>
      </c>
      <c r="C4" s="3526">
        <v>2.2499999999999999E-2</v>
      </c>
      <c r="D4" s="3527">
        <f t="shared" ref="D4:D9" si="1">0-E4</f>
        <v>-2.2499999999999999E-2</v>
      </c>
      <c r="E4" s="3528">
        <v>2.2499999999999999E-2</v>
      </c>
      <c r="F4" s="3525">
        <f t="shared" ref="F4:F9" si="2">0-G4</f>
        <v>-2.2499999999999999E-2</v>
      </c>
      <c r="G4" s="3526">
        <v>2.2499999999999999E-2</v>
      </c>
      <c r="H4" s="3527">
        <f t="shared" ref="H4:H9" si="3">0-I4</f>
        <v>-2.2499999999999999E-2</v>
      </c>
      <c r="I4" s="3528">
        <v>2.2499999999999999E-2</v>
      </c>
      <c r="J4" s="3525">
        <f t="shared" ref="J4:J9" si="4">0-K4</f>
        <v>-0.03</v>
      </c>
      <c r="K4" s="3526">
        <v>0.03</v>
      </c>
      <c r="L4" s="3529">
        <v>-0.03</v>
      </c>
      <c r="M4" s="3528">
        <v>2.7E-2</v>
      </c>
      <c r="N4" s="3525">
        <f>0-O4</f>
        <v>-3.7499999999999999E-2</v>
      </c>
      <c r="O4" s="3526">
        <v>3.7499999999999999E-2</v>
      </c>
      <c r="P4" s="3529">
        <v>-5.7000000000000002E-2</v>
      </c>
      <c r="Q4" s="3528">
        <v>5.5500000000000001E-2</v>
      </c>
      <c r="R4" s="3530">
        <v>-5.7000000000000002E-2</v>
      </c>
      <c r="S4" s="3526">
        <v>5.2499999999999998E-2</v>
      </c>
      <c r="T4" s="3527">
        <f t="shared" ref="T4:T9" si="5">0-U4</f>
        <v>-4.4999999999999998E-2</v>
      </c>
      <c r="U4" s="3531">
        <v>4.4999999999999998E-2</v>
      </c>
    </row>
    <row r="5" spans="1:21">
      <c r="A5" s="3524" t="s">
        <v>3422</v>
      </c>
      <c r="B5" s="3525">
        <f t="shared" si="0"/>
        <v>-1.4999999999999999E-2</v>
      </c>
      <c r="C5" s="3526">
        <v>1.4999999999999999E-2</v>
      </c>
      <c r="D5" s="3527">
        <f t="shared" si="1"/>
        <v>-1.4999999999999999E-2</v>
      </c>
      <c r="E5" s="3528">
        <v>1.4999999999999999E-2</v>
      </c>
      <c r="F5" s="3525">
        <f t="shared" si="2"/>
        <v>-1.4999999999999999E-2</v>
      </c>
      <c r="G5" s="3526">
        <v>1.4999999999999999E-2</v>
      </c>
      <c r="H5" s="3527">
        <f t="shared" si="3"/>
        <v>-1.4999999999999999E-2</v>
      </c>
      <c r="I5" s="3528">
        <v>1.4999999999999999E-2</v>
      </c>
      <c r="J5" s="3525">
        <f t="shared" si="4"/>
        <v>-0.02</v>
      </c>
      <c r="K5" s="3526">
        <v>0.02</v>
      </c>
      <c r="L5" s="3529">
        <v>-0.02</v>
      </c>
      <c r="M5" s="3528">
        <v>1.7999999999999999E-2</v>
      </c>
      <c r="N5" s="3525">
        <f t="shared" ref="N5:N7" si="6">0-O5</f>
        <v>-2.5000000000000001E-2</v>
      </c>
      <c r="O5" s="3526">
        <v>2.5000000000000001E-2</v>
      </c>
      <c r="P5" s="3529">
        <v>-3.7999999999999999E-2</v>
      </c>
      <c r="Q5" s="3528">
        <v>3.6999999999999998E-2</v>
      </c>
      <c r="R5" s="3530">
        <v>-3.7999999999999999E-2</v>
      </c>
      <c r="S5" s="3526">
        <v>3.5000000000000003E-2</v>
      </c>
      <c r="T5" s="3527">
        <f t="shared" si="5"/>
        <v>-0.03</v>
      </c>
      <c r="U5" s="3531">
        <v>0.03</v>
      </c>
    </row>
    <row r="6" spans="1:21">
      <c r="A6" s="3524" t="s">
        <v>3423</v>
      </c>
      <c r="B6" s="3525">
        <f t="shared" si="0"/>
        <v>-0.03</v>
      </c>
      <c r="C6" s="3526">
        <v>0.03</v>
      </c>
      <c r="D6" s="3527">
        <f t="shared" si="1"/>
        <v>-0.03</v>
      </c>
      <c r="E6" s="3528">
        <v>0.03</v>
      </c>
      <c r="F6" s="3525">
        <f t="shared" si="2"/>
        <v>-0.03</v>
      </c>
      <c r="G6" s="3526">
        <v>0.03</v>
      </c>
      <c r="H6" s="3527">
        <f t="shared" si="3"/>
        <v>-0.03</v>
      </c>
      <c r="I6" s="3528">
        <v>0.03</v>
      </c>
      <c r="J6" s="3525">
        <f t="shared" si="4"/>
        <v>-0.04</v>
      </c>
      <c r="K6" s="3526">
        <v>0.04</v>
      </c>
      <c r="L6" s="3529">
        <v>-0.04</v>
      </c>
      <c r="M6" s="3528">
        <v>3.5999999999999997E-2</v>
      </c>
      <c r="N6" s="3525">
        <f t="shared" si="6"/>
        <v>-0.05</v>
      </c>
      <c r="O6" s="3526">
        <v>0.05</v>
      </c>
      <c r="P6" s="3529">
        <v>-7.5999999999999998E-2</v>
      </c>
      <c r="Q6" s="3528">
        <v>7.3999999999999996E-2</v>
      </c>
      <c r="R6" s="3530">
        <v>-7.5999999999999998E-2</v>
      </c>
      <c r="S6" s="3526">
        <v>7.0000000000000007E-2</v>
      </c>
      <c r="T6" s="3527">
        <f t="shared" si="5"/>
        <v>-0.06</v>
      </c>
      <c r="U6" s="3531">
        <v>0.06</v>
      </c>
    </row>
    <row r="7" spans="1:21">
      <c r="A7" s="3524" t="s">
        <v>3425</v>
      </c>
      <c r="B7" s="3525">
        <f t="shared" si="0"/>
        <v>-1.4999999999999999E-2</v>
      </c>
      <c r="C7" s="3526">
        <v>1.4999999999999999E-2</v>
      </c>
      <c r="D7" s="3527">
        <f t="shared" si="1"/>
        <v>-1.4999999999999999E-2</v>
      </c>
      <c r="E7" s="3528">
        <v>1.4999999999999999E-2</v>
      </c>
      <c r="F7" s="3525">
        <f t="shared" si="2"/>
        <v>-1.4999999999999999E-2</v>
      </c>
      <c r="G7" s="3526">
        <v>1.4999999999999999E-2</v>
      </c>
      <c r="H7" s="3527">
        <f t="shared" si="3"/>
        <v>-1.4999999999999999E-2</v>
      </c>
      <c r="I7" s="3528">
        <v>1.4999999999999999E-2</v>
      </c>
      <c r="J7" s="3525">
        <f t="shared" si="4"/>
        <v>-0.02</v>
      </c>
      <c r="K7" s="3526">
        <v>0.02</v>
      </c>
      <c r="L7" s="3529">
        <v>-0.02</v>
      </c>
      <c r="M7" s="3528">
        <v>1.7999999999999999E-2</v>
      </c>
      <c r="N7" s="3525">
        <f t="shared" si="6"/>
        <v>-2.5000000000000001E-2</v>
      </c>
      <c r="O7" s="3526">
        <v>2.5000000000000001E-2</v>
      </c>
      <c r="P7" s="3529">
        <v>-3.7999999999999999E-2</v>
      </c>
      <c r="Q7" s="3528">
        <v>3.6999999999999998E-2</v>
      </c>
      <c r="R7" s="3530">
        <v>-3.7999999999999999E-2</v>
      </c>
      <c r="S7" s="3526">
        <v>3.5000000000000003E-2</v>
      </c>
      <c r="T7" s="3527">
        <f t="shared" si="5"/>
        <v>-0.03</v>
      </c>
      <c r="U7" s="3531">
        <v>0.03</v>
      </c>
    </row>
    <row r="8" spans="1:21">
      <c r="A8" s="3524" t="s">
        <v>3426</v>
      </c>
      <c r="B8" s="3525">
        <f t="shared" si="0"/>
        <v>-1.2E-2</v>
      </c>
      <c r="C8" s="3526">
        <v>1.2E-2</v>
      </c>
      <c r="D8" s="3527">
        <f t="shared" si="1"/>
        <v>-1.2E-2</v>
      </c>
      <c r="E8" s="3528">
        <v>1.2E-2</v>
      </c>
      <c r="F8" s="3525">
        <f t="shared" si="2"/>
        <v>-1.2E-2</v>
      </c>
      <c r="G8" s="3526">
        <v>1.2E-2</v>
      </c>
      <c r="H8" s="3527">
        <f t="shared" si="3"/>
        <v>-1.2E-2</v>
      </c>
      <c r="I8" s="3528">
        <v>1.2E-2</v>
      </c>
      <c r="J8" s="3525">
        <f t="shared" si="4"/>
        <v>-1.6E-2</v>
      </c>
      <c r="K8" s="3526">
        <v>1.6E-2</v>
      </c>
      <c r="L8" s="3529">
        <v>-1.6E-2</v>
      </c>
      <c r="M8" s="3528">
        <v>1.44E-2</v>
      </c>
      <c r="N8" s="3525">
        <f>0-O8</f>
        <v>-0.02</v>
      </c>
      <c r="O8" s="3526">
        <v>0.02</v>
      </c>
      <c r="P8" s="3529">
        <v>-3.04E-2</v>
      </c>
      <c r="Q8" s="3528">
        <v>2.9600000000000001E-2</v>
      </c>
      <c r="R8" s="3530">
        <v>-3.04E-2</v>
      </c>
      <c r="S8" s="3526">
        <v>2.8000000000000001E-2</v>
      </c>
      <c r="T8" s="3527">
        <f t="shared" si="5"/>
        <v>-2.4E-2</v>
      </c>
      <c r="U8" s="3531">
        <v>2.4E-2</v>
      </c>
    </row>
    <row r="9" spans="1:21" ht="12.75" thickBot="1">
      <c r="A9" s="3532" t="s">
        <v>3485</v>
      </c>
      <c r="B9" s="3533">
        <f t="shared" si="0"/>
        <v>-1.0500000000000001E-2</v>
      </c>
      <c r="C9" s="3534">
        <v>1.0500000000000001E-2</v>
      </c>
      <c r="D9" s="3535">
        <f t="shared" si="1"/>
        <v>-1.0500000000000001E-2</v>
      </c>
      <c r="E9" s="3536">
        <v>1.0500000000000001E-2</v>
      </c>
      <c r="F9" s="3533">
        <f t="shared" si="2"/>
        <v>-1.0500000000000001E-2</v>
      </c>
      <c r="G9" s="3534">
        <v>1.0500000000000001E-2</v>
      </c>
      <c r="H9" s="3535">
        <f t="shared" si="3"/>
        <v>-1.0500000000000001E-2</v>
      </c>
      <c r="I9" s="3536">
        <v>1.0500000000000001E-2</v>
      </c>
      <c r="J9" s="3533">
        <f t="shared" si="4"/>
        <v>-1.4E-2</v>
      </c>
      <c r="K9" s="3534">
        <v>1.4E-2</v>
      </c>
      <c r="L9" s="3537">
        <v>-1.4E-2</v>
      </c>
      <c r="M9" s="3536">
        <v>1.26E-2</v>
      </c>
      <c r="N9" s="3533">
        <f>0-O9</f>
        <v>-1.7500000000000002E-2</v>
      </c>
      <c r="O9" s="3534">
        <v>1.7500000000000002E-2</v>
      </c>
      <c r="P9" s="3537">
        <v>-2.6599999999999999E-2</v>
      </c>
      <c r="Q9" s="3536">
        <v>2.5899999999999999E-2</v>
      </c>
      <c r="R9" s="3538">
        <v>-2.6599999999999999E-2</v>
      </c>
      <c r="S9" s="3534">
        <v>2.4500000000000001E-2</v>
      </c>
      <c r="T9" s="3535">
        <f t="shared" si="5"/>
        <v>-2.1000000000000001E-2</v>
      </c>
      <c r="U9" s="3539">
        <v>2.1000000000000001E-2</v>
      </c>
    </row>
    <row r="10" spans="1:21">
      <c r="A10" s="3516" t="s">
        <v>3436</v>
      </c>
      <c r="B10" s="3517">
        <f>0-C10</f>
        <v>-0.04</v>
      </c>
      <c r="C10" s="3518">
        <v>0.04</v>
      </c>
      <c r="D10" s="3519">
        <f>0-E10</f>
        <v>-0.03</v>
      </c>
      <c r="E10" s="3520">
        <v>0.03</v>
      </c>
      <c r="F10" s="3517">
        <f>0-G10</f>
        <v>-0.03</v>
      </c>
      <c r="G10" s="3518">
        <v>0.03</v>
      </c>
      <c r="H10" s="3519">
        <f>0-I10</f>
        <v>-0.04</v>
      </c>
      <c r="I10" s="3520">
        <v>0.04</v>
      </c>
      <c r="J10" s="3522">
        <v>-3.5999999999999997E-2</v>
      </c>
      <c r="K10" s="3518">
        <v>3.4000000000000002E-2</v>
      </c>
      <c r="L10" s="3521">
        <v>-4.8000000000000001E-2</v>
      </c>
      <c r="M10" s="3520">
        <v>4.5999999999999999E-2</v>
      </c>
      <c r="N10" s="3517">
        <f>0-O10</f>
        <v>-0.04</v>
      </c>
      <c r="O10" s="3518">
        <v>0.04</v>
      </c>
      <c r="P10" s="3521">
        <v>-7.1999999999999995E-2</v>
      </c>
      <c r="Q10" s="3520">
        <v>6.8000000000000005E-2</v>
      </c>
      <c r="R10" s="3522">
        <v>-0.08</v>
      </c>
      <c r="S10" s="3518">
        <v>7.1999999999999995E-2</v>
      </c>
      <c r="T10" s="3519">
        <f>0-U10</f>
        <v>-0.06</v>
      </c>
      <c r="U10" s="3523">
        <v>0.06</v>
      </c>
    </row>
    <row r="11" spans="1:21">
      <c r="A11" s="3524" t="s">
        <v>3421</v>
      </c>
      <c r="B11" s="3525">
        <f t="shared" ref="B11:B16" si="7">0-C11</f>
        <v>-0.05</v>
      </c>
      <c r="C11" s="3526">
        <v>0.05</v>
      </c>
      <c r="D11" s="3527">
        <f t="shared" ref="D11:F26" si="8">0-E11</f>
        <v>-3.7499999999999999E-2</v>
      </c>
      <c r="E11" s="3528">
        <v>3.7499999999999999E-2</v>
      </c>
      <c r="F11" s="3525">
        <f t="shared" si="8"/>
        <v>-3.7499999999999999E-2</v>
      </c>
      <c r="G11" s="3526">
        <v>3.7499999999999999E-2</v>
      </c>
      <c r="H11" s="3527">
        <f t="shared" ref="H11:H16" si="9">0-I11</f>
        <v>-0.05</v>
      </c>
      <c r="I11" s="3528">
        <v>0.05</v>
      </c>
      <c r="J11" s="3530">
        <v>-4.4999999999999998E-2</v>
      </c>
      <c r="K11" s="3526">
        <v>4.2500000000000003E-2</v>
      </c>
      <c r="L11" s="3529">
        <v>-0.06</v>
      </c>
      <c r="M11" s="3528">
        <v>5.7500000000000002E-2</v>
      </c>
      <c r="N11" s="3525">
        <f t="shared" ref="N11:N16" si="10">0-O11</f>
        <v>-0.05</v>
      </c>
      <c r="O11" s="3526">
        <v>0.05</v>
      </c>
      <c r="P11" s="3529">
        <v>-0.09</v>
      </c>
      <c r="Q11" s="3528">
        <v>8.5000000000000006E-2</v>
      </c>
      <c r="R11" s="3530">
        <v>-0.1</v>
      </c>
      <c r="S11" s="3526">
        <v>0.09</v>
      </c>
      <c r="T11" s="3527">
        <f t="shared" ref="T11:T16" si="11">0-U11</f>
        <v>-7.4999999999999997E-2</v>
      </c>
      <c r="U11" s="3531">
        <v>7.4999999999999997E-2</v>
      </c>
    </row>
    <row r="12" spans="1:21">
      <c r="A12" s="3524" t="s">
        <v>3521</v>
      </c>
      <c r="B12" s="3525">
        <f t="shared" si="7"/>
        <v>-0.02</v>
      </c>
      <c r="C12" s="3526">
        <v>0.02</v>
      </c>
      <c r="D12" s="3527">
        <f t="shared" si="8"/>
        <v>-1.4999999999999999E-2</v>
      </c>
      <c r="E12" s="3528">
        <v>1.4999999999999999E-2</v>
      </c>
      <c r="F12" s="3525">
        <f t="shared" si="8"/>
        <v>-1.4999999999999999E-2</v>
      </c>
      <c r="G12" s="3526">
        <v>1.4999999999999999E-2</v>
      </c>
      <c r="H12" s="3527">
        <f t="shared" si="9"/>
        <v>-0.02</v>
      </c>
      <c r="I12" s="3528">
        <v>0.02</v>
      </c>
      <c r="J12" s="3530">
        <v>-1.7999999999999999E-2</v>
      </c>
      <c r="K12" s="3526">
        <v>1.7000000000000001E-2</v>
      </c>
      <c r="L12" s="3529">
        <v>-2.4E-2</v>
      </c>
      <c r="M12" s="3528">
        <v>2.3E-2</v>
      </c>
      <c r="N12" s="3525">
        <f t="shared" si="10"/>
        <v>-0.02</v>
      </c>
      <c r="O12" s="3526">
        <v>0.02</v>
      </c>
      <c r="P12" s="3529">
        <v>-3.5999999999999997E-2</v>
      </c>
      <c r="Q12" s="3528">
        <v>3.4000000000000002E-2</v>
      </c>
      <c r="R12" s="3530">
        <v>-0.04</v>
      </c>
      <c r="S12" s="3526">
        <v>3.5999999999999997E-2</v>
      </c>
      <c r="T12" s="3527">
        <f t="shared" si="11"/>
        <v>-0.03</v>
      </c>
      <c r="U12" s="3531">
        <v>0.03</v>
      </c>
    </row>
    <row r="13" spans="1:21">
      <c r="A13" s="3524" t="s">
        <v>3522</v>
      </c>
      <c r="B13" s="3525">
        <f t="shared" si="7"/>
        <v>-0.02</v>
      </c>
      <c r="C13" s="3526">
        <v>0.02</v>
      </c>
      <c r="D13" s="3527">
        <f t="shared" si="8"/>
        <v>-1.4999999999999999E-2</v>
      </c>
      <c r="E13" s="3528">
        <v>1.4999999999999999E-2</v>
      </c>
      <c r="F13" s="3525">
        <f t="shared" si="8"/>
        <v>-1.4999999999999999E-2</v>
      </c>
      <c r="G13" s="3526">
        <v>1.4999999999999999E-2</v>
      </c>
      <c r="H13" s="3527">
        <f t="shared" si="9"/>
        <v>-0.02</v>
      </c>
      <c r="I13" s="3528">
        <v>0.02</v>
      </c>
      <c r="J13" s="3530">
        <v>-1.7999999999999999E-2</v>
      </c>
      <c r="K13" s="3526">
        <v>1.7000000000000001E-2</v>
      </c>
      <c r="L13" s="3529">
        <v>-2.4E-2</v>
      </c>
      <c r="M13" s="3528">
        <v>2.3E-2</v>
      </c>
      <c r="N13" s="3525">
        <f t="shared" si="10"/>
        <v>-0.02</v>
      </c>
      <c r="O13" s="3526">
        <v>0.02</v>
      </c>
      <c r="P13" s="3529">
        <v>-3.5999999999999997E-2</v>
      </c>
      <c r="Q13" s="3528">
        <v>3.4000000000000002E-2</v>
      </c>
      <c r="R13" s="3530">
        <v>-0.04</v>
      </c>
      <c r="S13" s="3526">
        <v>3.5999999999999997E-2</v>
      </c>
      <c r="T13" s="3527">
        <f t="shared" si="11"/>
        <v>-0.03</v>
      </c>
      <c r="U13" s="3531">
        <v>0.03</v>
      </c>
    </row>
    <row r="14" spans="1:21">
      <c r="A14" s="3524" t="s">
        <v>3523</v>
      </c>
      <c r="B14" s="3525">
        <f t="shared" si="7"/>
        <v>-0.03</v>
      </c>
      <c r="C14" s="3526">
        <v>0.03</v>
      </c>
      <c r="D14" s="3527">
        <f t="shared" si="8"/>
        <v>-2.2499999999999999E-2</v>
      </c>
      <c r="E14" s="3528">
        <v>2.2499999999999999E-2</v>
      </c>
      <c r="F14" s="3525">
        <f t="shared" si="8"/>
        <v>-2.2499999999999999E-2</v>
      </c>
      <c r="G14" s="3526">
        <v>2.2499999999999999E-2</v>
      </c>
      <c r="H14" s="3527">
        <f t="shared" si="9"/>
        <v>-0.03</v>
      </c>
      <c r="I14" s="3528">
        <v>0.03</v>
      </c>
      <c r="J14" s="3530">
        <v>-2.7E-2</v>
      </c>
      <c r="K14" s="3526">
        <v>2.5499999999999998E-2</v>
      </c>
      <c r="L14" s="3529">
        <v>-3.5999999999999997E-2</v>
      </c>
      <c r="M14" s="3528">
        <v>3.4500000000000003E-2</v>
      </c>
      <c r="N14" s="3525">
        <f t="shared" si="10"/>
        <v>-0.03</v>
      </c>
      <c r="O14" s="3526">
        <v>0.03</v>
      </c>
      <c r="P14" s="3529">
        <v>-5.3999999999999999E-2</v>
      </c>
      <c r="Q14" s="3528">
        <v>5.0999999999999997E-2</v>
      </c>
      <c r="R14" s="3530">
        <v>-0.06</v>
      </c>
      <c r="S14" s="3526">
        <v>5.3999999999999999E-2</v>
      </c>
      <c r="T14" s="3527">
        <f t="shared" si="11"/>
        <v>-4.4999999999999998E-2</v>
      </c>
      <c r="U14" s="3531">
        <v>4.4999999999999998E-2</v>
      </c>
    </row>
    <row r="15" spans="1:21">
      <c r="A15" s="3524" t="s">
        <v>3524</v>
      </c>
      <c r="B15" s="3525">
        <f t="shared" si="7"/>
        <v>-1.6E-2</v>
      </c>
      <c r="C15" s="3526">
        <v>1.6E-2</v>
      </c>
      <c r="D15" s="3527">
        <f t="shared" si="8"/>
        <v>-1.2E-2</v>
      </c>
      <c r="E15" s="3528">
        <v>1.2E-2</v>
      </c>
      <c r="F15" s="3525">
        <f t="shared" si="8"/>
        <v>-1.2E-2</v>
      </c>
      <c r="G15" s="3526">
        <v>1.2E-2</v>
      </c>
      <c r="H15" s="3527">
        <f t="shared" si="9"/>
        <v>-1.6E-2</v>
      </c>
      <c r="I15" s="3528">
        <v>1.6E-2</v>
      </c>
      <c r="J15" s="3530">
        <v>-1.44E-2</v>
      </c>
      <c r="K15" s="3526">
        <v>1.3599999999999999E-2</v>
      </c>
      <c r="L15" s="3529">
        <v>-1.9199999999999998E-2</v>
      </c>
      <c r="M15" s="3528">
        <v>1.84E-2</v>
      </c>
      <c r="N15" s="3525">
        <f t="shared" si="10"/>
        <v>-1.6E-2</v>
      </c>
      <c r="O15" s="3526">
        <v>1.6E-2</v>
      </c>
      <c r="P15" s="3529">
        <v>-2.8799999999999999E-2</v>
      </c>
      <c r="Q15" s="3528">
        <v>2.7199999999999998E-2</v>
      </c>
      <c r="R15" s="3530">
        <v>-3.2000000000000001E-2</v>
      </c>
      <c r="S15" s="3526">
        <v>2.8799999999999999E-2</v>
      </c>
      <c r="T15" s="3527">
        <f t="shared" si="11"/>
        <v>-2.4E-2</v>
      </c>
      <c r="U15" s="3531">
        <v>2.4E-2</v>
      </c>
    </row>
    <row r="16" spans="1:21" ht="12" customHeight="1" thickBot="1">
      <c r="A16" s="3532" t="s">
        <v>3525</v>
      </c>
      <c r="B16" s="3533">
        <f t="shared" si="7"/>
        <v>-2.4E-2</v>
      </c>
      <c r="C16" s="3534">
        <v>2.4E-2</v>
      </c>
      <c r="D16" s="3535">
        <f t="shared" si="8"/>
        <v>-1.7999999999999999E-2</v>
      </c>
      <c r="E16" s="3536">
        <v>1.7999999999999999E-2</v>
      </c>
      <c r="F16" s="3533">
        <f t="shared" si="8"/>
        <v>-1.7999999999999999E-2</v>
      </c>
      <c r="G16" s="3534">
        <v>1.7999999999999999E-2</v>
      </c>
      <c r="H16" s="3535">
        <f t="shared" si="9"/>
        <v>-2.4E-2</v>
      </c>
      <c r="I16" s="3536">
        <v>2.4E-2</v>
      </c>
      <c r="J16" s="3538">
        <v>-2.1600000000000001E-2</v>
      </c>
      <c r="K16" s="3534">
        <v>2.0400000000000001E-2</v>
      </c>
      <c r="L16" s="3537">
        <v>-2.8799999999999999E-2</v>
      </c>
      <c r="M16" s="3536">
        <v>2.76E-2</v>
      </c>
      <c r="N16" s="3533">
        <f t="shared" si="10"/>
        <v>-2.4E-2</v>
      </c>
      <c r="O16" s="3534">
        <v>2.4E-2</v>
      </c>
      <c r="P16" s="3537">
        <v>-4.3200000000000002E-2</v>
      </c>
      <c r="Q16" s="3536">
        <v>4.0800000000000003E-2</v>
      </c>
      <c r="R16" s="3538">
        <v>-4.8000000000000001E-2</v>
      </c>
      <c r="S16" s="3534">
        <v>4.3200000000000002E-2</v>
      </c>
      <c r="T16" s="3535">
        <f t="shared" si="11"/>
        <v>-3.5999999999999997E-2</v>
      </c>
      <c r="U16" s="3539">
        <v>3.5999999999999997E-2</v>
      </c>
    </row>
    <row r="17" spans="1:21">
      <c r="A17" s="3516" t="s">
        <v>3526</v>
      </c>
      <c r="B17" s="3517">
        <f>0-C17</f>
        <v>-0.02</v>
      </c>
      <c r="C17" s="3518">
        <v>0.02</v>
      </c>
      <c r="D17" s="3519">
        <f t="shared" si="8"/>
        <v>-2.1000000000000001E-2</v>
      </c>
      <c r="E17" s="3520">
        <v>2.1000000000000001E-2</v>
      </c>
      <c r="F17" s="3522">
        <v>-1.4999999999999999E-2</v>
      </c>
      <c r="G17" s="3518">
        <v>2.5000000000000001E-2</v>
      </c>
      <c r="H17" s="3521">
        <v>-1.7000000000000001E-2</v>
      </c>
      <c r="I17" s="3520">
        <v>2.5999999999999999E-2</v>
      </c>
      <c r="J17" s="3517">
        <f>0-K17</f>
        <v>-0.03</v>
      </c>
      <c r="K17" s="3518">
        <v>0.03</v>
      </c>
      <c r="L17" s="3519">
        <f t="shared" ref="L17:P31" si="12">0-M17</f>
        <v>-2.5999999999999999E-2</v>
      </c>
      <c r="M17" s="3520">
        <v>2.5999999999999999E-2</v>
      </c>
      <c r="N17" s="3522">
        <v>-2.7E-2</v>
      </c>
      <c r="O17" s="3518">
        <v>2.5999999999999999E-2</v>
      </c>
      <c r="P17" s="3519">
        <f t="shared" ref="P17:P24" si="13">0-Q17</f>
        <v>-3.3000000000000002E-2</v>
      </c>
      <c r="Q17" s="3520">
        <v>3.3000000000000002E-2</v>
      </c>
      <c r="R17" s="3522">
        <v>-3.5999999999999997E-2</v>
      </c>
      <c r="S17" s="3518">
        <v>3.2000000000000001E-2</v>
      </c>
      <c r="T17" s="3519">
        <f>0-U17</f>
        <v>-0.03</v>
      </c>
      <c r="U17" s="3520">
        <v>0.03</v>
      </c>
    </row>
    <row r="18" spans="1:21">
      <c r="A18" s="3524" t="s">
        <v>3421</v>
      </c>
      <c r="B18" s="3525">
        <f t="shared" ref="B18:B24" si="14">0-C18</f>
        <v>-0.04</v>
      </c>
      <c r="C18" s="3526">
        <v>0.04</v>
      </c>
      <c r="D18" s="3527">
        <f t="shared" si="8"/>
        <v>-4.2000000000000003E-2</v>
      </c>
      <c r="E18" s="3528">
        <v>4.2000000000000003E-2</v>
      </c>
      <c r="F18" s="3530">
        <v>-0.03</v>
      </c>
      <c r="G18" s="3526">
        <v>0.05</v>
      </c>
      <c r="H18" s="3529">
        <v>-3.4000000000000002E-2</v>
      </c>
      <c r="I18" s="3528">
        <v>5.1999999999999998E-2</v>
      </c>
      <c r="J18" s="3525">
        <f t="shared" ref="J18:J24" si="15">0-K18</f>
        <v>-0.06</v>
      </c>
      <c r="K18" s="3526">
        <v>0.06</v>
      </c>
      <c r="L18" s="3527">
        <f t="shared" si="12"/>
        <v>-5.1999999999999998E-2</v>
      </c>
      <c r="M18" s="3528">
        <v>5.1999999999999998E-2</v>
      </c>
      <c r="N18" s="3530">
        <v>-5.3999999999999999E-2</v>
      </c>
      <c r="O18" s="3526">
        <v>5.1999999999999998E-2</v>
      </c>
      <c r="P18" s="3527">
        <f t="shared" si="13"/>
        <v>-6.6000000000000003E-2</v>
      </c>
      <c r="Q18" s="3528">
        <v>6.6000000000000003E-2</v>
      </c>
      <c r="R18" s="3530">
        <v>-7.1999999999999995E-2</v>
      </c>
      <c r="S18" s="3526">
        <v>6.4000000000000001E-2</v>
      </c>
      <c r="T18" s="3527">
        <f t="shared" ref="T18:T24" si="16">0-U18</f>
        <v>-0.06</v>
      </c>
      <c r="U18" s="3528">
        <v>0.06</v>
      </c>
    </row>
    <row r="19" spans="1:21">
      <c r="A19" s="3524" t="s">
        <v>715</v>
      </c>
      <c r="B19" s="3525">
        <f t="shared" si="14"/>
        <v>-0.02</v>
      </c>
      <c r="C19" s="3526">
        <v>0.02</v>
      </c>
      <c r="D19" s="3527">
        <f t="shared" si="8"/>
        <v>-2.1000000000000001E-2</v>
      </c>
      <c r="E19" s="3528">
        <v>2.1000000000000001E-2</v>
      </c>
      <c r="F19" s="3530">
        <v>-1.4999999999999999E-2</v>
      </c>
      <c r="G19" s="3526">
        <v>2.5000000000000001E-2</v>
      </c>
      <c r="H19" s="3529">
        <v>-1.7000000000000001E-2</v>
      </c>
      <c r="I19" s="3528">
        <v>2.5999999999999999E-2</v>
      </c>
      <c r="J19" s="3525">
        <f t="shared" si="15"/>
        <v>-0.03</v>
      </c>
      <c r="K19" s="3526">
        <v>0.03</v>
      </c>
      <c r="L19" s="3527">
        <f t="shared" si="12"/>
        <v>-2.5999999999999999E-2</v>
      </c>
      <c r="M19" s="3528">
        <v>2.5999999999999999E-2</v>
      </c>
      <c r="N19" s="3530">
        <v>-2.7E-2</v>
      </c>
      <c r="O19" s="3526">
        <v>2.5999999999999999E-2</v>
      </c>
      <c r="P19" s="3527">
        <f t="shared" si="13"/>
        <v>-3.3000000000000002E-2</v>
      </c>
      <c r="Q19" s="3528">
        <v>3.3000000000000002E-2</v>
      </c>
      <c r="R19" s="3530">
        <v>-3.5999999999999997E-2</v>
      </c>
      <c r="S19" s="3526">
        <v>3.2000000000000001E-2</v>
      </c>
      <c r="T19" s="3527">
        <f t="shared" si="16"/>
        <v>-0.03</v>
      </c>
      <c r="U19" s="3528">
        <v>0.03</v>
      </c>
    </row>
    <row r="20" spans="1:21">
      <c r="A20" s="3524" t="s">
        <v>724</v>
      </c>
      <c r="B20" s="3525">
        <f t="shared" si="14"/>
        <v>-0.02</v>
      </c>
      <c r="C20" s="3526">
        <v>0.02</v>
      </c>
      <c r="D20" s="3527">
        <f t="shared" si="8"/>
        <v>-2.1000000000000001E-2</v>
      </c>
      <c r="E20" s="3528">
        <v>2.1000000000000001E-2</v>
      </c>
      <c r="F20" s="3530">
        <v>-1.4999999999999999E-2</v>
      </c>
      <c r="G20" s="3526">
        <v>2.5000000000000001E-2</v>
      </c>
      <c r="H20" s="3529">
        <v>-1.7000000000000001E-2</v>
      </c>
      <c r="I20" s="3528">
        <v>2.5999999999999999E-2</v>
      </c>
      <c r="J20" s="3525">
        <f t="shared" si="15"/>
        <v>-0.03</v>
      </c>
      <c r="K20" s="3526">
        <v>0.03</v>
      </c>
      <c r="L20" s="3527">
        <f t="shared" si="12"/>
        <v>-2.5999999999999999E-2</v>
      </c>
      <c r="M20" s="3528">
        <v>2.5999999999999999E-2</v>
      </c>
      <c r="N20" s="3530">
        <v>-2.7E-2</v>
      </c>
      <c r="O20" s="3526">
        <v>2.5999999999999999E-2</v>
      </c>
      <c r="P20" s="3527">
        <f t="shared" si="13"/>
        <v>-3.3000000000000002E-2</v>
      </c>
      <c r="Q20" s="3528">
        <v>3.3000000000000002E-2</v>
      </c>
      <c r="R20" s="3530">
        <v>-3.5999999999999997E-2</v>
      </c>
      <c r="S20" s="3526">
        <v>3.2000000000000001E-2</v>
      </c>
      <c r="T20" s="3527">
        <f t="shared" si="16"/>
        <v>-0.03</v>
      </c>
      <c r="U20" s="3528">
        <v>0.03</v>
      </c>
    </row>
    <row r="21" spans="1:21">
      <c r="A21" s="3524" t="s">
        <v>718</v>
      </c>
      <c r="B21" s="3525">
        <f t="shared" si="14"/>
        <v>-1.6E-2</v>
      </c>
      <c r="C21" s="3526">
        <v>1.6E-2</v>
      </c>
      <c r="D21" s="3527">
        <f t="shared" si="8"/>
        <v>-1.6799999999999999E-2</v>
      </c>
      <c r="E21" s="3528">
        <v>1.6799999999999999E-2</v>
      </c>
      <c r="F21" s="3530">
        <v>-1.2E-2</v>
      </c>
      <c r="G21" s="3526">
        <v>0.02</v>
      </c>
      <c r="H21" s="3529">
        <v>-1.3599999999999999E-2</v>
      </c>
      <c r="I21" s="3528">
        <v>2.0799999999999999E-2</v>
      </c>
      <c r="J21" s="3525">
        <f t="shared" si="15"/>
        <v>-2.4E-2</v>
      </c>
      <c r="K21" s="3526">
        <v>2.4E-2</v>
      </c>
      <c r="L21" s="3527">
        <f t="shared" si="12"/>
        <v>-2.0799999999999999E-2</v>
      </c>
      <c r="M21" s="3528">
        <v>2.0799999999999999E-2</v>
      </c>
      <c r="N21" s="3530">
        <v>-2.1600000000000001E-2</v>
      </c>
      <c r="O21" s="3526">
        <v>2.0799999999999999E-2</v>
      </c>
      <c r="P21" s="3527">
        <f t="shared" si="13"/>
        <v>-2.64E-2</v>
      </c>
      <c r="Q21" s="3528">
        <v>2.64E-2</v>
      </c>
      <c r="R21" s="3530">
        <v>-2.8799999999999999E-2</v>
      </c>
      <c r="S21" s="3526">
        <v>2.5600000000000001E-2</v>
      </c>
      <c r="T21" s="3527">
        <f t="shared" si="16"/>
        <v>-2.4E-2</v>
      </c>
      <c r="U21" s="3528">
        <v>2.4E-2</v>
      </c>
    </row>
    <row r="22" spans="1:21" ht="12" customHeight="1">
      <c r="A22" s="3524" t="s">
        <v>3527</v>
      </c>
      <c r="B22" s="3525">
        <f t="shared" si="14"/>
        <v>-2.4E-2</v>
      </c>
      <c r="C22" s="3526">
        <v>2.4E-2</v>
      </c>
      <c r="D22" s="3527">
        <f t="shared" si="8"/>
        <v>-2.52E-2</v>
      </c>
      <c r="E22" s="3528">
        <v>2.52E-2</v>
      </c>
      <c r="F22" s="3530">
        <v>-1.7999999999999999E-2</v>
      </c>
      <c r="G22" s="3526">
        <v>0.03</v>
      </c>
      <c r="H22" s="3529">
        <v>-2.0400000000000001E-2</v>
      </c>
      <c r="I22" s="3528">
        <v>3.1199999999999999E-2</v>
      </c>
      <c r="J22" s="3525">
        <f t="shared" si="15"/>
        <v>-3.5999999999999997E-2</v>
      </c>
      <c r="K22" s="3526">
        <v>3.5999999999999997E-2</v>
      </c>
      <c r="L22" s="3527">
        <f t="shared" si="12"/>
        <v>-3.1199999999999999E-2</v>
      </c>
      <c r="M22" s="3528">
        <v>3.1199999999999999E-2</v>
      </c>
      <c r="N22" s="3530">
        <v>-3.2399999999999998E-2</v>
      </c>
      <c r="O22" s="3526">
        <v>3.1199999999999999E-2</v>
      </c>
      <c r="P22" s="3527">
        <f t="shared" si="13"/>
        <v>-3.9600000000000003E-2</v>
      </c>
      <c r="Q22" s="3528">
        <v>3.9600000000000003E-2</v>
      </c>
      <c r="R22" s="3530">
        <v>-4.3200000000000002E-2</v>
      </c>
      <c r="S22" s="3526">
        <v>3.8399999999999997E-2</v>
      </c>
      <c r="T22" s="3527">
        <f t="shared" si="16"/>
        <v>-3.5999999999999997E-2</v>
      </c>
      <c r="U22" s="3528">
        <v>3.5999999999999997E-2</v>
      </c>
    </row>
    <row r="23" spans="1:21">
      <c r="A23" s="3524" t="s">
        <v>721</v>
      </c>
      <c r="B23" s="3525">
        <f t="shared" si="14"/>
        <v>-0.04</v>
      </c>
      <c r="C23" s="3526">
        <v>0.04</v>
      </c>
      <c r="D23" s="3527">
        <f t="shared" si="8"/>
        <v>-4.2000000000000003E-2</v>
      </c>
      <c r="E23" s="3528">
        <v>4.2000000000000003E-2</v>
      </c>
      <c r="F23" s="3530">
        <v>-0.03</v>
      </c>
      <c r="G23" s="3526">
        <v>0.05</v>
      </c>
      <c r="H23" s="3529">
        <v>-3.4000000000000002E-2</v>
      </c>
      <c r="I23" s="3528">
        <v>5.1999999999999998E-2</v>
      </c>
      <c r="J23" s="3525">
        <f t="shared" si="15"/>
        <v>-0.06</v>
      </c>
      <c r="K23" s="3526">
        <v>0.06</v>
      </c>
      <c r="L23" s="3527">
        <f t="shared" si="12"/>
        <v>-5.1999999999999998E-2</v>
      </c>
      <c r="M23" s="3528">
        <v>5.1999999999999998E-2</v>
      </c>
      <c r="N23" s="3530">
        <v>-5.3999999999999999E-2</v>
      </c>
      <c r="O23" s="3526">
        <v>5.1999999999999998E-2</v>
      </c>
      <c r="P23" s="3527">
        <f t="shared" si="13"/>
        <v>-6.6000000000000003E-2</v>
      </c>
      <c r="Q23" s="3528">
        <v>6.6000000000000003E-2</v>
      </c>
      <c r="R23" s="3530">
        <v>-7.1999999999999995E-2</v>
      </c>
      <c r="S23" s="3526">
        <v>6.4000000000000001E-2</v>
      </c>
      <c r="T23" s="3527">
        <f t="shared" si="16"/>
        <v>-0.06</v>
      </c>
      <c r="U23" s="3528">
        <v>0.06</v>
      </c>
    </row>
    <row r="24" spans="1:21" ht="12.75" thickBot="1">
      <c r="A24" s="3532" t="s">
        <v>3446</v>
      </c>
      <c r="B24" s="3533">
        <f t="shared" si="14"/>
        <v>-0.02</v>
      </c>
      <c r="C24" s="3534">
        <v>0.02</v>
      </c>
      <c r="D24" s="3535">
        <f t="shared" si="8"/>
        <v>-2.1000000000000001E-2</v>
      </c>
      <c r="E24" s="3536">
        <v>2.1000000000000001E-2</v>
      </c>
      <c r="F24" s="3538">
        <v>-1.4999999999999999E-2</v>
      </c>
      <c r="G24" s="3534">
        <v>2.5000000000000001E-2</v>
      </c>
      <c r="H24" s="3537">
        <v>-1.7000000000000001E-2</v>
      </c>
      <c r="I24" s="3536">
        <v>2.5999999999999999E-2</v>
      </c>
      <c r="J24" s="3533">
        <f t="shared" si="15"/>
        <v>-0.03</v>
      </c>
      <c r="K24" s="3534">
        <v>0.03</v>
      </c>
      <c r="L24" s="3535">
        <f t="shared" si="12"/>
        <v>-2.5999999999999999E-2</v>
      </c>
      <c r="M24" s="3536">
        <v>2.5999999999999999E-2</v>
      </c>
      <c r="N24" s="3538">
        <v>-2.7E-2</v>
      </c>
      <c r="O24" s="3534">
        <v>2.5999999999999999E-2</v>
      </c>
      <c r="P24" s="3535">
        <f t="shared" si="13"/>
        <v>-3.3000000000000002E-2</v>
      </c>
      <c r="Q24" s="3536">
        <v>3.3000000000000002E-2</v>
      </c>
      <c r="R24" s="3538">
        <v>-3.5999999999999997E-2</v>
      </c>
      <c r="S24" s="3534">
        <v>3.2000000000000001E-2</v>
      </c>
      <c r="T24" s="3535">
        <f t="shared" si="16"/>
        <v>-0.03</v>
      </c>
      <c r="U24" s="3536">
        <v>0.03</v>
      </c>
    </row>
    <row r="25" spans="1:21">
      <c r="A25" s="3524" t="s">
        <v>726</v>
      </c>
      <c r="B25" s="3517">
        <f>0-C25</f>
        <v>-0.02</v>
      </c>
      <c r="C25" s="3518">
        <v>0.02</v>
      </c>
      <c r="D25" s="3519">
        <f t="shared" si="8"/>
        <v>-0.02</v>
      </c>
      <c r="E25" s="3520">
        <v>0.02</v>
      </c>
      <c r="F25" s="3517">
        <f t="shared" si="8"/>
        <v>-0.04</v>
      </c>
      <c r="G25" s="3518">
        <v>0.04</v>
      </c>
      <c r="H25" s="3519">
        <f t="shared" ref="H25:H31" si="17">0-I25</f>
        <v>-4.8000000000000001E-2</v>
      </c>
      <c r="I25" s="3520">
        <v>4.8000000000000001E-2</v>
      </c>
      <c r="J25" s="3522">
        <v>-0.05</v>
      </c>
      <c r="K25" s="3518">
        <v>4.8000000000000001E-2</v>
      </c>
      <c r="L25" s="3519">
        <f t="shared" si="12"/>
        <v>-0.04</v>
      </c>
      <c r="M25" s="3520">
        <v>0.04</v>
      </c>
      <c r="N25" s="3517">
        <f t="shared" si="12"/>
        <v>-4.5999999999999999E-2</v>
      </c>
      <c r="O25" s="3518">
        <v>4.5999999999999999E-2</v>
      </c>
      <c r="P25" s="3519">
        <f t="shared" si="12"/>
        <v>-5.1999999999999998E-2</v>
      </c>
      <c r="Q25" s="3520">
        <v>5.1999999999999998E-2</v>
      </c>
    </row>
    <row r="26" spans="1:21">
      <c r="A26" s="3524" t="s">
        <v>3528</v>
      </c>
      <c r="B26" s="3525">
        <f t="shared" ref="B26:B31" si="18">0-C26</f>
        <v>-3.2000000000000001E-2</v>
      </c>
      <c r="C26" s="3526">
        <v>3.2000000000000001E-2</v>
      </c>
      <c r="D26" s="3527">
        <f t="shared" si="8"/>
        <v>-3.2000000000000001E-2</v>
      </c>
      <c r="E26" s="3528">
        <v>3.2000000000000001E-2</v>
      </c>
      <c r="F26" s="3525">
        <f t="shared" si="8"/>
        <v>-6.4000000000000001E-2</v>
      </c>
      <c r="G26" s="3526">
        <v>6.4000000000000001E-2</v>
      </c>
      <c r="H26" s="3527">
        <f t="shared" si="17"/>
        <v>-7.6799999999999993E-2</v>
      </c>
      <c r="I26" s="3528">
        <v>7.6799999999999993E-2</v>
      </c>
      <c r="J26" s="3530">
        <v>-0.08</v>
      </c>
      <c r="K26" s="3526">
        <v>7.6799999999999993E-2</v>
      </c>
      <c r="L26" s="3527">
        <f t="shared" si="12"/>
        <v>-6.4000000000000001E-2</v>
      </c>
      <c r="M26" s="3528">
        <v>6.4000000000000001E-2</v>
      </c>
      <c r="N26" s="3525">
        <f t="shared" si="12"/>
        <v>-7.3599999999999999E-2</v>
      </c>
      <c r="O26" s="3526">
        <v>7.3599999999999999E-2</v>
      </c>
      <c r="P26" s="3527">
        <f t="shared" si="12"/>
        <v>-8.3199999999999996E-2</v>
      </c>
      <c r="Q26" s="3528">
        <v>8.3199999999999996E-2</v>
      </c>
    </row>
    <row r="27" spans="1:21">
      <c r="A27" s="3524" t="s">
        <v>3521</v>
      </c>
      <c r="B27" s="3525">
        <f t="shared" si="18"/>
        <v>-0.01</v>
      </c>
      <c r="C27" s="3526">
        <v>0.01</v>
      </c>
      <c r="D27" s="3527">
        <f t="shared" ref="D27:D33" si="19">0-E27</f>
        <v>-0.01</v>
      </c>
      <c r="E27" s="3528">
        <v>0.01</v>
      </c>
      <c r="F27" s="3525">
        <f t="shared" ref="F27:F31" si="20">0-G27</f>
        <v>-0.02</v>
      </c>
      <c r="G27" s="3526">
        <v>0.02</v>
      </c>
      <c r="H27" s="3527">
        <f t="shared" si="17"/>
        <v>-2.4E-2</v>
      </c>
      <c r="I27" s="3528">
        <v>2.4E-2</v>
      </c>
      <c r="J27" s="3530">
        <v>-2.5000000000000001E-2</v>
      </c>
      <c r="K27" s="3526">
        <v>2.4E-2</v>
      </c>
      <c r="L27" s="3527">
        <f t="shared" si="12"/>
        <v>-0.02</v>
      </c>
      <c r="M27" s="3528">
        <v>0.02</v>
      </c>
      <c r="N27" s="3525">
        <f t="shared" si="12"/>
        <v>-2.3E-2</v>
      </c>
      <c r="O27" s="3526">
        <v>2.3E-2</v>
      </c>
      <c r="P27" s="3527">
        <f t="shared" si="12"/>
        <v>-2.5999999999999999E-2</v>
      </c>
      <c r="Q27" s="3528">
        <v>2.5999999999999999E-2</v>
      </c>
    </row>
    <row r="28" spans="1:21">
      <c r="A28" s="3524" t="s">
        <v>724</v>
      </c>
      <c r="B28" s="3525">
        <f t="shared" si="18"/>
        <v>-8.0000000000000002E-3</v>
      </c>
      <c r="C28" s="3526">
        <v>8.0000000000000002E-3</v>
      </c>
      <c r="D28" s="3527">
        <f t="shared" si="19"/>
        <v>-8.0000000000000002E-3</v>
      </c>
      <c r="E28" s="3528">
        <v>8.0000000000000002E-3</v>
      </c>
      <c r="F28" s="3525">
        <f t="shared" si="20"/>
        <v>-1.6E-2</v>
      </c>
      <c r="G28" s="3526">
        <v>1.6E-2</v>
      </c>
      <c r="H28" s="3527">
        <f t="shared" si="17"/>
        <v>-1.9199999999999998E-2</v>
      </c>
      <c r="I28" s="3528">
        <v>1.9199999999999998E-2</v>
      </c>
      <c r="J28" s="3530">
        <v>-0.02</v>
      </c>
      <c r="K28" s="3526">
        <v>1.9199999999999998E-2</v>
      </c>
      <c r="L28" s="3527">
        <f t="shared" si="12"/>
        <v>-1.6E-2</v>
      </c>
      <c r="M28" s="3528">
        <v>1.6E-2</v>
      </c>
      <c r="N28" s="3525">
        <f t="shared" si="12"/>
        <v>-1.84E-2</v>
      </c>
      <c r="O28" s="3526">
        <v>1.84E-2</v>
      </c>
      <c r="P28" s="3527">
        <f t="shared" si="12"/>
        <v>-2.0799999999999999E-2</v>
      </c>
      <c r="Q28" s="3528">
        <v>2.0799999999999999E-2</v>
      </c>
    </row>
    <row r="29" spans="1:21">
      <c r="A29" s="3524" t="s">
        <v>718</v>
      </c>
      <c r="B29" s="3525">
        <f t="shared" si="18"/>
        <v>-1.2E-2</v>
      </c>
      <c r="C29" s="3526">
        <v>1.2E-2</v>
      </c>
      <c r="D29" s="3527">
        <f t="shared" si="19"/>
        <v>-1.2E-2</v>
      </c>
      <c r="E29" s="3528">
        <v>1.2E-2</v>
      </c>
      <c r="F29" s="3525">
        <f t="shared" si="20"/>
        <v>-2.4E-2</v>
      </c>
      <c r="G29" s="3526">
        <v>2.4E-2</v>
      </c>
      <c r="H29" s="3527">
        <f t="shared" si="17"/>
        <v>-2.8799999999999999E-2</v>
      </c>
      <c r="I29" s="3528">
        <v>2.8799999999999999E-2</v>
      </c>
      <c r="J29" s="3530">
        <v>-0.03</v>
      </c>
      <c r="K29" s="3526">
        <v>2.8799999999999999E-2</v>
      </c>
      <c r="L29" s="3527">
        <f t="shared" si="12"/>
        <v>-2.4E-2</v>
      </c>
      <c r="M29" s="3528">
        <v>2.4E-2</v>
      </c>
      <c r="N29" s="3525">
        <f t="shared" si="12"/>
        <v>-2.76E-2</v>
      </c>
      <c r="O29" s="3526">
        <v>2.76E-2</v>
      </c>
      <c r="P29" s="3527">
        <f t="shared" si="12"/>
        <v>-3.1199999999999999E-2</v>
      </c>
      <c r="Q29" s="3528">
        <v>3.1199999999999999E-2</v>
      </c>
    </row>
    <row r="30" spans="1:21">
      <c r="A30" s="3524" t="s">
        <v>720</v>
      </c>
      <c r="B30" s="3525">
        <f t="shared" si="18"/>
        <v>-0.01</v>
      </c>
      <c r="C30" s="3526">
        <v>0.01</v>
      </c>
      <c r="D30" s="3527">
        <f t="shared" si="19"/>
        <v>-0.01</v>
      </c>
      <c r="E30" s="3528">
        <v>0.01</v>
      </c>
      <c r="F30" s="3525">
        <f t="shared" si="20"/>
        <v>-0.02</v>
      </c>
      <c r="G30" s="3526">
        <v>0.02</v>
      </c>
      <c r="H30" s="3527">
        <f t="shared" si="17"/>
        <v>-2.4E-2</v>
      </c>
      <c r="I30" s="3528">
        <v>2.4E-2</v>
      </c>
      <c r="J30" s="3530">
        <v>-2.5000000000000001E-2</v>
      </c>
      <c r="K30" s="3526">
        <v>2.4E-2</v>
      </c>
      <c r="L30" s="3527">
        <f t="shared" si="12"/>
        <v>-0.02</v>
      </c>
      <c r="M30" s="3528">
        <v>0.02</v>
      </c>
      <c r="N30" s="3525">
        <f t="shared" si="12"/>
        <v>-2.3E-2</v>
      </c>
      <c r="O30" s="3526">
        <v>2.3E-2</v>
      </c>
      <c r="P30" s="3527">
        <f t="shared" si="12"/>
        <v>-2.5999999999999999E-2</v>
      </c>
      <c r="Q30" s="3528">
        <v>2.5999999999999999E-2</v>
      </c>
    </row>
    <row r="31" spans="1:21" ht="12.75" thickBot="1">
      <c r="A31" s="3532" t="s">
        <v>3529</v>
      </c>
      <c r="B31" s="3533">
        <f t="shared" si="18"/>
        <v>-8.0000000000000002E-3</v>
      </c>
      <c r="C31" s="3534">
        <v>8.0000000000000002E-3</v>
      </c>
      <c r="D31" s="3535">
        <f t="shared" si="19"/>
        <v>-8.0000000000000002E-3</v>
      </c>
      <c r="E31" s="3536">
        <v>8.0000000000000002E-3</v>
      </c>
      <c r="F31" s="3533">
        <f t="shared" si="20"/>
        <v>-1.6E-2</v>
      </c>
      <c r="G31" s="3534">
        <v>1.6E-2</v>
      </c>
      <c r="H31" s="3535">
        <f t="shared" si="17"/>
        <v>-1.9199999999999998E-2</v>
      </c>
      <c r="I31" s="3536">
        <v>1.9199999999999998E-2</v>
      </c>
      <c r="J31" s="3538">
        <v>-0.02</v>
      </c>
      <c r="K31" s="3534">
        <v>1.9199999999999998E-2</v>
      </c>
      <c r="L31" s="3535">
        <f t="shared" si="12"/>
        <v>-1.6E-2</v>
      </c>
      <c r="M31" s="3536">
        <v>1.6E-2</v>
      </c>
      <c r="N31" s="3533">
        <f t="shared" si="12"/>
        <v>-1.84E-2</v>
      </c>
      <c r="O31" s="3534">
        <v>1.84E-2</v>
      </c>
      <c r="P31" s="3535">
        <f t="shared" si="12"/>
        <v>-2.0799999999999999E-2</v>
      </c>
      <c r="Q31" s="3536">
        <v>2.0799999999999999E-2</v>
      </c>
    </row>
    <row r="34" spans="1:11" ht="12.75" thickBot="1"/>
    <row r="35" spans="1:11" ht="12.75" thickBot="1">
      <c r="A35" s="3540" t="s">
        <v>3530</v>
      </c>
      <c r="B35" s="3541" t="s">
        <v>3531</v>
      </c>
      <c r="C35" s="3542" t="s">
        <v>3532</v>
      </c>
      <c r="D35" s="3542" t="s">
        <v>186</v>
      </c>
      <c r="E35" s="3542" t="s">
        <v>198</v>
      </c>
      <c r="F35" s="3542" t="s">
        <v>110</v>
      </c>
      <c r="G35" s="3542" t="s">
        <v>111</v>
      </c>
      <c r="H35" s="3543" t="s">
        <v>112</v>
      </c>
      <c r="I35" s="3543" t="s">
        <v>113</v>
      </c>
      <c r="J35" s="3542" t="s">
        <v>114</v>
      </c>
      <c r="K35" s="3544" t="s">
        <v>115</v>
      </c>
    </row>
    <row r="36" spans="1:11">
      <c r="A36" s="3545" t="s">
        <v>712</v>
      </c>
      <c r="B36" s="3546">
        <f>C3</f>
        <v>4.4999999999999998E-2</v>
      </c>
      <c r="C36" s="3547">
        <f>E3</f>
        <v>4.4999999999999998E-2</v>
      </c>
      <c r="D36" s="3547">
        <f>G3</f>
        <v>4.4999999999999998E-2</v>
      </c>
      <c r="E36" s="3547">
        <f>I3</f>
        <v>4.4999999999999998E-2</v>
      </c>
      <c r="F36" s="3547">
        <f>K3</f>
        <v>0.06</v>
      </c>
      <c r="G36" s="3547">
        <f>M3</f>
        <v>5.3999999999999999E-2</v>
      </c>
      <c r="H36" s="3547">
        <f>O3</f>
        <v>7.4999999999999997E-2</v>
      </c>
      <c r="I36" s="3547">
        <f>Q3</f>
        <v>0.111</v>
      </c>
      <c r="J36" s="3547">
        <f>S3</f>
        <v>0.105</v>
      </c>
      <c r="K36" s="3523">
        <f>U3</f>
        <v>0.09</v>
      </c>
    </row>
    <row r="37" spans="1:11">
      <c r="A37" s="3423" t="s">
        <v>3421</v>
      </c>
      <c r="B37" s="3548">
        <f t="shared" ref="B37:B64" si="21">C4</f>
        <v>2.2499999999999999E-2</v>
      </c>
      <c r="C37" s="3549">
        <f t="shared" ref="C37:C64" si="22">E4</f>
        <v>2.2499999999999999E-2</v>
      </c>
      <c r="D37" s="3549">
        <f t="shared" ref="D37:D64" si="23">G4</f>
        <v>2.2499999999999999E-2</v>
      </c>
      <c r="E37" s="3549">
        <f t="shared" ref="E37:E64" si="24">I4</f>
        <v>2.2499999999999999E-2</v>
      </c>
      <c r="F37" s="3549">
        <f t="shared" ref="F37:F64" si="25">K4</f>
        <v>0.03</v>
      </c>
      <c r="G37" s="3549">
        <f t="shared" ref="G37:G64" si="26">M4</f>
        <v>2.7E-2</v>
      </c>
      <c r="H37" s="3549">
        <f t="shared" ref="H37:H64" si="27">O4</f>
        <v>3.7499999999999999E-2</v>
      </c>
      <c r="I37" s="3549">
        <f t="shared" ref="I37:I64" si="28">Q4</f>
        <v>5.5500000000000001E-2</v>
      </c>
      <c r="J37" s="3549">
        <f t="shared" ref="J37:J64" si="29">S4</f>
        <v>5.2499999999999998E-2</v>
      </c>
      <c r="K37" s="3531">
        <f t="shared" ref="K37:K64" si="30">U4</f>
        <v>4.4999999999999998E-2</v>
      </c>
    </row>
    <row r="38" spans="1:11">
      <c r="A38" s="3423" t="s">
        <v>3422</v>
      </c>
      <c r="B38" s="3548">
        <f t="shared" si="21"/>
        <v>1.4999999999999999E-2</v>
      </c>
      <c r="C38" s="3549">
        <f t="shared" si="22"/>
        <v>1.4999999999999999E-2</v>
      </c>
      <c r="D38" s="3549">
        <f t="shared" si="23"/>
        <v>1.4999999999999999E-2</v>
      </c>
      <c r="E38" s="3549">
        <f t="shared" si="24"/>
        <v>1.4999999999999999E-2</v>
      </c>
      <c r="F38" s="3549">
        <f t="shared" si="25"/>
        <v>0.02</v>
      </c>
      <c r="G38" s="3549">
        <f t="shared" si="26"/>
        <v>1.7999999999999999E-2</v>
      </c>
      <c r="H38" s="3549">
        <f t="shared" si="27"/>
        <v>2.5000000000000001E-2</v>
      </c>
      <c r="I38" s="3549">
        <f t="shared" si="28"/>
        <v>3.6999999999999998E-2</v>
      </c>
      <c r="J38" s="3549">
        <f t="shared" si="29"/>
        <v>3.5000000000000003E-2</v>
      </c>
      <c r="K38" s="3531">
        <f t="shared" si="30"/>
        <v>0.03</v>
      </c>
    </row>
    <row r="39" spans="1:11">
      <c r="A39" s="3423" t="s">
        <v>3423</v>
      </c>
      <c r="B39" s="3548">
        <f t="shared" si="21"/>
        <v>0.03</v>
      </c>
      <c r="C39" s="3549">
        <f t="shared" si="22"/>
        <v>0.03</v>
      </c>
      <c r="D39" s="3549">
        <f t="shared" si="23"/>
        <v>0.03</v>
      </c>
      <c r="E39" s="3549">
        <f t="shared" si="24"/>
        <v>0.03</v>
      </c>
      <c r="F39" s="3549">
        <f t="shared" si="25"/>
        <v>0.04</v>
      </c>
      <c r="G39" s="3549">
        <f t="shared" si="26"/>
        <v>3.5999999999999997E-2</v>
      </c>
      <c r="H39" s="3549">
        <f t="shared" si="27"/>
        <v>0.05</v>
      </c>
      <c r="I39" s="3549">
        <f t="shared" si="28"/>
        <v>7.3999999999999996E-2</v>
      </c>
      <c r="J39" s="3549">
        <f t="shared" si="29"/>
        <v>7.0000000000000007E-2</v>
      </c>
      <c r="K39" s="3531">
        <f t="shared" si="30"/>
        <v>0.06</v>
      </c>
    </row>
    <row r="40" spans="1:11">
      <c r="A40" s="3423" t="s">
        <v>3425</v>
      </c>
      <c r="B40" s="3548">
        <f t="shared" si="21"/>
        <v>1.4999999999999999E-2</v>
      </c>
      <c r="C40" s="3549">
        <f t="shared" si="22"/>
        <v>1.4999999999999999E-2</v>
      </c>
      <c r="D40" s="3549">
        <f t="shared" si="23"/>
        <v>1.4999999999999999E-2</v>
      </c>
      <c r="E40" s="3549">
        <f t="shared" si="24"/>
        <v>1.4999999999999999E-2</v>
      </c>
      <c r="F40" s="3549">
        <f t="shared" si="25"/>
        <v>0.02</v>
      </c>
      <c r="G40" s="3549">
        <f t="shared" si="26"/>
        <v>1.7999999999999999E-2</v>
      </c>
      <c r="H40" s="3549">
        <f t="shared" si="27"/>
        <v>2.5000000000000001E-2</v>
      </c>
      <c r="I40" s="3549">
        <f t="shared" si="28"/>
        <v>3.6999999999999998E-2</v>
      </c>
      <c r="J40" s="3549">
        <f t="shared" si="29"/>
        <v>3.5000000000000003E-2</v>
      </c>
      <c r="K40" s="3531">
        <f t="shared" si="30"/>
        <v>0.03</v>
      </c>
    </row>
    <row r="41" spans="1:11">
      <c r="A41" s="3423" t="s">
        <v>3426</v>
      </c>
      <c r="B41" s="3548">
        <f t="shared" si="21"/>
        <v>1.2E-2</v>
      </c>
      <c r="C41" s="3549">
        <f t="shared" si="22"/>
        <v>1.2E-2</v>
      </c>
      <c r="D41" s="3549">
        <f t="shared" si="23"/>
        <v>1.2E-2</v>
      </c>
      <c r="E41" s="3549">
        <f t="shared" si="24"/>
        <v>1.2E-2</v>
      </c>
      <c r="F41" s="3549">
        <f t="shared" si="25"/>
        <v>1.6E-2</v>
      </c>
      <c r="G41" s="3549">
        <f t="shared" si="26"/>
        <v>1.44E-2</v>
      </c>
      <c r="H41" s="3549">
        <f t="shared" si="27"/>
        <v>0.02</v>
      </c>
      <c r="I41" s="3549">
        <f t="shared" si="28"/>
        <v>2.9600000000000001E-2</v>
      </c>
      <c r="J41" s="3549">
        <f t="shared" si="29"/>
        <v>2.8000000000000001E-2</v>
      </c>
      <c r="K41" s="3531">
        <f t="shared" si="30"/>
        <v>2.4E-2</v>
      </c>
    </row>
    <row r="42" spans="1:11" ht="12.75" thickBot="1">
      <c r="A42" s="3550" t="s">
        <v>3485</v>
      </c>
      <c r="B42" s="3551">
        <f t="shared" si="21"/>
        <v>1.0500000000000001E-2</v>
      </c>
      <c r="C42" s="3552">
        <f t="shared" si="22"/>
        <v>1.0500000000000001E-2</v>
      </c>
      <c r="D42" s="3552">
        <f t="shared" si="23"/>
        <v>1.0500000000000001E-2</v>
      </c>
      <c r="E42" s="3552">
        <f t="shared" si="24"/>
        <v>1.0500000000000001E-2</v>
      </c>
      <c r="F42" s="3552">
        <f t="shared" si="25"/>
        <v>1.4E-2</v>
      </c>
      <c r="G42" s="3552">
        <f t="shared" si="26"/>
        <v>1.26E-2</v>
      </c>
      <c r="H42" s="3552">
        <f t="shared" si="27"/>
        <v>1.7500000000000002E-2</v>
      </c>
      <c r="I42" s="3552">
        <f t="shared" si="28"/>
        <v>2.5899999999999999E-2</v>
      </c>
      <c r="J42" s="3552">
        <f t="shared" si="29"/>
        <v>2.4500000000000001E-2</v>
      </c>
      <c r="K42" s="3539">
        <f t="shared" si="30"/>
        <v>2.1000000000000001E-2</v>
      </c>
    </row>
    <row r="43" spans="1:11">
      <c r="A43" s="3516" t="s">
        <v>3436</v>
      </c>
      <c r="B43" s="3546">
        <f t="shared" si="21"/>
        <v>0.04</v>
      </c>
      <c r="C43" s="3547">
        <f t="shared" si="22"/>
        <v>0.03</v>
      </c>
      <c r="D43" s="3547">
        <f t="shared" si="23"/>
        <v>0.03</v>
      </c>
      <c r="E43" s="3547">
        <f t="shared" si="24"/>
        <v>0.04</v>
      </c>
      <c r="F43" s="3547">
        <f t="shared" si="25"/>
        <v>3.4000000000000002E-2</v>
      </c>
      <c r="G43" s="3547">
        <f t="shared" si="26"/>
        <v>4.5999999999999999E-2</v>
      </c>
      <c r="H43" s="3547">
        <f t="shared" si="27"/>
        <v>0.04</v>
      </c>
      <c r="I43" s="3547">
        <f t="shared" si="28"/>
        <v>6.8000000000000005E-2</v>
      </c>
      <c r="J43" s="3547">
        <f t="shared" si="29"/>
        <v>7.1999999999999995E-2</v>
      </c>
      <c r="K43" s="3523">
        <f t="shared" si="30"/>
        <v>0.06</v>
      </c>
    </row>
    <row r="44" spans="1:11">
      <c r="A44" s="3524" t="s">
        <v>3421</v>
      </c>
      <c r="B44" s="3548">
        <f t="shared" si="21"/>
        <v>0.05</v>
      </c>
      <c r="C44" s="3549">
        <f t="shared" si="22"/>
        <v>3.7499999999999999E-2</v>
      </c>
      <c r="D44" s="3549">
        <f t="shared" si="23"/>
        <v>3.7499999999999999E-2</v>
      </c>
      <c r="E44" s="3549">
        <f t="shared" si="24"/>
        <v>0.05</v>
      </c>
      <c r="F44" s="3549">
        <f t="shared" si="25"/>
        <v>4.2500000000000003E-2</v>
      </c>
      <c r="G44" s="3549">
        <f t="shared" si="26"/>
        <v>5.7500000000000002E-2</v>
      </c>
      <c r="H44" s="3549">
        <f t="shared" si="27"/>
        <v>0.05</v>
      </c>
      <c r="I44" s="3549">
        <f t="shared" si="28"/>
        <v>8.5000000000000006E-2</v>
      </c>
      <c r="J44" s="3549">
        <f t="shared" si="29"/>
        <v>0.09</v>
      </c>
      <c r="K44" s="3531">
        <f t="shared" si="30"/>
        <v>7.4999999999999997E-2</v>
      </c>
    </row>
    <row r="45" spans="1:11">
      <c r="A45" s="3524" t="s">
        <v>3422</v>
      </c>
      <c r="B45" s="3548">
        <f t="shared" si="21"/>
        <v>0.02</v>
      </c>
      <c r="C45" s="3549">
        <f t="shared" si="22"/>
        <v>1.4999999999999999E-2</v>
      </c>
      <c r="D45" s="3549">
        <f t="shared" si="23"/>
        <v>1.4999999999999999E-2</v>
      </c>
      <c r="E45" s="3549">
        <f t="shared" si="24"/>
        <v>0.02</v>
      </c>
      <c r="F45" s="3549">
        <f t="shared" si="25"/>
        <v>1.7000000000000001E-2</v>
      </c>
      <c r="G45" s="3549">
        <f t="shared" si="26"/>
        <v>2.3E-2</v>
      </c>
      <c r="H45" s="3549">
        <f t="shared" si="27"/>
        <v>0.02</v>
      </c>
      <c r="I45" s="3549">
        <f t="shared" si="28"/>
        <v>3.4000000000000002E-2</v>
      </c>
      <c r="J45" s="3549">
        <f t="shared" si="29"/>
        <v>3.5999999999999997E-2</v>
      </c>
      <c r="K45" s="3531">
        <f t="shared" si="30"/>
        <v>0.03</v>
      </c>
    </row>
    <row r="46" spans="1:11">
      <c r="A46" s="3524" t="s">
        <v>3423</v>
      </c>
      <c r="B46" s="3548">
        <f t="shared" si="21"/>
        <v>0.02</v>
      </c>
      <c r="C46" s="3549">
        <f t="shared" si="22"/>
        <v>1.4999999999999999E-2</v>
      </c>
      <c r="D46" s="3549">
        <f t="shared" si="23"/>
        <v>1.4999999999999999E-2</v>
      </c>
      <c r="E46" s="3549">
        <f t="shared" si="24"/>
        <v>0.02</v>
      </c>
      <c r="F46" s="3549">
        <f t="shared" si="25"/>
        <v>1.7000000000000001E-2</v>
      </c>
      <c r="G46" s="3549">
        <f t="shared" si="26"/>
        <v>2.3E-2</v>
      </c>
      <c r="H46" s="3549">
        <f t="shared" si="27"/>
        <v>0.02</v>
      </c>
      <c r="I46" s="3549">
        <f t="shared" si="28"/>
        <v>3.4000000000000002E-2</v>
      </c>
      <c r="J46" s="3549">
        <f t="shared" si="29"/>
        <v>3.5999999999999997E-2</v>
      </c>
      <c r="K46" s="3531">
        <f t="shared" si="30"/>
        <v>0.03</v>
      </c>
    </row>
    <row r="47" spans="1:11">
      <c r="A47" s="3524" t="s">
        <v>3425</v>
      </c>
      <c r="B47" s="3548">
        <f t="shared" si="21"/>
        <v>0.03</v>
      </c>
      <c r="C47" s="3549">
        <f t="shared" si="22"/>
        <v>2.2499999999999999E-2</v>
      </c>
      <c r="D47" s="3549">
        <f t="shared" si="23"/>
        <v>2.2499999999999999E-2</v>
      </c>
      <c r="E47" s="3549">
        <f t="shared" si="24"/>
        <v>0.03</v>
      </c>
      <c r="F47" s="3549">
        <f t="shared" si="25"/>
        <v>2.5499999999999998E-2</v>
      </c>
      <c r="G47" s="3549">
        <f t="shared" si="26"/>
        <v>3.4500000000000003E-2</v>
      </c>
      <c r="H47" s="3549">
        <f t="shared" si="27"/>
        <v>0.03</v>
      </c>
      <c r="I47" s="3549">
        <f t="shared" si="28"/>
        <v>5.0999999999999997E-2</v>
      </c>
      <c r="J47" s="3549">
        <f t="shared" si="29"/>
        <v>5.3999999999999999E-2</v>
      </c>
      <c r="K47" s="3531">
        <f t="shared" si="30"/>
        <v>4.4999999999999998E-2</v>
      </c>
    </row>
    <row r="48" spans="1:11">
      <c r="A48" s="3524" t="s">
        <v>3426</v>
      </c>
      <c r="B48" s="3548">
        <f t="shared" si="21"/>
        <v>1.6E-2</v>
      </c>
      <c r="C48" s="3549">
        <f t="shared" si="22"/>
        <v>1.2E-2</v>
      </c>
      <c r="D48" s="3549">
        <f t="shared" si="23"/>
        <v>1.2E-2</v>
      </c>
      <c r="E48" s="3549">
        <f t="shared" si="24"/>
        <v>1.6E-2</v>
      </c>
      <c r="F48" s="3549">
        <f t="shared" si="25"/>
        <v>1.3599999999999999E-2</v>
      </c>
      <c r="G48" s="3549">
        <f t="shared" si="26"/>
        <v>1.84E-2</v>
      </c>
      <c r="H48" s="3549">
        <f t="shared" si="27"/>
        <v>1.6E-2</v>
      </c>
      <c r="I48" s="3549">
        <f t="shared" si="28"/>
        <v>2.7199999999999998E-2</v>
      </c>
      <c r="J48" s="3549">
        <f t="shared" si="29"/>
        <v>2.8799999999999999E-2</v>
      </c>
      <c r="K48" s="3531">
        <f t="shared" si="30"/>
        <v>2.4E-2</v>
      </c>
    </row>
    <row r="49" spans="1:11" ht="12.75" thickBot="1">
      <c r="A49" s="3532" t="s">
        <v>3437</v>
      </c>
      <c r="B49" s="3551">
        <f t="shared" si="21"/>
        <v>2.4E-2</v>
      </c>
      <c r="C49" s="3552">
        <f t="shared" si="22"/>
        <v>1.7999999999999999E-2</v>
      </c>
      <c r="D49" s="3552">
        <f t="shared" si="23"/>
        <v>1.7999999999999999E-2</v>
      </c>
      <c r="E49" s="3552">
        <f t="shared" si="24"/>
        <v>2.4E-2</v>
      </c>
      <c r="F49" s="3552">
        <f t="shared" si="25"/>
        <v>2.0400000000000001E-2</v>
      </c>
      <c r="G49" s="3552">
        <f t="shared" si="26"/>
        <v>2.76E-2</v>
      </c>
      <c r="H49" s="3552">
        <f t="shared" si="27"/>
        <v>2.4E-2</v>
      </c>
      <c r="I49" s="3552">
        <f t="shared" si="28"/>
        <v>4.0800000000000003E-2</v>
      </c>
      <c r="J49" s="3552">
        <f t="shared" si="29"/>
        <v>4.3200000000000002E-2</v>
      </c>
      <c r="K49" s="3539">
        <f t="shared" si="30"/>
        <v>3.5999999999999997E-2</v>
      </c>
    </row>
    <row r="50" spans="1:11">
      <c r="A50" s="3516" t="s">
        <v>3439</v>
      </c>
      <c r="B50" s="3546">
        <f t="shared" si="21"/>
        <v>0.02</v>
      </c>
      <c r="C50" s="3547">
        <f t="shared" si="22"/>
        <v>2.1000000000000001E-2</v>
      </c>
      <c r="D50" s="3547">
        <f t="shared" si="23"/>
        <v>2.5000000000000001E-2</v>
      </c>
      <c r="E50" s="3547">
        <f t="shared" si="24"/>
        <v>2.5999999999999999E-2</v>
      </c>
      <c r="F50" s="3547">
        <f t="shared" si="25"/>
        <v>0.03</v>
      </c>
      <c r="G50" s="3547">
        <f t="shared" si="26"/>
        <v>2.5999999999999999E-2</v>
      </c>
      <c r="H50" s="3547">
        <f t="shared" si="27"/>
        <v>2.5999999999999999E-2</v>
      </c>
      <c r="I50" s="3547">
        <f t="shared" si="28"/>
        <v>3.3000000000000002E-2</v>
      </c>
      <c r="J50" s="3547">
        <f t="shared" si="29"/>
        <v>3.2000000000000001E-2</v>
      </c>
      <c r="K50" s="3523">
        <f t="shared" si="30"/>
        <v>0.03</v>
      </c>
    </row>
    <row r="51" spans="1:11">
      <c r="A51" s="3524" t="s">
        <v>3421</v>
      </c>
      <c r="B51" s="3548">
        <f t="shared" si="21"/>
        <v>0.04</v>
      </c>
      <c r="C51" s="3549">
        <f t="shared" si="22"/>
        <v>4.2000000000000003E-2</v>
      </c>
      <c r="D51" s="3549">
        <f t="shared" si="23"/>
        <v>0.05</v>
      </c>
      <c r="E51" s="3549">
        <f t="shared" si="24"/>
        <v>5.1999999999999998E-2</v>
      </c>
      <c r="F51" s="3549">
        <f t="shared" si="25"/>
        <v>0.06</v>
      </c>
      <c r="G51" s="3549">
        <f t="shared" si="26"/>
        <v>5.1999999999999998E-2</v>
      </c>
      <c r="H51" s="3549">
        <f t="shared" si="27"/>
        <v>5.1999999999999998E-2</v>
      </c>
      <c r="I51" s="3549">
        <f t="shared" si="28"/>
        <v>6.6000000000000003E-2</v>
      </c>
      <c r="J51" s="3549">
        <f t="shared" si="29"/>
        <v>6.4000000000000001E-2</v>
      </c>
      <c r="K51" s="3531">
        <f t="shared" si="30"/>
        <v>0.06</v>
      </c>
    </row>
    <row r="52" spans="1:11">
      <c r="A52" s="3524" t="s">
        <v>3422</v>
      </c>
      <c r="B52" s="3548">
        <f t="shared" si="21"/>
        <v>0.02</v>
      </c>
      <c r="C52" s="3549">
        <f t="shared" si="22"/>
        <v>2.1000000000000001E-2</v>
      </c>
      <c r="D52" s="3549">
        <f t="shared" si="23"/>
        <v>2.5000000000000001E-2</v>
      </c>
      <c r="E52" s="3549">
        <f t="shared" si="24"/>
        <v>2.5999999999999999E-2</v>
      </c>
      <c r="F52" s="3549">
        <f t="shared" si="25"/>
        <v>0.03</v>
      </c>
      <c r="G52" s="3549">
        <f t="shared" si="26"/>
        <v>2.5999999999999999E-2</v>
      </c>
      <c r="H52" s="3549">
        <f t="shared" si="27"/>
        <v>2.5999999999999999E-2</v>
      </c>
      <c r="I52" s="3549">
        <f t="shared" si="28"/>
        <v>3.3000000000000002E-2</v>
      </c>
      <c r="J52" s="3549">
        <f t="shared" si="29"/>
        <v>3.2000000000000001E-2</v>
      </c>
      <c r="K52" s="3531">
        <f t="shared" si="30"/>
        <v>0.03</v>
      </c>
    </row>
    <row r="53" spans="1:11">
      <c r="A53" s="3524" t="s">
        <v>3486</v>
      </c>
      <c r="B53" s="3548">
        <f t="shared" si="21"/>
        <v>0.02</v>
      </c>
      <c r="C53" s="3549">
        <f t="shared" si="22"/>
        <v>2.1000000000000001E-2</v>
      </c>
      <c r="D53" s="3549">
        <f t="shared" si="23"/>
        <v>2.5000000000000001E-2</v>
      </c>
      <c r="E53" s="3549">
        <f t="shared" si="24"/>
        <v>2.5999999999999999E-2</v>
      </c>
      <c r="F53" s="3549">
        <f t="shared" si="25"/>
        <v>0.03</v>
      </c>
      <c r="G53" s="3549">
        <f t="shared" si="26"/>
        <v>2.5999999999999999E-2</v>
      </c>
      <c r="H53" s="3549">
        <f t="shared" si="27"/>
        <v>2.5999999999999999E-2</v>
      </c>
      <c r="I53" s="3549">
        <f t="shared" si="28"/>
        <v>3.3000000000000002E-2</v>
      </c>
      <c r="J53" s="3549">
        <f t="shared" si="29"/>
        <v>3.2000000000000001E-2</v>
      </c>
      <c r="K53" s="3531">
        <f t="shared" si="30"/>
        <v>0.03</v>
      </c>
    </row>
    <row r="54" spans="1:11">
      <c r="A54" s="3524" t="s">
        <v>3426</v>
      </c>
      <c r="B54" s="3548">
        <f t="shared" si="21"/>
        <v>1.6E-2</v>
      </c>
      <c r="C54" s="3549">
        <f t="shared" si="22"/>
        <v>1.6799999999999999E-2</v>
      </c>
      <c r="D54" s="3549">
        <f t="shared" si="23"/>
        <v>0.02</v>
      </c>
      <c r="E54" s="3549">
        <f t="shared" si="24"/>
        <v>2.0799999999999999E-2</v>
      </c>
      <c r="F54" s="3549">
        <f t="shared" si="25"/>
        <v>2.4E-2</v>
      </c>
      <c r="G54" s="3549">
        <f t="shared" si="26"/>
        <v>2.0799999999999999E-2</v>
      </c>
      <c r="H54" s="3549">
        <f t="shared" si="27"/>
        <v>2.0799999999999999E-2</v>
      </c>
      <c r="I54" s="3549">
        <f t="shared" si="28"/>
        <v>2.64E-2</v>
      </c>
      <c r="J54" s="3549">
        <f t="shared" si="29"/>
        <v>2.5600000000000001E-2</v>
      </c>
      <c r="K54" s="3531">
        <f t="shared" si="30"/>
        <v>2.4E-2</v>
      </c>
    </row>
    <row r="55" spans="1:11">
      <c r="A55" s="3524" t="s">
        <v>3437</v>
      </c>
      <c r="B55" s="3548">
        <f t="shared" si="21"/>
        <v>2.4E-2</v>
      </c>
      <c r="C55" s="3549">
        <f t="shared" si="22"/>
        <v>2.52E-2</v>
      </c>
      <c r="D55" s="3549">
        <f t="shared" si="23"/>
        <v>0.03</v>
      </c>
      <c r="E55" s="3549">
        <f t="shared" si="24"/>
        <v>3.1199999999999999E-2</v>
      </c>
      <c r="F55" s="3549">
        <f t="shared" si="25"/>
        <v>3.5999999999999997E-2</v>
      </c>
      <c r="G55" s="3549">
        <f t="shared" si="26"/>
        <v>3.1199999999999999E-2</v>
      </c>
      <c r="H55" s="3549">
        <f t="shared" si="27"/>
        <v>3.1199999999999999E-2</v>
      </c>
      <c r="I55" s="3549">
        <f t="shared" si="28"/>
        <v>3.9600000000000003E-2</v>
      </c>
      <c r="J55" s="3549">
        <f t="shared" si="29"/>
        <v>3.8399999999999997E-2</v>
      </c>
      <c r="K55" s="3531">
        <f t="shared" si="30"/>
        <v>3.5999999999999997E-2</v>
      </c>
    </row>
    <row r="56" spans="1:11">
      <c r="A56" s="3524" t="s">
        <v>3487</v>
      </c>
      <c r="B56" s="3548">
        <f t="shared" si="21"/>
        <v>0.04</v>
      </c>
      <c r="C56" s="3549">
        <f t="shared" si="22"/>
        <v>4.2000000000000003E-2</v>
      </c>
      <c r="D56" s="3549">
        <f t="shared" si="23"/>
        <v>0.05</v>
      </c>
      <c r="E56" s="3549">
        <f t="shared" si="24"/>
        <v>5.1999999999999998E-2</v>
      </c>
      <c r="F56" s="3549">
        <f t="shared" si="25"/>
        <v>0.06</v>
      </c>
      <c r="G56" s="3549">
        <f t="shared" si="26"/>
        <v>5.1999999999999998E-2</v>
      </c>
      <c r="H56" s="3549">
        <f t="shared" si="27"/>
        <v>5.1999999999999998E-2</v>
      </c>
      <c r="I56" s="3549">
        <f t="shared" si="28"/>
        <v>6.6000000000000003E-2</v>
      </c>
      <c r="J56" s="3549">
        <f t="shared" si="29"/>
        <v>6.4000000000000001E-2</v>
      </c>
      <c r="K56" s="3531">
        <f t="shared" si="30"/>
        <v>0.06</v>
      </c>
    </row>
    <row r="57" spans="1:11" ht="12.75" thickBot="1">
      <c r="A57" s="3532" t="s">
        <v>3488</v>
      </c>
      <c r="B57" s="3551">
        <f t="shared" si="21"/>
        <v>0.02</v>
      </c>
      <c r="C57" s="3552">
        <f t="shared" si="22"/>
        <v>2.1000000000000001E-2</v>
      </c>
      <c r="D57" s="3552">
        <f t="shared" si="23"/>
        <v>2.5000000000000001E-2</v>
      </c>
      <c r="E57" s="3552">
        <f t="shared" si="24"/>
        <v>2.5999999999999999E-2</v>
      </c>
      <c r="F57" s="3552">
        <f t="shared" si="25"/>
        <v>0.03</v>
      </c>
      <c r="G57" s="3552">
        <f t="shared" si="26"/>
        <v>2.5999999999999999E-2</v>
      </c>
      <c r="H57" s="3552">
        <f t="shared" si="27"/>
        <v>2.5999999999999999E-2</v>
      </c>
      <c r="I57" s="3552">
        <f t="shared" si="28"/>
        <v>3.3000000000000002E-2</v>
      </c>
      <c r="J57" s="3552">
        <f t="shared" si="29"/>
        <v>3.2000000000000001E-2</v>
      </c>
      <c r="K57" s="3539">
        <f t="shared" si="30"/>
        <v>0.03</v>
      </c>
    </row>
    <row r="58" spans="1:11">
      <c r="A58" s="3524" t="s">
        <v>3490</v>
      </c>
      <c r="B58" s="3546">
        <f t="shared" si="21"/>
        <v>0.02</v>
      </c>
      <c r="C58" s="3547">
        <f t="shared" si="22"/>
        <v>0.02</v>
      </c>
      <c r="D58" s="3547">
        <f t="shared" si="23"/>
        <v>0.04</v>
      </c>
      <c r="E58" s="3547">
        <f t="shared" si="24"/>
        <v>4.8000000000000001E-2</v>
      </c>
      <c r="F58" s="3547">
        <f t="shared" si="25"/>
        <v>4.8000000000000001E-2</v>
      </c>
      <c r="G58" s="3547">
        <f t="shared" si="26"/>
        <v>0.04</v>
      </c>
      <c r="H58" s="3547">
        <f t="shared" si="27"/>
        <v>4.5999999999999999E-2</v>
      </c>
      <c r="I58" s="3547">
        <f t="shared" si="28"/>
        <v>5.1999999999999998E-2</v>
      </c>
      <c r="J58" s="3547">
        <f t="shared" si="29"/>
        <v>0</v>
      </c>
      <c r="K58" s="3523">
        <f t="shared" si="30"/>
        <v>0</v>
      </c>
    </row>
    <row r="59" spans="1:11">
      <c r="A59" s="3524" t="s">
        <v>3421</v>
      </c>
      <c r="B59" s="3548">
        <f t="shared" si="21"/>
        <v>3.2000000000000001E-2</v>
      </c>
      <c r="C59" s="3549">
        <f t="shared" si="22"/>
        <v>3.2000000000000001E-2</v>
      </c>
      <c r="D59" s="3549">
        <f t="shared" si="23"/>
        <v>6.4000000000000001E-2</v>
      </c>
      <c r="E59" s="3549">
        <f t="shared" si="24"/>
        <v>7.6799999999999993E-2</v>
      </c>
      <c r="F59" s="3549">
        <f t="shared" si="25"/>
        <v>7.6799999999999993E-2</v>
      </c>
      <c r="G59" s="3549">
        <f t="shared" si="26"/>
        <v>6.4000000000000001E-2</v>
      </c>
      <c r="H59" s="3549">
        <f t="shared" si="27"/>
        <v>7.3599999999999999E-2</v>
      </c>
      <c r="I59" s="3549">
        <f t="shared" si="28"/>
        <v>8.3199999999999996E-2</v>
      </c>
      <c r="J59" s="3549">
        <f t="shared" si="29"/>
        <v>0</v>
      </c>
      <c r="K59" s="3531">
        <f t="shared" si="30"/>
        <v>0</v>
      </c>
    </row>
    <row r="60" spans="1:11">
      <c r="A60" s="3524" t="s">
        <v>3422</v>
      </c>
      <c r="B60" s="3548">
        <f t="shared" si="21"/>
        <v>0.01</v>
      </c>
      <c r="C60" s="3549">
        <f t="shared" si="22"/>
        <v>0.01</v>
      </c>
      <c r="D60" s="3549">
        <f t="shared" si="23"/>
        <v>0.02</v>
      </c>
      <c r="E60" s="3549">
        <f t="shared" si="24"/>
        <v>2.4E-2</v>
      </c>
      <c r="F60" s="3549">
        <f t="shared" si="25"/>
        <v>2.4E-2</v>
      </c>
      <c r="G60" s="3549">
        <f t="shared" si="26"/>
        <v>0.02</v>
      </c>
      <c r="H60" s="3549">
        <f t="shared" si="27"/>
        <v>2.3E-2</v>
      </c>
      <c r="I60" s="3549">
        <f t="shared" si="28"/>
        <v>2.5999999999999999E-2</v>
      </c>
      <c r="J60" s="3549">
        <f t="shared" si="29"/>
        <v>0</v>
      </c>
      <c r="K60" s="3531">
        <f t="shared" si="30"/>
        <v>0</v>
      </c>
    </row>
    <row r="61" spans="1:11">
      <c r="A61" s="3524" t="s">
        <v>3486</v>
      </c>
      <c r="B61" s="3548">
        <f t="shared" si="21"/>
        <v>8.0000000000000002E-3</v>
      </c>
      <c r="C61" s="3549">
        <f t="shared" si="22"/>
        <v>8.0000000000000002E-3</v>
      </c>
      <c r="D61" s="3549">
        <f t="shared" si="23"/>
        <v>1.6E-2</v>
      </c>
      <c r="E61" s="3549">
        <f t="shared" si="24"/>
        <v>1.9199999999999998E-2</v>
      </c>
      <c r="F61" s="3549">
        <f t="shared" si="25"/>
        <v>1.9199999999999998E-2</v>
      </c>
      <c r="G61" s="3549">
        <f t="shared" si="26"/>
        <v>1.6E-2</v>
      </c>
      <c r="H61" s="3549">
        <f t="shared" si="27"/>
        <v>1.84E-2</v>
      </c>
      <c r="I61" s="3549">
        <f t="shared" si="28"/>
        <v>2.0799999999999999E-2</v>
      </c>
      <c r="J61" s="3549">
        <f t="shared" si="29"/>
        <v>0</v>
      </c>
      <c r="K61" s="3531">
        <f t="shared" si="30"/>
        <v>0</v>
      </c>
    </row>
    <row r="62" spans="1:11">
      <c r="A62" s="3524" t="s">
        <v>3426</v>
      </c>
      <c r="B62" s="3548">
        <f t="shared" si="21"/>
        <v>1.2E-2</v>
      </c>
      <c r="C62" s="3549">
        <f t="shared" si="22"/>
        <v>1.2E-2</v>
      </c>
      <c r="D62" s="3549">
        <f t="shared" si="23"/>
        <v>2.4E-2</v>
      </c>
      <c r="E62" s="3549">
        <f t="shared" si="24"/>
        <v>2.8799999999999999E-2</v>
      </c>
      <c r="F62" s="3549">
        <f t="shared" si="25"/>
        <v>2.8799999999999999E-2</v>
      </c>
      <c r="G62" s="3549">
        <f t="shared" si="26"/>
        <v>2.4E-2</v>
      </c>
      <c r="H62" s="3549">
        <f t="shared" si="27"/>
        <v>2.76E-2</v>
      </c>
      <c r="I62" s="3549">
        <f t="shared" si="28"/>
        <v>3.1199999999999999E-2</v>
      </c>
      <c r="J62" s="3549">
        <f t="shared" si="29"/>
        <v>0</v>
      </c>
      <c r="K62" s="3531">
        <f t="shared" si="30"/>
        <v>0</v>
      </c>
    </row>
    <row r="63" spans="1:11">
      <c r="A63" s="3524" t="s">
        <v>3485</v>
      </c>
      <c r="B63" s="3548">
        <f t="shared" si="21"/>
        <v>0.01</v>
      </c>
      <c r="C63" s="3549">
        <f t="shared" si="22"/>
        <v>0.01</v>
      </c>
      <c r="D63" s="3549">
        <f t="shared" si="23"/>
        <v>0.02</v>
      </c>
      <c r="E63" s="3549">
        <f t="shared" si="24"/>
        <v>2.4E-2</v>
      </c>
      <c r="F63" s="3549">
        <f t="shared" si="25"/>
        <v>2.4E-2</v>
      </c>
      <c r="G63" s="3549">
        <f t="shared" si="26"/>
        <v>0.02</v>
      </c>
      <c r="H63" s="3549">
        <f t="shared" si="27"/>
        <v>2.3E-2</v>
      </c>
      <c r="I63" s="3549">
        <f t="shared" si="28"/>
        <v>2.5999999999999999E-2</v>
      </c>
      <c r="J63" s="3549">
        <f t="shared" si="29"/>
        <v>0</v>
      </c>
      <c r="K63" s="3531">
        <f t="shared" si="30"/>
        <v>0</v>
      </c>
    </row>
    <row r="64" spans="1:11" ht="12.75" thickBot="1">
      <c r="A64" s="3532" t="s">
        <v>3491</v>
      </c>
      <c r="B64" s="3551">
        <f t="shared" si="21"/>
        <v>8.0000000000000002E-3</v>
      </c>
      <c r="C64" s="3552">
        <f t="shared" si="22"/>
        <v>8.0000000000000002E-3</v>
      </c>
      <c r="D64" s="3552">
        <f t="shared" si="23"/>
        <v>1.6E-2</v>
      </c>
      <c r="E64" s="3552">
        <f t="shared" si="24"/>
        <v>1.9199999999999998E-2</v>
      </c>
      <c r="F64" s="3552">
        <f t="shared" si="25"/>
        <v>1.9199999999999998E-2</v>
      </c>
      <c r="G64" s="3552">
        <f t="shared" si="26"/>
        <v>1.6E-2</v>
      </c>
      <c r="H64" s="3552">
        <f t="shared" si="27"/>
        <v>1.84E-2</v>
      </c>
      <c r="I64" s="3552">
        <f t="shared" si="28"/>
        <v>2.0799999999999999E-2</v>
      </c>
      <c r="J64" s="3552">
        <f t="shared" si="29"/>
        <v>0</v>
      </c>
      <c r="K64" s="3539">
        <f t="shared" si="30"/>
        <v>0</v>
      </c>
    </row>
    <row r="65" spans="1:11" ht="12.75" thickBot="1">
      <c r="A65" s="3553" t="s">
        <v>3533</v>
      </c>
      <c r="B65" s="3542" t="s">
        <v>3495</v>
      </c>
      <c r="C65" s="3542" t="s">
        <v>3496</v>
      </c>
      <c r="D65" s="3542" t="s">
        <v>3497</v>
      </c>
      <c r="E65" s="3542" t="s">
        <v>3498</v>
      </c>
      <c r="F65" s="3542" t="s">
        <v>3499</v>
      </c>
      <c r="G65" s="3542" t="s">
        <v>3500</v>
      </c>
      <c r="H65" s="3543" t="s">
        <v>3501</v>
      </c>
      <c r="I65" s="3543" t="s">
        <v>3502</v>
      </c>
      <c r="J65" s="3542" t="s">
        <v>3503</v>
      </c>
      <c r="K65" s="3544" t="s">
        <v>3504</v>
      </c>
    </row>
    <row r="66" spans="1:11">
      <c r="A66" s="3545" t="s">
        <v>3420</v>
      </c>
      <c r="B66" s="3546">
        <f>B3</f>
        <v>-4.4999999999999998E-2</v>
      </c>
      <c r="C66" s="3547">
        <f>D3</f>
        <v>-4.4999999999999998E-2</v>
      </c>
      <c r="D66" s="3547">
        <f>F3</f>
        <v>-4.4999999999999998E-2</v>
      </c>
      <c r="E66" s="3547">
        <f>H3</f>
        <v>-4.4999999999999998E-2</v>
      </c>
      <c r="F66" s="3547">
        <f>J3</f>
        <v>-0.06</v>
      </c>
      <c r="G66" s="3547">
        <f>L3</f>
        <v>-0.06</v>
      </c>
      <c r="H66" s="3547">
        <f>N3</f>
        <v>-7.4999999999999997E-2</v>
      </c>
      <c r="I66" s="3547">
        <f>P3</f>
        <v>-0.114</v>
      </c>
      <c r="J66" s="3547">
        <f>R3</f>
        <v>-0.114</v>
      </c>
      <c r="K66" s="3523">
        <f>T3</f>
        <v>-0.09</v>
      </c>
    </row>
    <row r="67" spans="1:11">
      <c r="A67" s="3423" t="s">
        <v>3421</v>
      </c>
      <c r="B67" s="3548">
        <f t="shared" ref="B67:B94" si="31">B4</f>
        <v>-2.2499999999999999E-2</v>
      </c>
      <c r="C67" s="3549">
        <f t="shared" ref="C67:C94" si="32">D4</f>
        <v>-2.2499999999999999E-2</v>
      </c>
      <c r="D67" s="3549">
        <f t="shared" ref="D67:D94" si="33">F4</f>
        <v>-2.2499999999999999E-2</v>
      </c>
      <c r="E67" s="3549">
        <f t="shared" ref="E67:E94" si="34">H4</f>
        <v>-2.2499999999999999E-2</v>
      </c>
      <c r="F67" s="3549">
        <f t="shared" ref="F67:F94" si="35">J4</f>
        <v>-0.03</v>
      </c>
      <c r="G67" s="3549">
        <f t="shared" ref="G67:G94" si="36">L4</f>
        <v>-0.03</v>
      </c>
      <c r="H67" s="3549">
        <f t="shared" ref="H67:H94" si="37">N4</f>
        <v>-3.7499999999999999E-2</v>
      </c>
      <c r="I67" s="3549">
        <f t="shared" ref="I67:I94" si="38">P4</f>
        <v>-5.7000000000000002E-2</v>
      </c>
      <c r="J67" s="3549">
        <f t="shared" ref="J67:J94" si="39">R4</f>
        <v>-5.7000000000000002E-2</v>
      </c>
      <c r="K67" s="3531">
        <f t="shared" ref="K67:K94" si="40">T4</f>
        <v>-4.4999999999999998E-2</v>
      </c>
    </row>
    <row r="68" spans="1:11">
      <c r="A68" s="3423" t="s">
        <v>3422</v>
      </c>
      <c r="B68" s="3548">
        <f t="shared" si="31"/>
        <v>-1.4999999999999999E-2</v>
      </c>
      <c r="C68" s="3549">
        <f t="shared" si="32"/>
        <v>-1.4999999999999999E-2</v>
      </c>
      <c r="D68" s="3549">
        <f t="shared" si="33"/>
        <v>-1.4999999999999999E-2</v>
      </c>
      <c r="E68" s="3549">
        <f t="shared" si="34"/>
        <v>-1.4999999999999999E-2</v>
      </c>
      <c r="F68" s="3549">
        <f t="shared" si="35"/>
        <v>-0.02</v>
      </c>
      <c r="G68" s="3549">
        <f t="shared" si="36"/>
        <v>-0.02</v>
      </c>
      <c r="H68" s="3549">
        <f t="shared" si="37"/>
        <v>-2.5000000000000001E-2</v>
      </c>
      <c r="I68" s="3549">
        <f t="shared" si="38"/>
        <v>-3.7999999999999999E-2</v>
      </c>
      <c r="J68" s="3549">
        <f t="shared" si="39"/>
        <v>-3.7999999999999999E-2</v>
      </c>
      <c r="K68" s="3531">
        <f t="shared" si="40"/>
        <v>-0.03</v>
      </c>
    </row>
    <row r="69" spans="1:11">
      <c r="A69" s="3423" t="s">
        <v>3423</v>
      </c>
      <c r="B69" s="3548">
        <f t="shared" si="31"/>
        <v>-0.03</v>
      </c>
      <c r="C69" s="3549">
        <f t="shared" si="32"/>
        <v>-0.03</v>
      </c>
      <c r="D69" s="3549">
        <f t="shared" si="33"/>
        <v>-0.03</v>
      </c>
      <c r="E69" s="3549">
        <f t="shared" si="34"/>
        <v>-0.03</v>
      </c>
      <c r="F69" s="3549">
        <f t="shared" si="35"/>
        <v>-0.04</v>
      </c>
      <c r="G69" s="3549">
        <f t="shared" si="36"/>
        <v>-0.04</v>
      </c>
      <c r="H69" s="3549">
        <f t="shared" si="37"/>
        <v>-0.05</v>
      </c>
      <c r="I69" s="3549">
        <f t="shared" si="38"/>
        <v>-7.5999999999999998E-2</v>
      </c>
      <c r="J69" s="3549">
        <f t="shared" si="39"/>
        <v>-7.5999999999999998E-2</v>
      </c>
      <c r="K69" s="3531">
        <f t="shared" si="40"/>
        <v>-0.06</v>
      </c>
    </row>
    <row r="70" spans="1:11">
      <c r="A70" s="3423" t="s">
        <v>3425</v>
      </c>
      <c r="B70" s="3548">
        <f t="shared" si="31"/>
        <v>-1.4999999999999999E-2</v>
      </c>
      <c r="C70" s="3549">
        <f t="shared" si="32"/>
        <v>-1.4999999999999999E-2</v>
      </c>
      <c r="D70" s="3549">
        <f t="shared" si="33"/>
        <v>-1.4999999999999999E-2</v>
      </c>
      <c r="E70" s="3549">
        <f t="shared" si="34"/>
        <v>-1.4999999999999999E-2</v>
      </c>
      <c r="F70" s="3549">
        <f t="shared" si="35"/>
        <v>-0.02</v>
      </c>
      <c r="G70" s="3549">
        <f t="shared" si="36"/>
        <v>-0.02</v>
      </c>
      <c r="H70" s="3549">
        <f t="shared" si="37"/>
        <v>-2.5000000000000001E-2</v>
      </c>
      <c r="I70" s="3549">
        <f t="shared" si="38"/>
        <v>-3.7999999999999999E-2</v>
      </c>
      <c r="J70" s="3549">
        <f t="shared" si="39"/>
        <v>-3.7999999999999999E-2</v>
      </c>
      <c r="K70" s="3531">
        <f t="shared" si="40"/>
        <v>-0.03</v>
      </c>
    </row>
    <row r="71" spans="1:11">
      <c r="A71" s="3423" t="s">
        <v>3426</v>
      </c>
      <c r="B71" s="3548">
        <f t="shared" si="31"/>
        <v>-1.2E-2</v>
      </c>
      <c r="C71" s="3549">
        <f t="shared" si="32"/>
        <v>-1.2E-2</v>
      </c>
      <c r="D71" s="3549">
        <f t="shared" si="33"/>
        <v>-1.2E-2</v>
      </c>
      <c r="E71" s="3549">
        <f t="shared" si="34"/>
        <v>-1.2E-2</v>
      </c>
      <c r="F71" s="3549">
        <f t="shared" si="35"/>
        <v>-1.6E-2</v>
      </c>
      <c r="G71" s="3549">
        <f t="shared" si="36"/>
        <v>-1.6E-2</v>
      </c>
      <c r="H71" s="3549">
        <f t="shared" si="37"/>
        <v>-0.02</v>
      </c>
      <c r="I71" s="3549">
        <f t="shared" si="38"/>
        <v>-3.04E-2</v>
      </c>
      <c r="J71" s="3549">
        <f t="shared" si="39"/>
        <v>-3.04E-2</v>
      </c>
      <c r="K71" s="3531">
        <f t="shared" si="40"/>
        <v>-2.4E-2</v>
      </c>
    </row>
    <row r="72" spans="1:11" ht="12.75" thickBot="1">
      <c r="A72" s="3550" t="s">
        <v>3485</v>
      </c>
      <c r="B72" s="3551">
        <f t="shared" si="31"/>
        <v>-1.0500000000000001E-2</v>
      </c>
      <c r="C72" s="3552">
        <f t="shared" si="32"/>
        <v>-1.0500000000000001E-2</v>
      </c>
      <c r="D72" s="3552">
        <f t="shared" si="33"/>
        <v>-1.0500000000000001E-2</v>
      </c>
      <c r="E72" s="3552">
        <f t="shared" si="34"/>
        <v>-1.0500000000000001E-2</v>
      </c>
      <c r="F72" s="3552">
        <f t="shared" si="35"/>
        <v>-1.4E-2</v>
      </c>
      <c r="G72" s="3552">
        <f t="shared" si="36"/>
        <v>-1.4E-2</v>
      </c>
      <c r="H72" s="3552">
        <f t="shared" si="37"/>
        <v>-1.7500000000000002E-2</v>
      </c>
      <c r="I72" s="3552">
        <f t="shared" si="38"/>
        <v>-2.6599999999999999E-2</v>
      </c>
      <c r="J72" s="3552">
        <f t="shared" si="39"/>
        <v>-2.6599999999999999E-2</v>
      </c>
      <c r="K72" s="3539">
        <f t="shared" si="40"/>
        <v>-2.1000000000000001E-2</v>
      </c>
    </row>
    <row r="73" spans="1:11">
      <c r="A73" s="3516" t="s">
        <v>3436</v>
      </c>
      <c r="B73" s="3546">
        <f t="shared" si="31"/>
        <v>-0.04</v>
      </c>
      <c r="C73" s="3547">
        <f t="shared" si="32"/>
        <v>-0.03</v>
      </c>
      <c r="D73" s="3547">
        <f t="shared" si="33"/>
        <v>-0.03</v>
      </c>
      <c r="E73" s="3547">
        <f t="shared" si="34"/>
        <v>-0.04</v>
      </c>
      <c r="F73" s="3547">
        <f t="shared" si="35"/>
        <v>-3.5999999999999997E-2</v>
      </c>
      <c r="G73" s="3547">
        <f t="shared" si="36"/>
        <v>-4.8000000000000001E-2</v>
      </c>
      <c r="H73" s="3547">
        <f t="shared" si="37"/>
        <v>-0.04</v>
      </c>
      <c r="I73" s="3547">
        <f t="shared" si="38"/>
        <v>-7.1999999999999995E-2</v>
      </c>
      <c r="J73" s="3547">
        <f t="shared" si="39"/>
        <v>-0.08</v>
      </c>
      <c r="K73" s="3523">
        <f t="shared" si="40"/>
        <v>-0.06</v>
      </c>
    </row>
    <row r="74" spans="1:11">
      <c r="A74" s="3524" t="s">
        <v>3421</v>
      </c>
      <c r="B74" s="3548">
        <f t="shared" si="31"/>
        <v>-0.05</v>
      </c>
      <c r="C74" s="3549">
        <f t="shared" si="32"/>
        <v>-3.7499999999999999E-2</v>
      </c>
      <c r="D74" s="3549">
        <f t="shared" si="33"/>
        <v>-3.7499999999999999E-2</v>
      </c>
      <c r="E74" s="3549">
        <f t="shared" si="34"/>
        <v>-0.05</v>
      </c>
      <c r="F74" s="3549">
        <f t="shared" si="35"/>
        <v>-4.4999999999999998E-2</v>
      </c>
      <c r="G74" s="3549">
        <f t="shared" si="36"/>
        <v>-0.06</v>
      </c>
      <c r="H74" s="3549">
        <f t="shared" si="37"/>
        <v>-0.05</v>
      </c>
      <c r="I74" s="3549">
        <f t="shared" si="38"/>
        <v>-0.09</v>
      </c>
      <c r="J74" s="3549">
        <f t="shared" si="39"/>
        <v>-0.1</v>
      </c>
      <c r="K74" s="3531">
        <f t="shared" si="40"/>
        <v>-7.4999999999999997E-2</v>
      </c>
    </row>
    <row r="75" spans="1:11">
      <c r="A75" s="3524" t="s">
        <v>3422</v>
      </c>
      <c r="B75" s="3548">
        <f t="shared" si="31"/>
        <v>-0.02</v>
      </c>
      <c r="C75" s="3549">
        <f t="shared" si="32"/>
        <v>-1.4999999999999999E-2</v>
      </c>
      <c r="D75" s="3549">
        <f t="shared" si="33"/>
        <v>-1.4999999999999999E-2</v>
      </c>
      <c r="E75" s="3549">
        <f t="shared" si="34"/>
        <v>-0.02</v>
      </c>
      <c r="F75" s="3549">
        <f t="shared" si="35"/>
        <v>-1.7999999999999999E-2</v>
      </c>
      <c r="G75" s="3549">
        <f t="shared" si="36"/>
        <v>-2.4E-2</v>
      </c>
      <c r="H75" s="3549">
        <f t="shared" si="37"/>
        <v>-0.02</v>
      </c>
      <c r="I75" s="3549">
        <f t="shared" si="38"/>
        <v>-3.5999999999999997E-2</v>
      </c>
      <c r="J75" s="3549">
        <f t="shared" si="39"/>
        <v>-0.04</v>
      </c>
      <c r="K75" s="3531">
        <f t="shared" si="40"/>
        <v>-0.03</v>
      </c>
    </row>
    <row r="76" spans="1:11">
      <c r="A76" s="3524" t="s">
        <v>3423</v>
      </c>
      <c r="B76" s="3548">
        <f t="shared" si="31"/>
        <v>-0.02</v>
      </c>
      <c r="C76" s="3549">
        <f t="shared" si="32"/>
        <v>-1.4999999999999999E-2</v>
      </c>
      <c r="D76" s="3549">
        <f t="shared" si="33"/>
        <v>-1.4999999999999999E-2</v>
      </c>
      <c r="E76" s="3549">
        <f t="shared" si="34"/>
        <v>-0.02</v>
      </c>
      <c r="F76" s="3549">
        <f t="shared" si="35"/>
        <v>-1.7999999999999999E-2</v>
      </c>
      <c r="G76" s="3549">
        <f t="shared" si="36"/>
        <v>-2.4E-2</v>
      </c>
      <c r="H76" s="3549">
        <f t="shared" si="37"/>
        <v>-0.02</v>
      </c>
      <c r="I76" s="3549">
        <f t="shared" si="38"/>
        <v>-3.5999999999999997E-2</v>
      </c>
      <c r="J76" s="3549">
        <f t="shared" si="39"/>
        <v>-0.04</v>
      </c>
      <c r="K76" s="3531">
        <f t="shared" si="40"/>
        <v>-0.03</v>
      </c>
    </row>
    <row r="77" spans="1:11">
      <c r="A77" s="3524" t="s">
        <v>3425</v>
      </c>
      <c r="B77" s="3548">
        <f t="shared" si="31"/>
        <v>-0.03</v>
      </c>
      <c r="C77" s="3549">
        <f t="shared" si="32"/>
        <v>-2.2499999999999999E-2</v>
      </c>
      <c r="D77" s="3549">
        <f t="shared" si="33"/>
        <v>-2.2499999999999999E-2</v>
      </c>
      <c r="E77" s="3549">
        <f t="shared" si="34"/>
        <v>-0.03</v>
      </c>
      <c r="F77" s="3549">
        <f t="shared" si="35"/>
        <v>-2.7E-2</v>
      </c>
      <c r="G77" s="3549">
        <f t="shared" si="36"/>
        <v>-3.5999999999999997E-2</v>
      </c>
      <c r="H77" s="3549">
        <f t="shared" si="37"/>
        <v>-0.03</v>
      </c>
      <c r="I77" s="3549">
        <f t="shared" si="38"/>
        <v>-5.3999999999999999E-2</v>
      </c>
      <c r="J77" s="3549">
        <f t="shared" si="39"/>
        <v>-0.06</v>
      </c>
      <c r="K77" s="3531">
        <f t="shared" si="40"/>
        <v>-4.4999999999999998E-2</v>
      </c>
    </row>
    <row r="78" spans="1:11">
      <c r="A78" s="3524" t="s">
        <v>3426</v>
      </c>
      <c r="B78" s="3548">
        <f t="shared" si="31"/>
        <v>-1.6E-2</v>
      </c>
      <c r="C78" s="3549">
        <f t="shared" si="32"/>
        <v>-1.2E-2</v>
      </c>
      <c r="D78" s="3549">
        <f t="shared" si="33"/>
        <v>-1.2E-2</v>
      </c>
      <c r="E78" s="3549">
        <f t="shared" si="34"/>
        <v>-1.6E-2</v>
      </c>
      <c r="F78" s="3549">
        <f t="shared" si="35"/>
        <v>-1.44E-2</v>
      </c>
      <c r="G78" s="3549">
        <f t="shared" si="36"/>
        <v>-1.9199999999999998E-2</v>
      </c>
      <c r="H78" s="3549">
        <f t="shared" si="37"/>
        <v>-1.6E-2</v>
      </c>
      <c r="I78" s="3549">
        <f t="shared" si="38"/>
        <v>-2.8799999999999999E-2</v>
      </c>
      <c r="J78" s="3549">
        <f t="shared" si="39"/>
        <v>-3.2000000000000001E-2</v>
      </c>
      <c r="K78" s="3531">
        <f t="shared" si="40"/>
        <v>-2.4E-2</v>
      </c>
    </row>
    <row r="79" spans="1:11" ht="12.75" thickBot="1">
      <c r="A79" s="3532" t="s">
        <v>3437</v>
      </c>
      <c r="B79" s="3551">
        <f t="shared" si="31"/>
        <v>-2.4E-2</v>
      </c>
      <c r="C79" s="3552">
        <f t="shared" si="32"/>
        <v>-1.7999999999999999E-2</v>
      </c>
      <c r="D79" s="3552">
        <f t="shared" si="33"/>
        <v>-1.7999999999999999E-2</v>
      </c>
      <c r="E79" s="3552">
        <f t="shared" si="34"/>
        <v>-2.4E-2</v>
      </c>
      <c r="F79" s="3552">
        <f t="shared" si="35"/>
        <v>-2.1600000000000001E-2</v>
      </c>
      <c r="G79" s="3552">
        <f t="shared" si="36"/>
        <v>-2.8799999999999999E-2</v>
      </c>
      <c r="H79" s="3552">
        <f t="shared" si="37"/>
        <v>-2.4E-2</v>
      </c>
      <c r="I79" s="3552">
        <f t="shared" si="38"/>
        <v>-4.3200000000000002E-2</v>
      </c>
      <c r="J79" s="3552">
        <f t="shared" si="39"/>
        <v>-4.8000000000000001E-2</v>
      </c>
      <c r="K79" s="3539">
        <f t="shared" si="40"/>
        <v>-3.5999999999999997E-2</v>
      </c>
    </row>
    <row r="80" spans="1:11">
      <c r="A80" s="3516" t="s">
        <v>3439</v>
      </c>
      <c r="B80" s="3546">
        <f t="shared" si="31"/>
        <v>-0.02</v>
      </c>
      <c r="C80" s="3547">
        <f t="shared" si="32"/>
        <v>-2.1000000000000001E-2</v>
      </c>
      <c r="D80" s="3547">
        <f t="shared" si="33"/>
        <v>-1.4999999999999999E-2</v>
      </c>
      <c r="E80" s="3547">
        <f t="shared" si="34"/>
        <v>-1.7000000000000001E-2</v>
      </c>
      <c r="F80" s="3547">
        <f t="shared" si="35"/>
        <v>-0.03</v>
      </c>
      <c r="G80" s="3547">
        <f t="shared" si="36"/>
        <v>-2.5999999999999999E-2</v>
      </c>
      <c r="H80" s="3547">
        <f t="shared" si="37"/>
        <v>-2.7E-2</v>
      </c>
      <c r="I80" s="3547">
        <f t="shared" si="38"/>
        <v>-3.3000000000000002E-2</v>
      </c>
      <c r="J80" s="3547">
        <f t="shared" si="39"/>
        <v>-3.5999999999999997E-2</v>
      </c>
      <c r="K80" s="3523">
        <f t="shared" si="40"/>
        <v>-0.03</v>
      </c>
    </row>
    <row r="81" spans="1:11">
      <c r="A81" s="3524" t="s">
        <v>3421</v>
      </c>
      <c r="B81" s="3548">
        <f t="shared" si="31"/>
        <v>-0.04</v>
      </c>
      <c r="C81" s="3549">
        <f t="shared" si="32"/>
        <v>-4.2000000000000003E-2</v>
      </c>
      <c r="D81" s="3549">
        <f t="shared" si="33"/>
        <v>-0.03</v>
      </c>
      <c r="E81" s="3549">
        <f t="shared" si="34"/>
        <v>-3.4000000000000002E-2</v>
      </c>
      <c r="F81" s="3549">
        <f t="shared" si="35"/>
        <v>-0.06</v>
      </c>
      <c r="G81" s="3549">
        <f t="shared" si="36"/>
        <v>-5.1999999999999998E-2</v>
      </c>
      <c r="H81" s="3549">
        <f t="shared" si="37"/>
        <v>-5.3999999999999999E-2</v>
      </c>
      <c r="I81" s="3549">
        <f t="shared" si="38"/>
        <v>-6.6000000000000003E-2</v>
      </c>
      <c r="J81" s="3549">
        <f t="shared" si="39"/>
        <v>-7.1999999999999995E-2</v>
      </c>
      <c r="K81" s="3531">
        <f t="shared" si="40"/>
        <v>-0.06</v>
      </c>
    </row>
    <row r="82" spans="1:11">
      <c r="A82" s="3524" t="s">
        <v>3422</v>
      </c>
      <c r="B82" s="3548">
        <f t="shared" si="31"/>
        <v>-0.02</v>
      </c>
      <c r="C82" s="3549">
        <f t="shared" si="32"/>
        <v>-2.1000000000000001E-2</v>
      </c>
      <c r="D82" s="3549">
        <f t="shared" si="33"/>
        <v>-1.4999999999999999E-2</v>
      </c>
      <c r="E82" s="3549">
        <f t="shared" si="34"/>
        <v>-1.7000000000000001E-2</v>
      </c>
      <c r="F82" s="3549">
        <f t="shared" si="35"/>
        <v>-0.03</v>
      </c>
      <c r="G82" s="3549">
        <f t="shared" si="36"/>
        <v>-2.5999999999999999E-2</v>
      </c>
      <c r="H82" s="3549">
        <f t="shared" si="37"/>
        <v>-2.7E-2</v>
      </c>
      <c r="I82" s="3549">
        <f t="shared" si="38"/>
        <v>-3.3000000000000002E-2</v>
      </c>
      <c r="J82" s="3549">
        <f t="shared" si="39"/>
        <v>-3.5999999999999997E-2</v>
      </c>
      <c r="K82" s="3531">
        <f t="shared" si="40"/>
        <v>-0.03</v>
      </c>
    </row>
    <row r="83" spans="1:11">
      <c r="A83" s="3524" t="s">
        <v>3486</v>
      </c>
      <c r="B83" s="3548">
        <f t="shared" si="31"/>
        <v>-0.02</v>
      </c>
      <c r="C83" s="3549">
        <f t="shared" si="32"/>
        <v>-2.1000000000000001E-2</v>
      </c>
      <c r="D83" s="3549">
        <f t="shared" si="33"/>
        <v>-1.4999999999999999E-2</v>
      </c>
      <c r="E83" s="3549">
        <f t="shared" si="34"/>
        <v>-1.7000000000000001E-2</v>
      </c>
      <c r="F83" s="3549">
        <f t="shared" si="35"/>
        <v>-0.03</v>
      </c>
      <c r="G83" s="3549">
        <f t="shared" si="36"/>
        <v>-2.5999999999999999E-2</v>
      </c>
      <c r="H83" s="3549">
        <f t="shared" si="37"/>
        <v>-2.7E-2</v>
      </c>
      <c r="I83" s="3549">
        <f t="shared" si="38"/>
        <v>-3.3000000000000002E-2</v>
      </c>
      <c r="J83" s="3549">
        <f t="shared" si="39"/>
        <v>-3.5999999999999997E-2</v>
      </c>
      <c r="K83" s="3531">
        <f t="shared" si="40"/>
        <v>-0.03</v>
      </c>
    </row>
    <row r="84" spans="1:11">
      <c r="A84" s="3524" t="s">
        <v>3426</v>
      </c>
      <c r="B84" s="3548">
        <f t="shared" si="31"/>
        <v>-1.6E-2</v>
      </c>
      <c r="C84" s="3549">
        <f t="shared" si="32"/>
        <v>-1.6799999999999999E-2</v>
      </c>
      <c r="D84" s="3549">
        <f t="shared" si="33"/>
        <v>-1.2E-2</v>
      </c>
      <c r="E84" s="3549">
        <f t="shared" si="34"/>
        <v>-1.3599999999999999E-2</v>
      </c>
      <c r="F84" s="3549">
        <f t="shared" si="35"/>
        <v>-2.4E-2</v>
      </c>
      <c r="G84" s="3549">
        <f t="shared" si="36"/>
        <v>-2.0799999999999999E-2</v>
      </c>
      <c r="H84" s="3549">
        <f t="shared" si="37"/>
        <v>-2.1600000000000001E-2</v>
      </c>
      <c r="I84" s="3549">
        <f t="shared" si="38"/>
        <v>-2.64E-2</v>
      </c>
      <c r="J84" s="3549">
        <f t="shared" si="39"/>
        <v>-2.8799999999999999E-2</v>
      </c>
      <c r="K84" s="3531">
        <f t="shared" si="40"/>
        <v>-2.4E-2</v>
      </c>
    </row>
    <row r="85" spans="1:11">
      <c r="A85" s="3524" t="s">
        <v>3437</v>
      </c>
      <c r="B85" s="3548">
        <f t="shared" si="31"/>
        <v>-2.4E-2</v>
      </c>
      <c r="C85" s="3549">
        <f t="shared" si="32"/>
        <v>-2.52E-2</v>
      </c>
      <c r="D85" s="3549">
        <f t="shared" si="33"/>
        <v>-1.7999999999999999E-2</v>
      </c>
      <c r="E85" s="3549">
        <f t="shared" si="34"/>
        <v>-2.0400000000000001E-2</v>
      </c>
      <c r="F85" s="3549">
        <f t="shared" si="35"/>
        <v>-3.5999999999999997E-2</v>
      </c>
      <c r="G85" s="3549">
        <f t="shared" si="36"/>
        <v>-3.1199999999999999E-2</v>
      </c>
      <c r="H85" s="3549">
        <f t="shared" si="37"/>
        <v>-3.2399999999999998E-2</v>
      </c>
      <c r="I85" s="3549">
        <f t="shared" si="38"/>
        <v>-3.9600000000000003E-2</v>
      </c>
      <c r="J85" s="3549">
        <f t="shared" si="39"/>
        <v>-4.3200000000000002E-2</v>
      </c>
      <c r="K85" s="3531">
        <f t="shared" si="40"/>
        <v>-3.5999999999999997E-2</v>
      </c>
    </row>
    <row r="86" spans="1:11">
      <c r="A86" s="3524" t="s">
        <v>3487</v>
      </c>
      <c r="B86" s="3548">
        <f t="shared" si="31"/>
        <v>-0.04</v>
      </c>
      <c r="C86" s="3549">
        <f t="shared" si="32"/>
        <v>-4.2000000000000003E-2</v>
      </c>
      <c r="D86" s="3549">
        <f t="shared" si="33"/>
        <v>-0.03</v>
      </c>
      <c r="E86" s="3549">
        <f t="shared" si="34"/>
        <v>-3.4000000000000002E-2</v>
      </c>
      <c r="F86" s="3549">
        <f t="shared" si="35"/>
        <v>-0.06</v>
      </c>
      <c r="G86" s="3549">
        <f t="shared" si="36"/>
        <v>-5.1999999999999998E-2</v>
      </c>
      <c r="H86" s="3549">
        <f t="shared" si="37"/>
        <v>-5.3999999999999999E-2</v>
      </c>
      <c r="I86" s="3549">
        <f t="shared" si="38"/>
        <v>-6.6000000000000003E-2</v>
      </c>
      <c r="J86" s="3549">
        <f t="shared" si="39"/>
        <v>-7.1999999999999995E-2</v>
      </c>
      <c r="K86" s="3531">
        <f t="shared" si="40"/>
        <v>-0.06</v>
      </c>
    </row>
    <row r="87" spans="1:11" ht="12.75" thickBot="1">
      <c r="A87" s="3532" t="s">
        <v>3488</v>
      </c>
      <c r="B87" s="3551">
        <f t="shared" si="31"/>
        <v>-0.02</v>
      </c>
      <c r="C87" s="3552">
        <f t="shared" si="32"/>
        <v>-2.1000000000000001E-2</v>
      </c>
      <c r="D87" s="3552">
        <f t="shared" si="33"/>
        <v>-1.4999999999999999E-2</v>
      </c>
      <c r="E87" s="3552">
        <f t="shared" si="34"/>
        <v>-1.7000000000000001E-2</v>
      </c>
      <c r="F87" s="3552">
        <f t="shared" si="35"/>
        <v>-0.03</v>
      </c>
      <c r="G87" s="3552">
        <f t="shared" si="36"/>
        <v>-2.5999999999999999E-2</v>
      </c>
      <c r="H87" s="3552">
        <f t="shared" si="37"/>
        <v>-2.7E-2</v>
      </c>
      <c r="I87" s="3552">
        <f t="shared" si="38"/>
        <v>-3.3000000000000002E-2</v>
      </c>
      <c r="J87" s="3552">
        <f t="shared" si="39"/>
        <v>-3.5999999999999997E-2</v>
      </c>
      <c r="K87" s="3539">
        <f t="shared" si="40"/>
        <v>-0.03</v>
      </c>
    </row>
    <row r="88" spans="1:11">
      <c r="A88" s="3524" t="s">
        <v>3490</v>
      </c>
      <c r="B88" s="3554">
        <f t="shared" si="31"/>
        <v>-0.02</v>
      </c>
      <c r="C88" s="3554">
        <f t="shared" si="32"/>
        <v>-0.02</v>
      </c>
      <c r="D88" s="3554">
        <f t="shared" si="33"/>
        <v>-0.04</v>
      </c>
      <c r="E88" s="3554">
        <f t="shared" si="34"/>
        <v>-4.8000000000000001E-2</v>
      </c>
      <c r="F88" s="3554">
        <f t="shared" si="35"/>
        <v>-0.05</v>
      </c>
      <c r="G88" s="3554">
        <f t="shared" si="36"/>
        <v>-0.04</v>
      </c>
      <c r="H88" s="3554">
        <f t="shared" si="37"/>
        <v>-4.5999999999999999E-2</v>
      </c>
      <c r="I88" s="3554">
        <f t="shared" si="38"/>
        <v>-5.1999999999999998E-2</v>
      </c>
      <c r="J88" s="3554">
        <f t="shared" si="39"/>
        <v>0</v>
      </c>
      <c r="K88" s="3554">
        <f t="shared" si="40"/>
        <v>0</v>
      </c>
    </row>
    <row r="89" spans="1:11">
      <c r="A89" s="3524" t="s">
        <v>3421</v>
      </c>
      <c r="B89" s="3549">
        <f t="shared" si="31"/>
        <v>-3.2000000000000001E-2</v>
      </c>
      <c r="C89" s="3549">
        <f t="shared" si="32"/>
        <v>-3.2000000000000001E-2</v>
      </c>
      <c r="D89" s="3549">
        <f t="shared" si="33"/>
        <v>-6.4000000000000001E-2</v>
      </c>
      <c r="E89" s="3549">
        <f t="shared" si="34"/>
        <v>-7.6799999999999993E-2</v>
      </c>
      <c r="F89" s="3549">
        <f t="shared" si="35"/>
        <v>-0.08</v>
      </c>
      <c r="G89" s="3549">
        <f t="shared" si="36"/>
        <v>-6.4000000000000001E-2</v>
      </c>
      <c r="H89" s="3549">
        <f t="shared" si="37"/>
        <v>-7.3599999999999999E-2</v>
      </c>
      <c r="I89" s="3549">
        <f t="shared" si="38"/>
        <v>-8.3199999999999996E-2</v>
      </c>
      <c r="J89" s="3549">
        <f t="shared" si="39"/>
        <v>0</v>
      </c>
      <c r="K89" s="3549">
        <f t="shared" si="40"/>
        <v>0</v>
      </c>
    </row>
    <row r="90" spans="1:11">
      <c r="A90" s="3524" t="s">
        <v>3422</v>
      </c>
      <c r="B90" s="3549">
        <f t="shared" si="31"/>
        <v>-0.01</v>
      </c>
      <c r="C90" s="3549">
        <f t="shared" si="32"/>
        <v>-0.01</v>
      </c>
      <c r="D90" s="3549">
        <f t="shared" si="33"/>
        <v>-0.02</v>
      </c>
      <c r="E90" s="3549">
        <f t="shared" si="34"/>
        <v>-2.4E-2</v>
      </c>
      <c r="F90" s="3549">
        <f t="shared" si="35"/>
        <v>-2.5000000000000001E-2</v>
      </c>
      <c r="G90" s="3549">
        <f t="shared" si="36"/>
        <v>-0.02</v>
      </c>
      <c r="H90" s="3549">
        <f t="shared" si="37"/>
        <v>-2.3E-2</v>
      </c>
      <c r="I90" s="3549">
        <f t="shared" si="38"/>
        <v>-2.5999999999999999E-2</v>
      </c>
      <c r="J90" s="3549">
        <f t="shared" si="39"/>
        <v>0</v>
      </c>
      <c r="K90" s="3549">
        <f t="shared" si="40"/>
        <v>0</v>
      </c>
    </row>
    <row r="91" spans="1:11">
      <c r="A91" s="3524" t="s">
        <v>3486</v>
      </c>
      <c r="B91" s="3549">
        <f t="shared" si="31"/>
        <v>-8.0000000000000002E-3</v>
      </c>
      <c r="C91" s="3549">
        <f t="shared" si="32"/>
        <v>-8.0000000000000002E-3</v>
      </c>
      <c r="D91" s="3549">
        <f t="shared" si="33"/>
        <v>-1.6E-2</v>
      </c>
      <c r="E91" s="3549">
        <f t="shared" si="34"/>
        <v>-1.9199999999999998E-2</v>
      </c>
      <c r="F91" s="3549">
        <f t="shared" si="35"/>
        <v>-0.02</v>
      </c>
      <c r="G91" s="3549">
        <f t="shared" si="36"/>
        <v>-1.6E-2</v>
      </c>
      <c r="H91" s="3549">
        <f t="shared" si="37"/>
        <v>-1.84E-2</v>
      </c>
      <c r="I91" s="3549">
        <f t="shared" si="38"/>
        <v>-2.0799999999999999E-2</v>
      </c>
      <c r="J91" s="3549">
        <f t="shared" si="39"/>
        <v>0</v>
      </c>
      <c r="K91" s="3549">
        <f t="shared" si="40"/>
        <v>0</v>
      </c>
    </row>
    <row r="92" spans="1:11">
      <c r="A92" s="3524" t="s">
        <v>3426</v>
      </c>
      <c r="B92" s="3549">
        <f t="shared" si="31"/>
        <v>-1.2E-2</v>
      </c>
      <c r="C92" s="3549">
        <f t="shared" si="32"/>
        <v>-1.2E-2</v>
      </c>
      <c r="D92" s="3549">
        <f t="shared" si="33"/>
        <v>-2.4E-2</v>
      </c>
      <c r="E92" s="3549">
        <f t="shared" si="34"/>
        <v>-2.8799999999999999E-2</v>
      </c>
      <c r="F92" s="3549">
        <f t="shared" si="35"/>
        <v>-0.03</v>
      </c>
      <c r="G92" s="3549">
        <f t="shared" si="36"/>
        <v>-2.4E-2</v>
      </c>
      <c r="H92" s="3549">
        <f t="shared" si="37"/>
        <v>-2.76E-2</v>
      </c>
      <c r="I92" s="3549">
        <f t="shared" si="38"/>
        <v>-3.1199999999999999E-2</v>
      </c>
      <c r="J92" s="3549">
        <f t="shared" si="39"/>
        <v>0</v>
      </c>
      <c r="K92" s="3549">
        <f t="shared" si="40"/>
        <v>0</v>
      </c>
    </row>
    <row r="93" spans="1:11">
      <c r="A93" s="3524" t="s">
        <v>3485</v>
      </c>
      <c r="B93" s="3549">
        <f t="shared" si="31"/>
        <v>-0.01</v>
      </c>
      <c r="C93" s="3549">
        <f t="shared" si="32"/>
        <v>-0.01</v>
      </c>
      <c r="D93" s="3549">
        <f t="shared" si="33"/>
        <v>-0.02</v>
      </c>
      <c r="E93" s="3549">
        <f t="shared" si="34"/>
        <v>-2.4E-2</v>
      </c>
      <c r="F93" s="3549">
        <f t="shared" si="35"/>
        <v>-2.5000000000000001E-2</v>
      </c>
      <c r="G93" s="3549">
        <f t="shared" si="36"/>
        <v>-0.02</v>
      </c>
      <c r="H93" s="3549">
        <f t="shared" si="37"/>
        <v>-2.3E-2</v>
      </c>
      <c r="I93" s="3549">
        <f t="shared" si="38"/>
        <v>-2.5999999999999999E-2</v>
      </c>
      <c r="J93" s="3549">
        <f t="shared" si="39"/>
        <v>0</v>
      </c>
      <c r="K93" s="3549">
        <f t="shared" si="40"/>
        <v>0</v>
      </c>
    </row>
    <row r="94" spans="1:11" ht="12.75" thickBot="1">
      <c r="A94" s="3532" t="s">
        <v>3491</v>
      </c>
      <c r="B94" s="3549">
        <f t="shared" si="31"/>
        <v>-8.0000000000000002E-3</v>
      </c>
      <c r="C94" s="3549">
        <f t="shared" si="32"/>
        <v>-8.0000000000000002E-3</v>
      </c>
      <c r="D94" s="3549">
        <f t="shared" si="33"/>
        <v>-1.6E-2</v>
      </c>
      <c r="E94" s="3549">
        <f t="shared" si="34"/>
        <v>-1.9199999999999998E-2</v>
      </c>
      <c r="F94" s="3549">
        <f t="shared" si="35"/>
        <v>-0.02</v>
      </c>
      <c r="G94" s="3549">
        <f t="shared" si="36"/>
        <v>-1.6E-2</v>
      </c>
      <c r="H94" s="3549">
        <f t="shared" si="37"/>
        <v>-1.84E-2</v>
      </c>
      <c r="I94" s="3549">
        <f t="shared" si="38"/>
        <v>-2.0799999999999999E-2</v>
      </c>
      <c r="J94" s="3549">
        <f t="shared" si="39"/>
        <v>0</v>
      </c>
      <c r="K94" s="3549">
        <f t="shared" si="40"/>
        <v>0</v>
      </c>
    </row>
  </sheetData>
  <phoneticPr fontId="146"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zoomScaleNormal="100" workbookViewId="0">
      <selection activeCell="U3" sqref="U3"/>
    </sheetView>
  </sheetViews>
  <sheetFormatPr defaultRowHeight="12.75"/>
  <cols>
    <col min="1" max="6" width="9" style="3610"/>
    <col min="7" max="7" width="9" style="3631"/>
    <col min="8" max="8" width="9" style="3610"/>
    <col min="9" max="12" width="9" style="3610" customWidth="1"/>
    <col min="13" max="13" width="2.25" style="3610" customWidth="1"/>
    <col min="14" max="14" width="9" style="3631" customWidth="1"/>
    <col min="15" max="17" width="9" style="3610" customWidth="1"/>
    <col min="18" max="18" width="2.375" style="3610" customWidth="1"/>
    <col min="19" max="19" width="7.125" style="3631" customWidth="1"/>
    <col min="20" max="22" width="7.125" style="3610" customWidth="1"/>
    <col min="23" max="23" width="2.5" style="3610" customWidth="1"/>
    <col min="24" max="16384" width="9" style="3610"/>
  </cols>
  <sheetData>
    <row r="1" spans="1:32" s="3558" customFormat="1">
      <c r="A1" s="3557" t="s">
        <v>3534</v>
      </c>
      <c r="C1" s="3559"/>
      <c r="D1" s="3559"/>
      <c r="F1" s="3559"/>
      <c r="H1" s="3560"/>
      <c r="I1" s="3560"/>
      <c r="J1" s="3560"/>
      <c r="K1" s="3560"/>
      <c r="L1" s="3560"/>
      <c r="O1" s="3560"/>
      <c r="P1" s="3560"/>
      <c r="Q1" s="3560"/>
      <c r="R1" s="3561"/>
      <c r="T1" s="3560"/>
      <c r="U1" s="3560"/>
      <c r="V1" s="3560"/>
    </row>
    <row r="2" spans="1:32" s="3558" customFormat="1" ht="13.5" thickBot="1">
      <c r="B2" s="3559" t="s">
        <v>3535</v>
      </c>
      <c r="C2" s="3559"/>
      <c r="D2" s="3559"/>
      <c r="F2" s="3559"/>
      <c r="G2" s="3562" t="s">
        <v>3536</v>
      </c>
      <c r="H2" s="3562"/>
      <c r="I2" s="3562"/>
      <c r="J2" s="3562"/>
      <c r="K2" s="3562"/>
      <c r="L2" s="3562"/>
      <c r="N2" s="3563" t="s">
        <v>3537</v>
      </c>
      <c r="O2" s="3563"/>
      <c r="P2" s="3563"/>
      <c r="Q2" s="3563"/>
      <c r="R2" s="3561"/>
      <c r="S2" s="3563" t="s">
        <v>3538</v>
      </c>
      <c r="T2" s="3563"/>
      <c r="U2" s="3563"/>
      <c r="V2" s="3563"/>
    </row>
    <row r="3" spans="1:32" s="3558" customFormat="1" ht="14.25">
      <c r="B3" s="3564" t="s">
        <v>3539</v>
      </c>
      <c r="C3" s="3564" t="s">
        <v>3540</v>
      </c>
      <c r="D3" s="3565" t="s">
        <v>3541</v>
      </c>
      <c r="E3" s="3565" t="s">
        <v>729</v>
      </c>
      <c r="F3" s="3564" t="s">
        <v>3542</v>
      </c>
      <c r="G3" s="3566" t="s">
        <v>3543</v>
      </c>
      <c r="H3" s="3566" t="s">
        <v>3544</v>
      </c>
      <c r="I3" s="3567" t="s">
        <v>3539</v>
      </c>
      <c r="J3" s="3567" t="s">
        <v>3545</v>
      </c>
      <c r="K3" s="3565" t="s">
        <v>729</v>
      </c>
      <c r="L3" s="3567" t="s">
        <v>3542</v>
      </c>
      <c r="N3" s="3567" t="s">
        <v>3539</v>
      </c>
      <c r="O3" s="3567" t="s">
        <v>3545</v>
      </c>
      <c r="P3" s="3565" t="s">
        <v>729</v>
      </c>
      <c r="Q3" s="3567" t="s">
        <v>3542</v>
      </c>
      <c r="R3" s="3561"/>
      <c r="S3" s="3567" t="s">
        <v>3539</v>
      </c>
      <c r="T3" s="3567" t="s">
        <v>3545</v>
      </c>
      <c r="U3" s="3565" t="s">
        <v>729</v>
      </c>
      <c r="V3" s="3567" t="s">
        <v>3542</v>
      </c>
    </row>
    <row r="4" spans="1:32" s="3571" customFormat="1" ht="14.25">
      <c r="A4" s="3568" t="s">
        <v>3546</v>
      </c>
      <c r="B4" s="2719"/>
      <c r="C4" s="2719"/>
      <c r="D4" s="2720"/>
      <c r="E4" s="2720"/>
      <c r="F4" s="2719"/>
      <c r="G4" s="3569"/>
      <c r="H4" s="3569"/>
      <c r="I4" s="3570">
        <f>ROUND(AVERAGE($I8:$I23),2)</f>
        <v>2.4500000000000002</v>
      </c>
      <c r="J4" s="3570">
        <f>ROUND(AVERAGE($J8:$J23),2)</f>
        <v>1.65</v>
      </c>
      <c r="K4" s="3570">
        <f>ROUND(AVERAGE($K8:$K23),2)</f>
        <v>2.71</v>
      </c>
      <c r="L4" s="3570">
        <f>ROUND(AVERAGE($L8:$L23),2)</f>
        <v>1.39</v>
      </c>
      <c r="N4" s="3572"/>
      <c r="O4" s="3572"/>
      <c r="P4" s="2720"/>
      <c r="Q4" s="3572"/>
      <c r="R4" s="3573"/>
      <c r="S4" s="3572"/>
      <c r="T4" s="3572"/>
      <c r="U4" s="2720"/>
      <c r="V4" s="3572"/>
      <c r="X4" s="3574"/>
    </row>
    <row r="5" spans="1:32" s="3575" customFormat="1" ht="14.25">
      <c r="B5" s="1556"/>
      <c r="C5" s="1556"/>
      <c r="D5" s="1557"/>
      <c r="E5" s="1557"/>
      <c r="F5" s="1556"/>
      <c r="G5" s="3576"/>
      <c r="H5" s="3576"/>
      <c r="I5" s="3577"/>
      <c r="J5" s="3577"/>
      <c r="K5" s="3578"/>
      <c r="L5" s="3577"/>
      <c r="N5" s="3579"/>
      <c r="O5" s="3579"/>
      <c r="P5" s="1557"/>
      <c r="Q5" s="3579"/>
      <c r="R5" s="3580"/>
      <c r="S5" s="3579"/>
      <c r="T5" s="3579"/>
      <c r="U5" s="1557"/>
      <c r="V5" s="3579"/>
      <c r="X5" s="3581"/>
    </row>
    <row r="6" spans="1:32" s="3588" customFormat="1">
      <c r="A6" s="3582" t="s">
        <v>3547</v>
      </c>
      <c r="B6" s="3583">
        <f t="shared" ref="B6:C11" si="0">B7*(1+N6)</f>
        <v>446.46299999999997</v>
      </c>
      <c r="C6" s="3583">
        <f t="shared" si="0"/>
        <v>333.27840000000003</v>
      </c>
      <c r="D6" s="3583">
        <f t="shared" ref="D6:D69" si="1">C6</f>
        <v>333.27840000000003</v>
      </c>
      <c r="E6" s="3583">
        <f t="shared" ref="E6:F7" si="2">E7*(1+P6)</f>
        <v>637.28279999999995</v>
      </c>
      <c r="F6" s="3583">
        <f t="shared" si="2"/>
        <v>288.68830000000003</v>
      </c>
      <c r="G6" s="3584">
        <v>2018</v>
      </c>
      <c r="H6" s="3585">
        <v>2</v>
      </c>
      <c r="I6" s="3586">
        <v>0</v>
      </c>
      <c r="J6" s="3586">
        <v>0</v>
      </c>
      <c r="K6" s="3586">
        <v>0</v>
      </c>
      <c r="L6" s="3587">
        <v>0</v>
      </c>
      <c r="N6" s="3589">
        <f t="shared" ref="N6:Q21" si="3">I6/100</f>
        <v>0</v>
      </c>
      <c r="O6" s="3590">
        <f t="shared" si="3"/>
        <v>0</v>
      </c>
      <c r="P6" s="3590">
        <f t="shared" si="3"/>
        <v>0</v>
      </c>
      <c r="Q6" s="3590">
        <f t="shared" si="3"/>
        <v>0</v>
      </c>
      <c r="R6" s="3591"/>
      <c r="S6" s="3592"/>
      <c r="T6" s="3591"/>
      <c r="U6" s="3591"/>
      <c r="V6" s="3591"/>
      <c r="X6" s="3593" t="s">
        <v>3548</v>
      </c>
      <c r="Y6" s="3594"/>
      <c r="Z6" s="3594"/>
      <c r="AA6" s="3594"/>
    </row>
    <row r="7" spans="1:32" s="3558" customFormat="1" ht="13.5" thickBot="1">
      <c r="A7" s="3595" t="s">
        <v>3549</v>
      </c>
      <c r="B7" s="3596">
        <f t="shared" si="0"/>
        <v>446.46299999999997</v>
      </c>
      <c r="C7" s="3596">
        <f t="shared" si="0"/>
        <v>333.27840000000003</v>
      </c>
      <c r="D7" s="3596">
        <f t="shared" si="1"/>
        <v>333.27840000000003</v>
      </c>
      <c r="E7" s="3596">
        <f t="shared" si="2"/>
        <v>637.28279999999995</v>
      </c>
      <c r="F7" s="3596">
        <f t="shared" si="2"/>
        <v>288.68830000000003</v>
      </c>
      <c r="G7" s="3597">
        <v>2018</v>
      </c>
      <c r="H7" s="3598">
        <v>1</v>
      </c>
      <c r="I7" s="3599">
        <v>1.7</v>
      </c>
      <c r="J7" s="3599">
        <v>1.92</v>
      </c>
      <c r="K7" s="3599">
        <v>1.64</v>
      </c>
      <c r="L7" s="3600">
        <v>2.0099999999999998</v>
      </c>
      <c r="N7" s="3601">
        <f t="shared" si="3"/>
        <v>1.7000000000000001E-2</v>
      </c>
      <c r="O7" s="3602">
        <f t="shared" si="3"/>
        <v>1.9199999999999998E-2</v>
      </c>
      <c r="P7" s="3602">
        <f t="shared" si="3"/>
        <v>1.6399999999999998E-2</v>
      </c>
      <c r="Q7" s="3602">
        <f t="shared" si="3"/>
        <v>2.0099999999999996E-2</v>
      </c>
      <c r="R7" s="3561"/>
      <c r="S7" s="3603">
        <f>B7/B8-1</f>
        <v>1.6999999999999904E-2</v>
      </c>
      <c r="T7" s="3604">
        <f>C7/C8-1</f>
        <v>1.9200000000000106E-2</v>
      </c>
      <c r="U7" s="3604">
        <f>E7/E8-1</f>
        <v>1.639999999999997E-2</v>
      </c>
      <c r="V7" s="3604">
        <f>F7/F8-1</f>
        <v>2.0100000000000007E-2</v>
      </c>
    </row>
    <row r="8" spans="1:32">
      <c r="A8" s="3595" t="s">
        <v>3550</v>
      </c>
      <c r="B8" s="3605">
        <v>439</v>
      </c>
      <c r="C8" s="3605">
        <v>327</v>
      </c>
      <c r="D8" s="3605">
        <f t="shared" si="1"/>
        <v>327</v>
      </c>
      <c r="E8" s="3605">
        <v>627</v>
      </c>
      <c r="F8" s="3606">
        <v>283</v>
      </c>
      <c r="G8" s="3607">
        <v>2017</v>
      </c>
      <c r="H8" s="3608">
        <v>4</v>
      </c>
      <c r="I8" s="3608">
        <v>1.71</v>
      </c>
      <c r="J8" s="3608">
        <v>1.78</v>
      </c>
      <c r="K8" s="3608">
        <v>1.71</v>
      </c>
      <c r="L8" s="3609">
        <v>1.43</v>
      </c>
      <c r="N8" s="3601">
        <f t="shared" si="3"/>
        <v>1.7100000000000001E-2</v>
      </c>
      <c r="O8" s="3602">
        <f t="shared" si="3"/>
        <v>1.78E-2</v>
      </c>
      <c r="P8" s="3602">
        <f t="shared" si="3"/>
        <v>1.7100000000000001E-2</v>
      </c>
      <c r="Q8" s="3602">
        <f t="shared" si="3"/>
        <v>1.43E-2</v>
      </c>
      <c r="R8" s="3611"/>
      <c r="S8" s="3612"/>
      <c r="T8" s="3613"/>
      <c r="U8" s="3613"/>
      <c r="V8" s="3613"/>
      <c r="AC8" s="3613"/>
      <c r="AD8" s="3613"/>
      <c r="AE8" s="3613"/>
      <c r="AF8" s="3613"/>
    </row>
    <row r="9" spans="1:32" s="3558" customFormat="1">
      <c r="A9" s="3595" t="s">
        <v>3551</v>
      </c>
      <c r="B9" s="3596">
        <f t="shared" si="0"/>
        <v>431.80730811680002</v>
      </c>
      <c r="C9" s="3596">
        <f t="shared" si="0"/>
        <v>320.57880516480003</v>
      </c>
      <c r="D9" s="3596">
        <f t="shared" si="1"/>
        <v>320.57880516480003</v>
      </c>
      <c r="E9" s="3596">
        <f t="shared" ref="E9:F11" si="4">E10*(1+P9)</f>
        <v>615.96110553196797</v>
      </c>
      <c r="F9" s="3596">
        <f t="shared" si="4"/>
        <v>279.46777300108801</v>
      </c>
      <c r="G9" s="3607"/>
      <c r="H9" s="3598">
        <v>3</v>
      </c>
      <c r="I9" s="3599">
        <v>2.98</v>
      </c>
      <c r="J9" s="3599">
        <v>2.11</v>
      </c>
      <c r="K9" s="3599">
        <v>3.24</v>
      </c>
      <c r="L9" s="3600">
        <v>1.72</v>
      </c>
      <c r="N9" s="3601">
        <f t="shared" si="3"/>
        <v>2.98E-2</v>
      </c>
      <c r="O9" s="3602">
        <f t="shared" si="3"/>
        <v>2.1099999999999997E-2</v>
      </c>
      <c r="P9" s="3602">
        <f t="shared" si="3"/>
        <v>3.2400000000000005E-2</v>
      </c>
      <c r="Q9" s="3602">
        <f t="shared" si="3"/>
        <v>1.72E-2</v>
      </c>
      <c r="R9" s="3561"/>
      <c r="S9" s="3614"/>
      <c r="T9" s="3561"/>
      <c r="U9" s="3561"/>
      <c r="V9" s="3561"/>
    </row>
    <row r="10" spans="1:32" s="3558" customFormat="1">
      <c r="A10" s="3595" t="s">
        <v>3552</v>
      </c>
      <c r="B10" s="3596">
        <f t="shared" si="0"/>
        <v>419.31181600000002</v>
      </c>
      <c r="C10" s="3596">
        <f t="shared" si="0"/>
        <v>313.95436800000004</v>
      </c>
      <c r="D10" s="3596">
        <f t="shared" si="1"/>
        <v>313.95436800000004</v>
      </c>
      <c r="E10" s="3596">
        <f t="shared" si="4"/>
        <v>596.63028431999999</v>
      </c>
      <c r="F10" s="3596">
        <f t="shared" si="4"/>
        <v>274.74220703999998</v>
      </c>
      <c r="G10" s="3607"/>
      <c r="H10" s="3615">
        <v>2</v>
      </c>
      <c r="I10" s="3616">
        <v>3.4</v>
      </c>
      <c r="J10" s="3616">
        <v>2</v>
      </c>
      <c r="K10" s="3616">
        <v>3.82</v>
      </c>
      <c r="L10" s="3617">
        <v>1.68</v>
      </c>
      <c r="N10" s="3601">
        <f t="shared" si="3"/>
        <v>3.4000000000000002E-2</v>
      </c>
      <c r="O10" s="3602">
        <f t="shared" si="3"/>
        <v>0.02</v>
      </c>
      <c r="P10" s="3602">
        <f t="shared" si="3"/>
        <v>3.8199999999999998E-2</v>
      </c>
      <c r="Q10" s="3602">
        <f t="shared" si="3"/>
        <v>1.6799999999999999E-2</v>
      </c>
      <c r="R10" s="3561"/>
      <c r="S10" s="3614"/>
      <c r="T10" s="3561"/>
      <c r="U10" s="3561"/>
      <c r="V10" s="3561"/>
    </row>
    <row r="11" spans="1:32" s="3558" customFormat="1" ht="13.5" thickBot="1">
      <c r="A11" s="3595" t="s">
        <v>3553</v>
      </c>
      <c r="B11" s="3596">
        <f t="shared" si="0"/>
        <v>405.524</v>
      </c>
      <c r="C11" s="3596">
        <f t="shared" si="0"/>
        <v>307.79840000000002</v>
      </c>
      <c r="D11" s="3596">
        <f t="shared" si="1"/>
        <v>307.79840000000002</v>
      </c>
      <c r="E11" s="3596">
        <f t="shared" si="4"/>
        <v>574.67759999999998</v>
      </c>
      <c r="F11" s="3596">
        <f t="shared" si="4"/>
        <v>270.20280000000002</v>
      </c>
      <c r="G11" s="3597"/>
      <c r="H11" s="3598">
        <v>1</v>
      </c>
      <c r="I11" s="3599">
        <v>3.45</v>
      </c>
      <c r="J11" s="3599">
        <v>1.92</v>
      </c>
      <c r="K11" s="3599">
        <v>3.92</v>
      </c>
      <c r="L11" s="3600">
        <v>1.58</v>
      </c>
      <c r="N11" s="3601">
        <f>I11/100</f>
        <v>3.4500000000000003E-2</v>
      </c>
      <c r="O11" s="3602">
        <f t="shared" si="3"/>
        <v>1.9199999999999998E-2</v>
      </c>
      <c r="P11" s="3602">
        <f t="shared" si="3"/>
        <v>3.9199999999999999E-2</v>
      </c>
      <c r="Q11" s="3602">
        <f t="shared" si="3"/>
        <v>1.5800000000000002E-2</v>
      </c>
      <c r="R11" s="3561"/>
      <c r="S11" s="3603">
        <f>B11/B12-1</f>
        <v>3.4499999999999975E-2</v>
      </c>
      <c r="T11" s="3604">
        <f>C11/C12-1</f>
        <v>1.9200000000000106E-2</v>
      </c>
      <c r="U11" s="3604">
        <f>E11/E12-1</f>
        <v>3.9199999999999902E-2</v>
      </c>
      <c r="V11" s="3604">
        <f>F11/F12-1</f>
        <v>1.5800000000000036E-2</v>
      </c>
    </row>
    <row r="12" spans="1:32">
      <c r="A12" s="3595" t="s">
        <v>1050</v>
      </c>
      <c r="B12" s="3618">
        <v>392</v>
      </c>
      <c r="C12" s="3618">
        <v>302</v>
      </c>
      <c r="D12" s="3618">
        <f t="shared" si="1"/>
        <v>302</v>
      </c>
      <c r="E12" s="3618">
        <v>553</v>
      </c>
      <c r="F12" s="3619">
        <v>266</v>
      </c>
      <c r="G12" s="3620">
        <v>2016</v>
      </c>
      <c r="H12" s="3608">
        <v>4</v>
      </c>
      <c r="I12" s="3608">
        <v>4.5599999999999996</v>
      </c>
      <c r="J12" s="3608">
        <v>2.15</v>
      </c>
      <c r="K12" s="3608">
        <v>5.32</v>
      </c>
      <c r="L12" s="3609">
        <v>1.57</v>
      </c>
      <c r="N12" s="3601">
        <f>I12/100</f>
        <v>4.5599999999999995E-2</v>
      </c>
      <c r="O12" s="3602">
        <f t="shared" si="3"/>
        <v>2.1499999999999998E-2</v>
      </c>
      <c r="P12" s="3602">
        <f t="shared" si="3"/>
        <v>5.3200000000000004E-2</v>
      </c>
      <c r="Q12" s="3602">
        <f t="shared" si="3"/>
        <v>1.5700000000000002E-2</v>
      </c>
      <c r="R12" s="3611"/>
      <c r="S12" s="3612"/>
      <c r="T12" s="3613"/>
      <c r="U12" s="3613"/>
      <c r="V12" s="3613"/>
      <c r="AC12" s="3613"/>
      <c r="AD12" s="3613"/>
      <c r="AE12" s="3613"/>
      <c r="AF12" s="3613"/>
    </row>
    <row r="13" spans="1:32">
      <c r="A13" s="3595" t="s">
        <v>103</v>
      </c>
      <c r="B13" s="3596">
        <f t="shared" ref="B13:C15" si="5">B12/(1+N12)</f>
        <v>374.90436113236416</v>
      </c>
      <c r="C13" s="3596">
        <f t="shared" si="5"/>
        <v>295.64366128242779</v>
      </c>
      <c r="D13" s="3596">
        <f t="shared" si="1"/>
        <v>295.64366128242779</v>
      </c>
      <c r="E13" s="3596">
        <f t="shared" ref="E13:F15" si="6">E12/(1+P12)</f>
        <v>525.06646410938095</v>
      </c>
      <c r="F13" s="3596">
        <f t="shared" si="6"/>
        <v>261.88835286009646</v>
      </c>
      <c r="G13" s="3621"/>
      <c r="H13" s="3598">
        <v>3</v>
      </c>
      <c r="I13" s="3598">
        <v>4.12</v>
      </c>
      <c r="J13" s="3598">
        <v>2</v>
      </c>
      <c r="K13" s="3598">
        <v>4.79</v>
      </c>
      <c r="L13" s="3622">
        <v>1.97</v>
      </c>
      <c r="N13" s="3601">
        <f t="shared" ref="N13:Q47" si="7">I13/100</f>
        <v>4.1200000000000001E-2</v>
      </c>
      <c r="O13" s="3602">
        <f t="shared" si="3"/>
        <v>0.02</v>
      </c>
      <c r="P13" s="3602">
        <f t="shared" si="3"/>
        <v>4.7899999999999998E-2</v>
      </c>
      <c r="Q13" s="3602">
        <f t="shared" si="3"/>
        <v>1.9699999999999999E-2</v>
      </c>
      <c r="R13" s="3611"/>
      <c r="S13" s="3601"/>
      <c r="T13" s="3602"/>
      <c r="U13" s="3602"/>
      <c r="V13" s="3602"/>
    </row>
    <row r="14" spans="1:32">
      <c r="A14" s="3595" t="s">
        <v>93</v>
      </c>
      <c r="B14" s="3596">
        <f t="shared" si="5"/>
        <v>360.06949782209392</v>
      </c>
      <c r="C14" s="3596">
        <f t="shared" si="5"/>
        <v>289.84672674747821</v>
      </c>
      <c r="D14" s="3596">
        <f t="shared" si="1"/>
        <v>289.84672674747821</v>
      </c>
      <c r="E14" s="3596">
        <f t="shared" si="6"/>
        <v>501.06543001181495</v>
      </c>
      <c r="F14" s="3596">
        <f t="shared" si="6"/>
        <v>256.82882500744967</v>
      </c>
      <c r="G14" s="3621"/>
      <c r="H14" s="3615">
        <v>2</v>
      </c>
      <c r="I14" s="3615">
        <v>3.85</v>
      </c>
      <c r="J14" s="3615">
        <v>1.95</v>
      </c>
      <c r="K14" s="3615">
        <v>4.4800000000000004</v>
      </c>
      <c r="L14" s="3623">
        <v>1.41</v>
      </c>
      <c r="N14" s="3601">
        <f t="shared" si="7"/>
        <v>3.85E-2</v>
      </c>
      <c r="O14" s="3602">
        <f t="shared" si="3"/>
        <v>1.95E-2</v>
      </c>
      <c r="P14" s="3602">
        <f t="shared" si="3"/>
        <v>4.4800000000000006E-2</v>
      </c>
      <c r="Q14" s="3602">
        <f t="shared" si="3"/>
        <v>1.41E-2</v>
      </c>
      <c r="R14" s="3611"/>
      <c r="S14" s="3601"/>
      <c r="T14" s="3602"/>
      <c r="U14" s="3602"/>
      <c r="V14" s="3602"/>
    </row>
    <row r="15" spans="1:32" ht="13.5" thickBot="1">
      <c r="A15" s="3595" t="s">
        <v>102</v>
      </c>
      <c r="B15" s="3596">
        <f t="shared" si="5"/>
        <v>346.720748986128</v>
      </c>
      <c r="C15" s="3596">
        <f t="shared" si="5"/>
        <v>284.30282172386285</v>
      </c>
      <c r="D15" s="3596">
        <f t="shared" si="1"/>
        <v>284.30282172386285</v>
      </c>
      <c r="E15" s="3596">
        <f t="shared" si="6"/>
        <v>479.58023546306947</v>
      </c>
      <c r="F15" s="3596">
        <f t="shared" si="6"/>
        <v>253.25788877571213</v>
      </c>
      <c r="G15" s="3624"/>
      <c r="H15" s="3598">
        <v>1</v>
      </c>
      <c r="I15" s="3598">
        <v>4.09</v>
      </c>
      <c r="J15" s="3598">
        <v>2.93</v>
      </c>
      <c r="K15" s="3598">
        <v>4.54</v>
      </c>
      <c r="L15" s="3622">
        <v>1.48</v>
      </c>
      <c r="N15" s="3601">
        <f t="shared" si="7"/>
        <v>4.0899999999999999E-2</v>
      </c>
      <c r="O15" s="3602">
        <f t="shared" si="3"/>
        <v>2.9300000000000003E-2</v>
      </c>
      <c r="P15" s="3602">
        <f t="shared" si="3"/>
        <v>4.5400000000000003E-2</v>
      </c>
      <c r="Q15" s="3602">
        <f t="shared" si="3"/>
        <v>1.4800000000000001E-2</v>
      </c>
      <c r="R15" s="3611"/>
      <c r="S15" s="3603">
        <f>B15/B16-1</f>
        <v>4.1203450408792808E-2</v>
      </c>
      <c r="T15" s="3604">
        <f>C15/C16-1</f>
        <v>2.6363977342465095E-2</v>
      </c>
      <c r="U15" s="3604">
        <f>E15/E16-1</f>
        <v>4.4837114298626357E-2</v>
      </c>
      <c r="V15" s="3604">
        <f>F15/F16-1</f>
        <v>1.7099954922538574E-2</v>
      </c>
      <c r="AC15" s="3625"/>
      <c r="AD15" s="3625"/>
      <c r="AE15" s="3625"/>
      <c r="AF15" s="3625"/>
    </row>
    <row r="16" spans="1:32" ht="13.5" thickBot="1">
      <c r="A16" s="3595" t="s">
        <v>101</v>
      </c>
      <c r="B16" s="3618">
        <v>333</v>
      </c>
      <c r="C16" s="3618">
        <v>277</v>
      </c>
      <c r="D16" s="3618">
        <f t="shared" si="1"/>
        <v>277</v>
      </c>
      <c r="E16" s="3618">
        <v>459</v>
      </c>
      <c r="F16" s="3619">
        <v>249</v>
      </c>
      <c r="G16" s="3626">
        <v>2015</v>
      </c>
      <c r="H16" s="3627">
        <v>4</v>
      </c>
      <c r="I16" s="3627">
        <v>1.63</v>
      </c>
      <c r="J16" s="3627">
        <v>1.1100000000000001</v>
      </c>
      <c r="K16" s="3627">
        <v>1.77</v>
      </c>
      <c r="L16" s="3628">
        <v>1.89</v>
      </c>
      <c r="N16" s="3629">
        <f t="shared" si="7"/>
        <v>1.6299999999999999E-2</v>
      </c>
      <c r="O16" s="3630">
        <f t="shared" si="3"/>
        <v>1.11E-2</v>
      </c>
      <c r="P16" s="3630">
        <f t="shared" si="3"/>
        <v>1.77E-2</v>
      </c>
      <c r="Q16" s="3630">
        <f t="shared" si="3"/>
        <v>1.89E-2</v>
      </c>
      <c r="R16" s="3611"/>
      <c r="AC16" s="3613"/>
      <c r="AD16" s="3613"/>
      <c r="AE16" s="3613"/>
      <c r="AF16" s="3613"/>
    </row>
    <row r="17" spans="1:32">
      <c r="A17" s="3595" t="s">
        <v>100</v>
      </c>
      <c r="B17" s="3596">
        <f t="shared" ref="B17:C19" si="8">B16/(1+N16)</f>
        <v>327.65915576109415</v>
      </c>
      <c r="C17" s="3596">
        <f t="shared" si="8"/>
        <v>273.95905449510434</v>
      </c>
      <c r="D17" s="3596">
        <f t="shared" si="1"/>
        <v>273.95905449510434</v>
      </c>
      <c r="E17" s="3596">
        <f t="shared" ref="E17:F19" si="9">E16/(1+P16)</f>
        <v>451.01699911565294</v>
      </c>
      <c r="F17" s="3596">
        <f t="shared" si="9"/>
        <v>244.38119540681129</v>
      </c>
      <c r="G17" s="3621"/>
      <c r="H17" s="3632">
        <v>3</v>
      </c>
      <c r="I17" s="3632">
        <v>1.65</v>
      </c>
      <c r="J17" s="3632">
        <v>0.92</v>
      </c>
      <c r="K17" s="3632">
        <v>1.88</v>
      </c>
      <c r="L17" s="3633">
        <v>1.26</v>
      </c>
      <c r="N17" s="3601">
        <f t="shared" si="7"/>
        <v>1.6500000000000001E-2</v>
      </c>
      <c r="O17" s="3634">
        <f t="shared" si="3"/>
        <v>9.1999999999999998E-3</v>
      </c>
      <c r="P17" s="3634">
        <f t="shared" si="3"/>
        <v>1.8799999999999997E-2</v>
      </c>
      <c r="Q17" s="3634">
        <f t="shared" si="3"/>
        <v>1.26E-2</v>
      </c>
      <c r="R17" s="3611"/>
      <c r="S17" s="3601"/>
      <c r="T17" s="3602"/>
      <c r="U17" s="3602"/>
      <c r="V17" s="3602"/>
    </row>
    <row r="18" spans="1:32">
      <c r="A18" s="3595" t="s">
        <v>99</v>
      </c>
      <c r="B18" s="3596">
        <f t="shared" si="8"/>
        <v>322.34053690220776</v>
      </c>
      <c r="C18" s="3596">
        <f t="shared" si="8"/>
        <v>271.46160770422546</v>
      </c>
      <c r="D18" s="3596">
        <f t="shared" si="1"/>
        <v>271.46160770422546</v>
      </c>
      <c r="E18" s="3596">
        <f t="shared" si="9"/>
        <v>442.69434542172456</v>
      </c>
      <c r="F18" s="3596">
        <f t="shared" si="9"/>
        <v>241.34030753190925</v>
      </c>
      <c r="G18" s="3621"/>
      <c r="H18" s="3615">
        <v>2</v>
      </c>
      <c r="I18" s="3615">
        <v>0.77</v>
      </c>
      <c r="J18" s="3615">
        <v>0.69</v>
      </c>
      <c r="K18" s="3615">
        <v>0.8</v>
      </c>
      <c r="L18" s="3623">
        <v>0.88</v>
      </c>
      <c r="N18" s="3601">
        <f t="shared" si="7"/>
        <v>7.7000000000000002E-3</v>
      </c>
      <c r="O18" s="3634">
        <f t="shared" si="3"/>
        <v>6.8999999999999999E-3</v>
      </c>
      <c r="P18" s="3634">
        <f t="shared" si="3"/>
        <v>8.0000000000000002E-3</v>
      </c>
      <c r="Q18" s="3634">
        <f t="shared" si="3"/>
        <v>8.8000000000000005E-3</v>
      </c>
      <c r="R18" s="3611"/>
      <c r="S18" s="3601"/>
      <c r="T18" s="3602"/>
      <c r="U18" s="3602"/>
      <c r="V18" s="3602"/>
    </row>
    <row r="19" spans="1:32">
      <c r="A19" s="3595" t="s">
        <v>98</v>
      </c>
      <c r="B19" s="3596">
        <f t="shared" si="8"/>
        <v>319.87748030386797</v>
      </c>
      <c r="C19" s="3596">
        <f t="shared" si="8"/>
        <v>269.60135833173649</v>
      </c>
      <c r="D19" s="3596">
        <f t="shared" si="1"/>
        <v>269.60135833173649</v>
      </c>
      <c r="E19" s="3596">
        <f t="shared" si="9"/>
        <v>439.18089823583784</v>
      </c>
      <c r="F19" s="3596">
        <f t="shared" si="9"/>
        <v>239.23503918706311</v>
      </c>
      <c r="G19" s="3624"/>
      <c r="H19" s="3598">
        <v>1</v>
      </c>
      <c r="I19" s="3598">
        <v>0.51</v>
      </c>
      <c r="J19" s="3598">
        <v>0.54</v>
      </c>
      <c r="K19" s="3598">
        <v>0.48</v>
      </c>
      <c r="L19" s="3622">
        <v>0.93</v>
      </c>
      <c r="N19" s="3603">
        <f t="shared" si="7"/>
        <v>5.1000000000000004E-3</v>
      </c>
      <c r="O19" s="3604">
        <f t="shared" si="3"/>
        <v>5.4000000000000003E-3</v>
      </c>
      <c r="P19" s="3604">
        <f t="shared" si="3"/>
        <v>4.7999999999999996E-3</v>
      </c>
      <c r="Q19" s="3604">
        <f t="shared" si="3"/>
        <v>9.300000000000001E-3</v>
      </c>
      <c r="R19" s="3611"/>
      <c r="S19" s="3603">
        <f>B19/B20-1</f>
        <v>5.9040261127922822E-3</v>
      </c>
      <c r="T19" s="3604">
        <f>C19/C20-1</f>
        <v>5.9752176557332781E-3</v>
      </c>
      <c r="U19" s="3604">
        <f>E19/E20-1</f>
        <v>4.9906138119859556E-3</v>
      </c>
      <c r="V19" s="3604">
        <f>F19/F20-1</f>
        <v>9.4305450930933787E-3</v>
      </c>
      <c r="AC19" s="3625"/>
      <c r="AD19" s="3625"/>
      <c r="AE19" s="3625"/>
      <c r="AF19" s="3625"/>
    </row>
    <row r="20" spans="1:32" ht="13.5" thickBot="1">
      <c r="A20" s="3595" t="s">
        <v>97</v>
      </c>
      <c r="B20" s="3635">
        <v>318</v>
      </c>
      <c r="C20" s="3635">
        <v>268</v>
      </c>
      <c r="D20" s="3635">
        <f t="shared" si="1"/>
        <v>268</v>
      </c>
      <c r="E20" s="3635">
        <v>437</v>
      </c>
      <c r="F20" s="3636">
        <v>237</v>
      </c>
      <c r="G20" s="3626">
        <v>2014</v>
      </c>
      <c r="H20" s="3627">
        <v>4</v>
      </c>
      <c r="I20" s="3627">
        <v>0.21</v>
      </c>
      <c r="J20" s="3627">
        <v>0.41</v>
      </c>
      <c r="K20" s="3627">
        <v>0.12</v>
      </c>
      <c r="L20" s="3628">
        <v>0.89</v>
      </c>
      <c r="N20" s="3601">
        <f t="shared" si="7"/>
        <v>2.0999999999999999E-3</v>
      </c>
      <c r="O20" s="3602">
        <f t="shared" si="3"/>
        <v>4.0999999999999995E-3</v>
      </c>
      <c r="P20" s="3602">
        <f t="shared" si="3"/>
        <v>1.1999999999999999E-3</v>
      </c>
      <c r="Q20" s="3602">
        <f t="shared" si="3"/>
        <v>8.8999999999999999E-3</v>
      </c>
      <c r="R20" s="3611"/>
      <c r="S20" s="3612"/>
      <c r="T20" s="3613"/>
      <c r="U20" s="3613"/>
      <c r="V20" s="3613"/>
      <c r="AC20" s="3613"/>
      <c r="AD20" s="3613"/>
      <c r="AE20" s="3613"/>
      <c r="AF20" s="3613"/>
    </row>
    <row r="21" spans="1:32">
      <c r="A21" s="3595" t="s">
        <v>96</v>
      </c>
      <c r="B21" s="3596">
        <f t="shared" ref="B21:C23" si="10">B20/(1+N20)</f>
        <v>317.33359944117353</v>
      </c>
      <c r="C21" s="3596">
        <f t="shared" si="10"/>
        <v>266.90568668459315</v>
      </c>
      <c r="D21" s="3596">
        <f t="shared" si="1"/>
        <v>266.90568668459315</v>
      </c>
      <c r="E21" s="3596">
        <f t="shared" ref="E21:F23" si="11">E20/(1+P20)</f>
        <v>436.47622852576905</v>
      </c>
      <c r="F21" s="3596">
        <f t="shared" si="11"/>
        <v>234.90930716622066</v>
      </c>
      <c r="G21" s="3621"/>
      <c r="H21" s="3637">
        <v>3</v>
      </c>
      <c r="I21" s="3637">
        <v>0.83</v>
      </c>
      <c r="J21" s="3637">
        <v>1.47</v>
      </c>
      <c r="K21" s="3637">
        <v>0.65</v>
      </c>
      <c r="L21" s="3638">
        <v>0.72</v>
      </c>
      <c r="N21" s="3601">
        <f t="shared" si="7"/>
        <v>8.3000000000000001E-3</v>
      </c>
      <c r="O21" s="3602">
        <f t="shared" si="3"/>
        <v>1.47E-2</v>
      </c>
      <c r="P21" s="3602">
        <f t="shared" si="3"/>
        <v>6.5000000000000006E-3</v>
      </c>
      <c r="Q21" s="3602">
        <f t="shared" si="3"/>
        <v>7.1999999999999998E-3</v>
      </c>
      <c r="R21" s="3611"/>
      <c r="S21" s="3601"/>
      <c r="T21" s="3602"/>
      <c r="U21" s="3602"/>
      <c r="V21" s="3602"/>
    </row>
    <row r="22" spans="1:32" ht="13.5" thickBot="1">
      <c r="A22" s="3595" t="s">
        <v>95</v>
      </c>
      <c r="B22" s="3596">
        <f t="shared" si="10"/>
        <v>314.72141172386546</v>
      </c>
      <c r="C22" s="3596">
        <f t="shared" si="10"/>
        <v>263.03901319069001</v>
      </c>
      <c r="D22" s="3596">
        <f t="shared" si="1"/>
        <v>263.03901319069001</v>
      </c>
      <c r="E22" s="3596">
        <f t="shared" si="11"/>
        <v>433.65745506782821</v>
      </c>
      <c r="F22" s="3596">
        <f t="shared" si="11"/>
        <v>233.23005080045735</v>
      </c>
      <c r="G22" s="3621"/>
      <c r="H22" s="3627">
        <v>2</v>
      </c>
      <c r="I22" s="3627">
        <v>2.4</v>
      </c>
      <c r="J22" s="3627">
        <v>2.0299999999999998</v>
      </c>
      <c r="K22" s="3627">
        <v>2.59</v>
      </c>
      <c r="L22" s="3628">
        <v>1.52</v>
      </c>
      <c r="N22" s="3601">
        <f t="shared" si="7"/>
        <v>2.4E-2</v>
      </c>
      <c r="O22" s="3602">
        <f t="shared" si="7"/>
        <v>2.0299999999999999E-2</v>
      </c>
      <c r="P22" s="3602">
        <f t="shared" si="7"/>
        <v>2.5899999999999999E-2</v>
      </c>
      <c r="Q22" s="3602">
        <f t="shared" si="7"/>
        <v>1.52E-2</v>
      </c>
      <c r="R22" s="3611"/>
      <c r="S22" s="3601"/>
      <c r="T22" s="3602"/>
      <c r="U22" s="3602"/>
      <c r="V22" s="3602"/>
    </row>
    <row r="23" spans="1:32" s="3643" customFormat="1" ht="13.5" thickBot="1">
      <c r="A23" s="3639" t="s">
        <v>94</v>
      </c>
      <c r="B23" s="3640">
        <f t="shared" si="10"/>
        <v>307.34512863658733</v>
      </c>
      <c r="C23" s="3640">
        <f t="shared" si="10"/>
        <v>257.80556031626975</v>
      </c>
      <c r="D23" s="3640">
        <f t="shared" si="1"/>
        <v>257.80556031626975</v>
      </c>
      <c r="E23" s="3640">
        <f t="shared" si="11"/>
        <v>422.70928459677179</v>
      </c>
      <c r="F23" s="3640">
        <f t="shared" si="11"/>
        <v>229.73803270336617</v>
      </c>
      <c r="G23" s="3624"/>
      <c r="H23" s="3641">
        <v>1</v>
      </c>
      <c r="I23" s="3641">
        <v>2.97</v>
      </c>
      <c r="J23" s="3641">
        <v>2.34</v>
      </c>
      <c r="K23" s="3641">
        <v>3.28</v>
      </c>
      <c r="L23" s="3642">
        <v>1.36</v>
      </c>
      <c r="N23" s="3644">
        <f t="shared" si="7"/>
        <v>2.9700000000000001E-2</v>
      </c>
      <c r="O23" s="3645">
        <f t="shared" si="7"/>
        <v>2.3399999999999997E-2</v>
      </c>
      <c r="P23" s="3645">
        <f t="shared" si="7"/>
        <v>3.2799999999999996E-2</v>
      </c>
      <c r="Q23" s="3645">
        <f t="shared" si="7"/>
        <v>1.3600000000000001E-2</v>
      </c>
      <c r="R23" s="3646"/>
      <c r="S23" s="3647">
        <f>B23/B24-1</f>
        <v>2.7910129219355539E-2</v>
      </c>
      <c r="T23" s="3648">
        <f>C23/C24-1</f>
        <v>2.3037937762975247E-2</v>
      </c>
      <c r="U23" s="3648">
        <f>E23/E24-1</f>
        <v>3.3519033243940788E-2</v>
      </c>
      <c r="V23" s="3648">
        <f>F23/F24-1</f>
        <v>1.2061818076502862E-2</v>
      </c>
      <c r="AC23" s="3649"/>
      <c r="AD23" s="3649"/>
      <c r="AE23" s="3649"/>
      <c r="AF23" s="3649"/>
    </row>
    <row r="24" spans="1:32" ht="13.5" thickBot="1">
      <c r="A24" s="3595" t="s">
        <v>3554</v>
      </c>
      <c r="B24" s="3618">
        <v>299</v>
      </c>
      <c r="C24" s="3618">
        <v>252</v>
      </c>
      <c r="D24" s="3618">
        <f t="shared" si="1"/>
        <v>252</v>
      </c>
      <c r="E24" s="3618">
        <v>409</v>
      </c>
      <c r="F24" s="3619">
        <v>227</v>
      </c>
      <c r="G24" s="3650">
        <v>2013</v>
      </c>
      <c r="H24" s="3651">
        <v>4</v>
      </c>
      <c r="I24" s="3651">
        <v>1.83</v>
      </c>
      <c r="J24" s="3651">
        <v>1.68</v>
      </c>
      <c r="K24" s="3651">
        <v>1.97</v>
      </c>
      <c r="L24" s="3652">
        <v>0.87</v>
      </c>
      <c r="N24" s="3629">
        <f t="shared" si="7"/>
        <v>1.83E-2</v>
      </c>
      <c r="O24" s="3630">
        <f t="shared" si="7"/>
        <v>1.6799999999999999E-2</v>
      </c>
      <c r="P24" s="3630">
        <f t="shared" si="7"/>
        <v>1.9699999999999999E-2</v>
      </c>
      <c r="Q24" s="3630">
        <f t="shared" si="7"/>
        <v>8.6999999999999994E-3</v>
      </c>
      <c r="R24" s="3611"/>
      <c r="S24" s="3612"/>
      <c r="T24" s="3613"/>
      <c r="U24" s="3613"/>
      <c r="V24" s="3613"/>
      <c r="AC24" s="3613"/>
      <c r="AD24" s="3613"/>
      <c r="AE24" s="3613"/>
      <c r="AF24" s="3613"/>
    </row>
    <row r="25" spans="1:32">
      <c r="A25" s="3595" t="s">
        <v>3555</v>
      </c>
      <c r="B25" s="3596">
        <f t="shared" ref="B25:C27" si="12">B24/(1+N24)</f>
        <v>293.62663262299913</v>
      </c>
      <c r="C25" s="3596">
        <f t="shared" si="12"/>
        <v>247.83634933123525</v>
      </c>
      <c r="D25" s="3596">
        <f t="shared" si="1"/>
        <v>247.83634933123525</v>
      </c>
      <c r="E25" s="3596">
        <f t="shared" ref="E25:F27" si="13">E24/(1+P24)</f>
        <v>401.09836226341076</v>
      </c>
      <c r="F25" s="3596">
        <f t="shared" si="13"/>
        <v>225.04213343908003</v>
      </c>
      <c r="G25" s="3653"/>
      <c r="H25" s="3632">
        <v>3</v>
      </c>
      <c r="I25" s="3632">
        <v>1.86</v>
      </c>
      <c r="J25" s="3632">
        <v>1.72</v>
      </c>
      <c r="K25" s="3632">
        <v>1.98</v>
      </c>
      <c r="L25" s="3633">
        <v>0.88</v>
      </c>
      <c r="N25" s="3601">
        <f t="shared" si="7"/>
        <v>1.8600000000000002E-2</v>
      </c>
      <c r="O25" s="3634">
        <f t="shared" si="7"/>
        <v>1.72E-2</v>
      </c>
      <c r="P25" s="3634">
        <f t="shared" si="7"/>
        <v>1.9799999999999998E-2</v>
      </c>
      <c r="Q25" s="3634">
        <f t="shared" si="7"/>
        <v>8.8000000000000005E-3</v>
      </c>
      <c r="R25" s="3611"/>
      <c r="S25" s="3601"/>
      <c r="T25" s="3602"/>
      <c r="U25" s="3602"/>
      <c r="V25" s="3602"/>
    </row>
    <row r="26" spans="1:32">
      <c r="A26" s="3595" t="s">
        <v>3556</v>
      </c>
      <c r="B26" s="3596">
        <f t="shared" si="12"/>
        <v>288.2649053828776</v>
      </c>
      <c r="C26" s="3596">
        <f t="shared" si="12"/>
        <v>243.64564425013293</v>
      </c>
      <c r="D26" s="3596">
        <f t="shared" si="1"/>
        <v>243.64564425013293</v>
      </c>
      <c r="E26" s="3596">
        <f t="shared" si="13"/>
        <v>393.31080825986544</v>
      </c>
      <c r="F26" s="3596">
        <f t="shared" si="13"/>
        <v>223.07903790551154</v>
      </c>
      <c r="G26" s="3653"/>
      <c r="H26" s="3615">
        <v>2</v>
      </c>
      <c r="I26" s="3615">
        <v>2.04</v>
      </c>
      <c r="J26" s="3615">
        <v>2.33</v>
      </c>
      <c r="K26" s="3615">
        <v>2.0699999999999998</v>
      </c>
      <c r="L26" s="3623">
        <v>0.69</v>
      </c>
      <c r="N26" s="3601">
        <f t="shared" si="7"/>
        <v>2.0400000000000001E-2</v>
      </c>
      <c r="O26" s="3634">
        <f t="shared" si="7"/>
        <v>2.3300000000000001E-2</v>
      </c>
      <c r="P26" s="3634">
        <f t="shared" si="7"/>
        <v>2.07E-2</v>
      </c>
      <c r="Q26" s="3634">
        <f t="shared" si="7"/>
        <v>6.8999999999999999E-3</v>
      </c>
      <c r="R26" s="3611"/>
      <c r="S26" s="3601"/>
      <c r="T26" s="3602"/>
      <c r="U26" s="3602"/>
      <c r="V26" s="3602"/>
    </row>
    <row r="27" spans="1:32">
      <c r="A27" s="3595" t="s">
        <v>3557</v>
      </c>
      <c r="B27" s="3596">
        <f t="shared" si="12"/>
        <v>282.50186729015837</v>
      </c>
      <c r="C27" s="3596">
        <f t="shared" si="12"/>
        <v>238.09796174155468</v>
      </c>
      <c r="D27" s="3596">
        <f t="shared" si="1"/>
        <v>238.09796174155468</v>
      </c>
      <c r="E27" s="3596">
        <f t="shared" si="13"/>
        <v>385.33438646014054</v>
      </c>
      <c r="F27" s="3596">
        <f t="shared" si="13"/>
        <v>221.55034055567739</v>
      </c>
      <c r="G27" s="3654"/>
      <c r="H27" s="3598">
        <v>1</v>
      </c>
      <c r="I27" s="3598">
        <v>1.67</v>
      </c>
      <c r="J27" s="3598">
        <v>1.31</v>
      </c>
      <c r="K27" s="3598">
        <v>1.85</v>
      </c>
      <c r="L27" s="3622">
        <v>0.96</v>
      </c>
      <c r="N27" s="3603">
        <f t="shared" si="7"/>
        <v>1.67E-2</v>
      </c>
      <c r="O27" s="3604">
        <f t="shared" si="7"/>
        <v>1.3100000000000001E-2</v>
      </c>
      <c r="P27" s="3604">
        <f t="shared" si="7"/>
        <v>1.8500000000000003E-2</v>
      </c>
      <c r="Q27" s="3604">
        <f t="shared" si="7"/>
        <v>9.5999999999999992E-3</v>
      </c>
      <c r="R27" s="3611"/>
      <c r="S27" s="3603">
        <f>B27/B28-1</f>
        <v>1.6193767230785472E-2</v>
      </c>
      <c r="T27" s="3604">
        <f>C27/C28-1</f>
        <v>1.7512657015190891E-2</v>
      </c>
      <c r="U27" s="3604">
        <f>E27/E28-1</f>
        <v>1.6713420739157048E-2</v>
      </c>
      <c r="V27" s="3604">
        <f>F27/F28-1</f>
        <v>7.0470025258062563E-3</v>
      </c>
      <c r="AC27" s="3625"/>
      <c r="AD27" s="3625"/>
      <c r="AE27" s="3625"/>
      <c r="AF27" s="3625"/>
    </row>
    <row r="28" spans="1:32" ht="13.5" thickBot="1">
      <c r="A28" s="3595" t="s">
        <v>3558</v>
      </c>
      <c r="B28" s="3655">
        <v>278</v>
      </c>
      <c r="C28" s="3655">
        <v>234</v>
      </c>
      <c r="D28" s="3655">
        <f t="shared" si="1"/>
        <v>234</v>
      </c>
      <c r="E28" s="3655">
        <v>379</v>
      </c>
      <c r="F28" s="3656">
        <v>220</v>
      </c>
      <c r="G28" s="3626">
        <v>2012</v>
      </c>
      <c r="H28" s="3627">
        <v>4</v>
      </c>
      <c r="I28" s="3627">
        <v>0.91</v>
      </c>
      <c r="J28" s="3627">
        <v>0.68</v>
      </c>
      <c r="K28" s="3627">
        <v>0.98</v>
      </c>
      <c r="L28" s="3628">
        <v>0.9</v>
      </c>
      <c r="N28" s="3601">
        <f t="shared" si="7"/>
        <v>9.1000000000000004E-3</v>
      </c>
      <c r="O28" s="3602">
        <f t="shared" si="7"/>
        <v>6.8000000000000005E-3</v>
      </c>
      <c r="P28" s="3602">
        <f t="shared" si="7"/>
        <v>9.7999999999999997E-3</v>
      </c>
      <c r="Q28" s="3602">
        <f t="shared" si="7"/>
        <v>9.0000000000000011E-3</v>
      </c>
      <c r="R28" s="3611"/>
      <c r="S28" s="3612"/>
      <c r="T28" s="3613"/>
      <c r="U28" s="3613"/>
      <c r="V28" s="3613"/>
      <c r="AC28" s="3613"/>
      <c r="AD28" s="3613"/>
      <c r="AE28" s="3613"/>
      <c r="AF28" s="3613"/>
    </row>
    <row r="29" spans="1:32">
      <c r="A29" s="3595" t="s">
        <v>3559</v>
      </c>
      <c r="B29" s="3596">
        <f>B28/(1+N28)</f>
        <v>275.49301357645425</v>
      </c>
      <c r="C29" s="3596">
        <f>C28/(1+O28)</f>
        <v>232.41954707985698</v>
      </c>
      <c r="D29" s="3596">
        <f t="shared" si="1"/>
        <v>232.41954707985698</v>
      </c>
      <c r="E29" s="3596">
        <f t="shared" ref="E29:F31" si="14">E28/(1+P28)</f>
        <v>375.32184591008121</v>
      </c>
      <c r="F29" s="3596">
        <f t="shared" si="14"/>
        <v>218.03766105054513</v>
      </c>
      <c r="G29" s="3621"/>
      <c r="H29" s="3632">
        <v>3</v>
      </c>
      <c r="I29" s="3632">
        <v>0.09</v>
      </c>
      <c r="J29" s="3632">
        <v>0.28999999999999998</v>
      </c>
      <c r="K29" s="3632">
        <v>-0.01</v>
      </c>
      <c r="L29" s="3633">
        <v>0.57999999999999996</v>
      </c>
      <c r="N29" s="3601">
        <f t="shared" si="7"/>
        <v>8.9999999999999998E-4</v>
      </c>
      <c r="O29" s="3602">
        <f t="shared" si="7"/>
        <v>2.8999999999999998E-3</v>
      </c>
      <c r="P29" s="3602">
        <f t="shared" si="7"/>
        <v>-1E-4</v>
      </c>
      <c r="Q29" s="3602">
        <f t="shared" si="7"/>
        <v>5.7999999999999996E-3</v>
      </c>
      <c r="R29" s="3611"/>
      <c r="S29" s="3601"/>
      <c r="T29" s="3602"/>
      <c r="U29" s="3602"/>
      <c r="V29" s="3602"/>
    </row>
    <row r="30" spans="1:32">
      <c r="A30" s="3595" t="s">
        <v>3560</v>
      </c>
      <c r="B30" s="3596">
        <f>B29/(1+N29)</f>
        <v>275.24529281292263</v>
      </c>
      <c r="C30" s="3596">
        <f>C29/(1+O29)</f>
        <v>231.74747938962707</v>
      </c>
      <c r="D30" s="3596">
        <f t="shared" si="1"/>
        <v>231.74747938962707</v>
      </c>
      <c r="E30" s="3596">
        <f t="shared" si="14"/>
        <v>375.35938184826603</v>
      </c>
      <c r="F30" s="3596">
        <f t="shared" si="14"/>
        <v>216.78033510692495</v>
      </c>
      <c r="G30" s="3621"/>
      <c r="H30" s="3615">
        <v>2</v>
      </c>
      <c r="I30" s="3615">
        <v>0.02</v>
      </c>
      <c r="J30" s="3615">
        <v>0.12</v>
      </c>
      <c r="K30" s="3615">
        <v>-0.08</v>
      </c>
      <c r="L30" s="3623">
        <v>1.24</v>
      </c>
      <c r="N30" s="3601">
        <f t="shared" si="7"/>
        <v>2.0000000000000001E-4</v>
      </c>
      <c r="O30" s="3602">
        <f t="shared" si="7"/>
        <v>1.1999999999999999E-3</v>
      </c>
      <c r="P30" s="3602">
        <f t="shared" si="7"/>
        <v>-8.0000000000000004E-4</v>
      </c>
      <c r="Q30" s="3602">
        <f t="shared" si="7"/>
        <v>1.24E-2</v>
      </c>
      <c r="R30" s="3611"/>
      <c r="S30" s="3601"/>
      <c r="T30" s="3602"/>
      <c r="U30" s="3602"/>
      <c r="V30" s="3602"/>
    </row>
    <row r="31" spans="1:32" ht="13.5" thickBot="1">
      <c r="A31" s="3595" t="s">
        <v>3561</v>
      </c>
      <c r="B31" s="3596">
        <f>B30/(1+N30)</f>
        <v>275.19025476197027</v>
      </c>
      <c r="C31" s="3657">
        <v>232</v>
      </c>
      <c r="D31" s="3657">
        <f t="shared" si="1"/>
        <v>232</v>
      </c>
      <c r="E31" s="3596">
        <f t="shared" si="14"/>
        <v>375.65990977608692</v>
      </c>
      <c r="F31" s="3596">
        <f t="shared" si="14"/>
        <v>214.12518283971252</v>
      </c>
      <c r="G31" s="3624"/>
      <c r="H31" s="3598">
        <v>1</v>
      </c>
      <c r="I31" s="3598">
        <v>0.02</v>
      </c>
      <c r="J31" s="3598">
        <v>0.13</v>
      </c>
      <c r="K31" s="3598">
        <v>-0.04</v>
      </c>
      <c r="L31" s="3622">
        <v>0.46</v>
      </c>
      <c r="N31" s="3601">
        <f t="shared" si="7"/>
        <v>2.0000000000000001E-4</v>
      </c>
      <c r="O31" s="3602">
        <f t="shared" si="7"/>
        <v>1.2999999999999999E-3</v>
      </c>
      <c r="P31" s="3602">
        <f t="shared" si="7"/>
        <v>-4.0000000000000002E-4</v>
      </c>
      <c r="Q31" s="3602">
        <f t="shared" si="7"/>
        <v>4.5999999999999999E-3</v>
      </c>
      <c r="R31" s="3611"/>
      <c r="S31" s="3603">
        <f>B31/B32-1</f>
        <v>6.9183549807361189E-4</v>
      </c>
      <c r="T31" s="3604">
        <f>C31/C32-1</f>
        <v>0</v>
      </c>
      <c r="U31" s="3604">
        <f>E31/E32-1</f>
        <v>-9.0449527636460303E-4</v>
      </c>
      <c r="V31" s="3604">
        <f>F31/F32-1</f>
        <v>5.2825485432512753E-3</v>
      </c>
      <c r="AC31" s="3625"/>
      <c r="AD31" s="3625"/>
      <c r="AE31" s="3625"/>
      <c r="AF31" s="3625"/>
    </row>
    <row r="32" spans="1:32" ht="13.5" thickBot="1">
      <c r="A32" s="3595" t="s">
        <v>3562</v>
      </c>
      <c r="B32" s="3618">
        <v>275</v>
      </c>
      <c r="C32" s="3618">
        <v>232</v>
      </c>
      <c r="D32" s="3618">
        <f t="shared" si="1"/>
        <v>232</v>
      </c>
      <c r="E32" s="3618">
        <v>376</v>
      </c>
      <c r="F32" s="3619">
        <v>213</v>
      </c>
      <c r="G32" s="3626">
        <v>2011</v>
      </c>
      <c r="H32" s="3627">
        <v>4</v>
      </c>
      <c r="I32" s="3627">
        <v>-0.2</v>
      </c>
      <c r="J32" s="3627">
        <v>0.04</v>
      </c>
      <c r="K32" s="3627">
        <v>-0.34</v>
      </c>
      <c r="L32" s="3628">
        <v>0.46</v>
      </c>
      <c r="N32" s="3629">
        <f t="shared" si="7"/>
        <v>-2E-3</v>
      </c>
      <c r="O32" s="3630">
        <f t="shared" si="7"/>
        <v>4.0000000000000002E-4</v>
      </c>
      <c r="P32" s="3630">
        <f t="shared" si="7"/>
        <v>-3.4000000000000002E-3</v>
      </c>
      <c r="Q32" s="3630">
        <f t="shared" si="7"/>
        <v>4.5999999999999999E-3</v>
      </c>
      <c r="R32" s="3611"/>
      <c r="S32" s="3612"/>
      <c r="T32" s="3613"/>
      <c r="U32" s="3613"/>
      <c r="V32" s="3613"/>
      <c r="AC32" s="3613"/>
      <c r="AD32" s="3613"/>
      <c r="AE32" s="3613"/>
      <c r="AF32" s="3613"/>
    </row>
    <row r="33" spans="1:32">
      <c r="A33" s="3595" t="s">
        <v>3563</v>
      </c>
      <c r="B33" s="3596">
        <f t="shared" ref="B33:C35" si="15">B32/(1+N32)</f>
        <v>275.55110220440883</v>
      </c>
      <c r="C33" s="3596">
        <f t="shared" si="15"/>
        <v>231.90723710515795</v>
      </c>
      <c r="D33" s="3596">
        <f t="shared" si="1"/>
        <v>231.90723710515795</v>
      </c>
      <c r="E33" s="3596">
        <f t="shared" ref="E33:F35" si="16">E32/(1+P32)</f>
        <v>377.28276138872161</v>
      </c>
      <c r="F33" s="3596">
        <f t="shared" si="16"/>
        <v>212.02468644236512</v>
      </c>
      <c r="G33" s="3621">
        <v>2011</v>
      </c>
      <c r="H33" s="3632">
        <v>3</v>
      </c>
      <c r="I33" s="3632">
        <v>0.13</v>
      </c>
      <c r="J33" s="3632">
        <v>0.75</v>
      </c>
      <c r="K33" s="3632">
        <v>-0.08</v>
      </c>
      <c r="L33" s="3633">
        <v>0.53</v>
      </c>
      <c r="N33" s="3601">
        <f t="shared" si="7"/>
        <v>1.2999999999999999E-3</v>
      </c>
      <c r="O33" s="3634">
        <f t="shared" si="7"/>
        <v>7.4999999999999997E-3</v>
      </c>
      <c r="P33" s="3634">
        <f t="shared" si="7"/>
        <v>-8.0000000000000004E-4</v>
      </c>
      <c r="Q33" s="3634">
        <f t="shared" si="7"/>
        <v>5.3E-3</v>
      </c>
      <c r="R33" s="3611"/>
      <c r="S33" s="3601"/>
      <c r="T33" s="3602"/>
      <c r="U33" s="3602"/>
      <c r="V33" s="3602"/>
    </row>
    <row r="34" spans="1:32">
      <c r="A34" s="3595" t="s">
        <v>3564</v>
      </c>
      <c r="B34" s="3596">
        <f t="shared" si="15"/>
        <v>275.19335084830601</v>
      </c>
      <c r="C34" s="3596">
        <f t="shared" si="15"/>
        <v>230.18088050139744</v>
      </c>
      <c r="D34" s="3596">
        <f t="shared" si="1"/>
        <v>230.18088050139744</v>
      </c>
      <c r="E34" s="3596">
        <f t="shared" si="16"/>
        <v>377.58482925212331</v>
      </c>
      <c r="F34" s="3596">
        <f t="shared" si="16"/>
        <v>210.90687997847917</v>
      </c>
      <c r="G34" s="3621">
        <v>2011</v>
      </c>
      <c r="H34" s="3615">
        <v>2</v>
      </c>
      <c r="I34" s="3615">
        <v>-0.4</v>
      </c>
      <c r="J34" s="3615">
        <v>0.17</v>
      </c>
      <c r="K34" s="3615">
        <v>-0.57999999999999996</v>
      </c>
      <c r="L34" s="3623">
        <v>-0.2</v>
      </c>
      <c r="N34" s="3601">
        <f t="shared" si="7"/>
        <v>-4.0000000000000001E-3</v>
      </c>
      <c r="O34" s="3634">
        <f t="shared" si="7"/>
        <v>1.7000000000000001E-3</v>
      </c>
      <c r="P34" s="3634">
        <f t="shared" si="7"/>
        <v>-5.7999999999999996E-3</v>
      </c>
      <c r="Q34" s="3634">
        <f t="shared" si="7"/>
        <v>-2E-3</v>
      </c>
      <c r="R34" s="3611"/>
      <c r="S34" s="3601"/>
      <c r="T34" s="3602"/>
      <c r="U34" s="3602"/>
      <c r="V34" s="3602"/>
    </row>
    <row r="35" spans="1:32" ht="13.5" thickBot="1">
      <c r="A35" s="3595" t="s">
        <v>3565</v>
      </c>
      <c r="B35" s="3596">
        <f t="shared" si="15"/>
        <v>276.29854502841971</v>
      </c>
      <c r="C35" s="3596">
        <f t="shared" si="15"/>
        <v>229.79023709833027</v>
      </c>
      <c r="D35" s="3596">
        <f t="shared" si="1"/>
        <v>229.79023709833027</v>
      </c>
      <c r="E35" s="3596">
        <f t="shared" si="16"/>
        <v>379.78759731655936</v>
      </c>
      <c r="F35" s="3596">
        <f t="shared" si="16"/>
        <v>211.32953905659235</v>
      </c>
      <c r="G35" s="3624">
        <v>2011</v>
      </c>
      <c r="H35" s="3598">
        <v>1</v>
      </c>
      <c r="I35" s="3598">
        <v>2.65</v>
      </c>
      <c r="J35" s="3598">
        <v>3.76</v>
      </c>
      <c r="K35" s="3598">
        <v>1.89</v>
      </c>
      <c r="L35" s="3622">
        <v>7.95</v>
      </c>
      <c r="N35" s="3603">
        <f t="shared" si="7"/>
        <v>2.6499999999999999E-2</v>
      </c>
      <c r="O35" s="3604">
        <f t="shared" si="7"/>
        <v>3.7599999999999995E-2</v>
      </c>
      <c r="P35" s="3604">
        <f t="shared" si="7"/>
        <v>1.89E-2</v>
      </c>
      <c r="Q35" s="3604">
        <f t="shared" si="7"/>
        <v>7.9500000000000001E-2</v>
      </c>
      <c r="R35" s="3611"/>
      <c r="S35" s="3603">
        <f>B35/B36-1</f>
        <v>2.713213765211786E-2</v>
      </c>
      <c r="T35" s="3604">
        <f>C35/C36-1</f>
        <v>3.9774828499231862E-2</v>
      </c>
      <c r="U35" s="3604">
        <f>E35/E36-1</f>
        <v>1.8197311840641772E-2</v>
      </c>
      <c r="V35" s="3604">
        <f>F35/F36-1</f>
        <v>7.8211933962205826E-2</v>
      </c>
      <c r="AC35" s="3625"/>
      <c r="AD35" s="3625"/>
      <c r="AE35" s="3625"/>
      <c r="AF35" s="3625"/>
    </row>
    <row r="36" spans="1:32" ht="13.5" thickBot="1">
      <c r="A36" s="3595" t="s">
        <v>3566</v>
      </c>
      <c r="B36" s="3618">
        <v>269</v>
      </c>
      <c r="C36" s="3618">
        <v>221</v>
      </c>
      <c r="D36" s="3618">
        <f t="shared" si="1"/>
        <v>221</v>
      </c>
      <c r="E36" s="3618">
        <v>373</v>
      </c>
      <c r="F36" s="3619">
        <v>196</v>
      </c>
      <c r="G36" s="3626">
        <v>2010</v>
      </c>
      <c r="H36" s="3627">
        <v>4</v>
      </c>
      <c r="I36" s="3627">
        <v>5.72</v>
      </c>
      <c r="J36" s="3627">
        <v>6.57</v>
      </c>
      <c r="K36" s="3627">
        <v>5.72</v>
      </c>
      <c r="L36" s="3628">
        <v>2.72</v>
      </c>
      <c r="N36" s="3601">
        <f t="shared" si="7"/>
        <v>5.7200000000000001E-2</v>
      </c>
      <c r="O36" s="3602">
        <f t="shared" si="7"/>
        <v>6.5700000000000008E-2</v>
      </c>
      <c r="P36" s="3602">
        <f t="shared" si="7"/>
        <v>5.7200000000000001E-2</v>
      </c>
      <c r="Q36" s="3602">
        <f t="shared" si="7"/>
        <v>2.7200000000000002E-2</v>
      </c>
      <c r="R36" s="3611"/>
      <c r="S36" s="3612"/>
      <c r="T36" s="3613"/>
      <c r="U36" s="3613"/>
      <c r="V36" s="3613"/>
      <c r="AC36" s="3613"/>
      <c r="AD36" s="3613"/>
      <c r="AE36" s="3613"/>
      <c r="AF36" s="3613"/>
    </row>
    <row r="37" spans="1:32">
      <c r="A37" s="3595" t="s">
        <v>3567</v>
      </c>
      <c r="B37" s="3596">
        <f t="shared" ref="B37:C39" si="17">B36/(1+N36)</f>
        <v>254.44570563753314</v>
      </c>
      <c r="C37" s="3596">
        <f t="shared" si="17"/>
        <v>207.37543398705074</v>
      </c>
      <c r="D37" s="3596">
        <f t="shared" si="1"/>
        <v>207.37543398705074</v>
      </c>
      <c r="E37" s="3596">
        <f t="shared" ref="E37:F39" si="18">E36/(1+P36)</f>
        <v>352.81876655315932</v>
      </c>
      <c r="F37" s="3596">
        <f t="shared" si="18"/>
        <v>190.809968847352</v>
      </c>
      <c r="G37" s="3621">
        <v>2010</v>
      </c>
      <c r="H37" s="3632">
        <v>3</v>
      </c>
      <c r="I37" s="3632">
        <v>4.7300000000000004</v>
      </c>
      <c r="J37" s="3632">
        <v>3.9</v>
      </c>
      <c r="K37" s="3632">
        <v>5.03</v>
      </c>
      <c r="L37" s="3633">
        <v>4.21</v>
      </c>
      <c r="N37" s="3601">
        <f t="shared" si="7"/>
        <v>4.7300000000000002E-2</v>
      </c>
      <c r="O37" s="3602">
        <f t="shared" si="7"/>
        <v>3.9E-2</v>
      </c>
      <c r="P37" s="3602">
        <f t="shared" si="7"/>
        <v>5.0300000000000004E-2</v>
      </c>
      <c r="Q37" s="3602">
        <f t="shared" si="7"/>
        <v>4.2099999999999999E-2</v>
      </c>
      <c r="R37" s="3611"/>
      <c r="S37" s="3601"/>
      <c r="T37" s="3602"/>
      <c r="U37" s="3602"/>
      <c r="V37" s="3602"/>
    </row>
    <row r="38" spans="1:32">
      <c r="A38" s="3595" t="s">
        <v>3568</v>
      </c>
      <c r="B38" s="3596">
        <f t="shared" si="17"/>
        <v>242.95398227588385</v>
      </c>
      <c r="C38" s="3596">
        <f t="shared" si="17"/>
        <v>199.59137053614126</v>
      </c>
      <c r="D38" s="3596">
        <f t="shared" si="1"/>
        <v>199.59137053614126</v>
      </c>
      <c r="E38" s="3596">
        <f t="shared" si="18"/>
        <v>335.92189522342125</v>
      </c>
      <c r="F38" s="3596">
        <f t="shared" si="18"/>
        <v>183.10139991109489</v>
      </c>
      <c r="G38" s="3621">
        <v>2010</v>
      </c>
      <c r="H38" s="3615">
        <v>2</v>
      </c>
      <c r="I38" s="3615">
        <v>4.6900000000000004</v>
      </c>
      <c r="J38" s="3615">
        <v>3.55</v>
      </c>
      <c r="K38" s="3615">
        <v>5.07</v>
      </c>
      <c r="L38" s="3623">
        <v>4.2300000000000004</v>
      </c>
      <c r="N38" s="3601">
        <f t="shared" si="7"/>
        <v>4.6900000000000004E-2</v>
      </c>
      <c r="O38" s="3602">
        <f t="shared" si="7"/>
        <v>3.5499999999999997E-2</v>
      </c>
      <c r="P38" s="3602">
        <f t="shared" si="7"/>
        <v>5.0700000000000002E-2</v>
      </c>
      <c r="Q38" s="3602">
        <f t="shared" si="7"/>
        <v>4.2300000000000004E-2</v>
      </c>
      <c r="R38" s="3611"/>
      <c r="S38" s="3601"/>
      <c r="T38" s="3602"/>
      <c r="U38" s="3602"/>
      <c r="V38" s="3602"/>
    </row>
    <row r="39" spans="1:32" ht="13.5" thickBot="1">
      <c r="A39" s="3595" t="s">
        <v>3569</v>
      </c>
      <c r="B39" s="3596">
        <f t="shared" si="17"/>
        <v>232.06990378821649</v>
      </c>
      <c r="C39" s="3596">
        <f t="shared" si="17"/>
        <v>192.74878854286936</v>
      </c>
      <c r="D39" s="3596">
        <f t="shared" si="1"/>
        <v>192.74878854286936</v>
      </c>
      <c r="E39" s="3596">
        <f t="shared" si="18"/>
        <v>319.71247284992984</v>
      </c>
      <c r="F39" s="3596">
        <f t="shared" si="18"/>
        <v>175.67053622862409</v>
      </c>
      <c r="G39" s="3624">
        <v>2010</v>
      </c>
      <c r="H39" s="3598">
        <v>1</v>
      </c>
      <c r="I39" s="3598">
        <v>5.4</v>
      </c>
      <c r="J39" s="3598">
        <v>3.2</v>
      </c>
      <c r="K39" s="3598">
        <v>6.16</v>
      </c>
      <c r="L39" s="3622">
        <v>4.51</v>
      </c>
      <c r="N39" s="3601">
        <f t="shared" si="7"/>
        <v>5.4000000000000006E-2</v>
      </c>
      <c r="O39" s="3602">
        <f t="shared" si="7"/>
        <v>3.2000000000000001E-2</v>
      </c>
      <c r="P39" s="3602">
        <f t="shared" si="7"/>
        <v>6.1600000000000002E-2</v>
      </c>
      <c r="Q39" s="3602">
        <f t="shared" si="7"/>
        <v>4.5100000000000001E-2</v>
      </c>
      <c r="R39" s="3611"/>
      <c r="S39" s="3603">
        <f>B39/B40-1</f>
        <v>5.4863199037347599E-2</v>
      </c>
      <c r="T39" s="3604">
        <f>C39/C40-1</f>
        <v>3.0742184721226584E-2</v>
      </c>
      <c r="U39" s="3604">
        <f>E39/E40-1</f>
        <v>6.2167683886810154E-2</v>
      </c>
      <c r="V39" s="3604">
        <f>F39/F40-1</f>
        <v>4.5657953741810031E-2</v>
      </c>
      <c r="AC39" s="3625"/>
      <c r="AD39" s="3625"/>
      <c r="AE39" s="3625"/>
      <c r="AF39" s="3625"/>
    </row>
    <row r="40" spans="1:32" ht="13.5" thickBot="1">
      <c r="A40" s="3595" t="s">
        <v>3570</v>
      </c>
      <c r="B40" s="3618">
        <v>220</v>
      </c>
      <c r="C40" s="3618">
        <v>187</v>
      </c>
      <c r="D40" s="3618">
        <f t="shared" si="1"/>
        <v>187</v>
      </c>
      <c r="E40" s="3618">
        <v>301</v>
      </c>
      <c r="F40" s="3619">
        <v>168</v>
      </c>
      <c r="G40" s="3626">
        <v>2009</v>
      </c>
      <c r="H40" s="3627">
        <v>4</v>
      </c>
      <c r="I40" s="3627">
        <v>2.2999999999999998</v>
      </c>
      <c r="J40" s="3627">
        <v>1.04</v>
      </c>
      <c r="K40" s="3627">
        <v>2.84</v>
      </c>
      <c r="L40" s="3628">
        <v>0.67</v>
      </c>
      <c r="N40" s="3629">
        <f t="shared" si="7"/>
        <v>2.3E-2</v>
      </c>
      <c r="O40" s="3630">
        <f t="shared" si="7"/>
        <v>1.04E-2</v>
      </c>
      <c r="P40" s="3630">
        <f t="shared" si="7"/>
        <v>2.8399999999999998E-2</v>
      </c>
      <c r="Q40" s="3630">
        <f t="shared" si="7"/>
        <v>6.7000000000000002E-3</v>
      </c>
      <c r="R40" s="3611"/>
      <c r="S40" s="3612"/>
      <c r="T40" s="3613"/>
      <c r="U40" s="3613"/>
      <c r="V40" s="3613"/>
      <c r="AC40" s="3613"/>
      <c r="AD40" s="3613"/>
      <c r="AE40" s="3613"/>
      <c r="AF40" s="3613"/>
    </row>
    <row r="41" spans="1:32">
      <c r="A41" s="3595" t="s">
        <v>3571</v>
      </c>
      <c r="B41" s="3596">
        <f t="shared" ref="B41:C43" si="19">B40/(1+N40)</f>
        <v>215.05376344086022</v>
      </c>
      <c r="C41" s="3596">
        <f t="shared" si="19"/>
        <v>185.0752177355503</v>
      </c>
      <c r="D41" s="3596">
        <f t="shared" si="1"/>
        <v>185.0752177355503</v>
      </c>
      <c r="E41" s="3596">
        <f t="shared" ref="E41:F43" si="20">E40/(1+P40)</f>
        <v>292.68767016725008</v>
      </c>
      <c r="F41" s="3596">
        <f t="shared" si="20"/>
        <v>166.88189132810174</v>
      </c>
      <c r="G41" s="3621">
        <v>2009</v>
      </c>
      <c r="H41" s="3632">
        <v>3</v>
      </c>
      <c r="I41" s="3632">
        <v>2.1</v>
      </c>
      <c r="J41" s="3632">
        <v>1.86</v>
      </c>
      <c r="K41" s="3632">
        <v>2.29</v>
      </c>
      <c r="L41" s="3633">
        <v>0.85</v>
      </c>
      <c r="N41" s="3601">
        <f t="shared" si="7"/>
        <v>2.1000000000000001E-2</v>
      </c>
      <c r="O41" s="3634">
        <f t="shared" si="7"/>
        <v>1.8600000000000002E-2</v>
      </c>
      <c r="P41" s="3634">
        <f t="shared" si="7"/>
        <v>2.29E-2</v>
      </c>
      <c r="Q41" s="3634">
        <f t="shared" si="7"/>
        <v>8.5000000000000006E-3</v>
      </c>
      <c r="R41" s="3611"/>
      <c r="S41" s="3601"/>
      <c r="T41" s="3602"/>
      <c r="U41" s="3602"/>
      <c r="V41" s="3602"/>
    </row>
    <row r="42" spans="1:32">
      <c r="A42" s="3595" t="s">
        <v>3572</v>
      </c>
      <c r="B42" s="3596">
        <f t="shared" si="19"/>
        <v>210.630522469011</v>
      </c>
      <c r="C42" s="3596">
        <f t="shared" si="19"/>
        <v>181.69567812247232</v>
      </c>
      <c r="D42" s="3596">
        <f t="shared" si="1"/>
        <v>181.69567812247232</v>
      </c>
      <c r="E42" s="3596">
        <f t="shared" si="20"/>
        <v>286.13517466736738</v>
      </c>
      <c r="F42" s="3596">
        <f t="shared" si="20"/>
        <v>165.47535084591149</v>
      </c>
      <c r="G42" s="3621">
        <v>2009</v>
      </c>
      <c r="H42" s="3615">
        <v>2</v>
      </c>
      <c r="I42" s="3615">
        <v>0.86</v>
      </c>
      <c r="J42" s="3615">
        <v>-1.1299999999999999</v>
      </c>
      <c r="K42" s="3615">
        <v>1.79</v>
      </c>
      <c r="L42" s="3623">
        <v>-2.0699999999999998</v>
      </c>
      <c r="N42" s="3601">
        <f t="shared" si="7"/>
        <v>8.6E-3</v>
      </c>
      <c r="O42" s="3634">
        <f t="shared" si="7"/>
        <v>-1.1299999999999999E-2</v>
      </c>
      <c r="P42" s="3634">
        <f t="shared" si="7"/>
        <v>1.7899999999999999E-2</v>
      </c>
      <c r="Q42" s="3634">
        <f t="shared" si="7"/>
        <v>-2.07E-2</v>
      </c>
      <c r="R42" s="3611"/>
      <c r="S42" s="3601"/>
      <c r="T42" s="3602"/>
      <c r="U42" s="3602"/>
      <c r="V42" s="3602"/>
    </row>
    <row r="43" spans="1:32">
      <c r="A43" s="3595" t="s">
        <v>3573</v>
      </c>
      <c r="B43" s="3596">
        <f t="shared" si="19"/>
        <v>208.83454537875372</v>
      </c>
      <c r="C43" s="3596">
        <f t="shared" si="19"/>
        <v>183.77230517090351</v>
      </c>
      <c r="D43" s="3596">
        <f t="shared" si="1"/>
        <v>183.77230517090351</v>
      </c>
      <c r="E43" s="3596">
        <f t="shared" si="20"/>
        <v>281.10342338870947</v>
      </c>
      <c r="F43" s="3596">
        <f t="shared" si="20"/>
        <v>168.97309388942256</v>
      </c>
      <c r="G43" s="3624">
        <v>2009</v>
      </c>
      <c r="H43" s="3598">
        <v>1</v>
      </c>
      <c r="I43" s="3598">
        <v>-2.64</v>
      </c>
      <c r="J43" s="3598">
        <v>-2.5299999999999998</v>
      </c>
      <c r="K43" s="3598">
        <v>-3.02</v>
      </c>
      <c r="L43" s="3622">
        <v>1.52</v>
      </c>
      <c r="N43" s="3603">
        <f t="shared" si="7"/>
        <v>-2.64E-2</v>
      </c>
      <c r="O43" s="3604">
        <f t="shared" si="7"/>
        <v>-2.53E-2</v>
      </c>
      <c r="P43" s="3604">
        <f t="shared" si="7"/>
        <v>-3.0200000000000001E-2</v>
      </c>
      <c r="Q43" s="3604">
        <f t="shared" si="7"/>
        <v>1.52E-2</v>
      </c>
      <c r="R43" s="3611"/>
      <c r="S43" s="3603">
        <f>B43/B44-1</f>
        <v>-2.4137638417038754E-2</v>
      </c>
      <c r="T43" s="3604">
        <f>C43/C44-1</f>
        <v>-2.248773845264096E-2</v>
      </c>
      <c r="U43" s="3604">
        <f>E43/E44-1</f>
        <v>-2.7323794502735366E-2</v>
      </c>
      <c r="V43" s="3604">
        <f>F43/F44-1</f>
        <v>1.7910204153148035E-2</v>
      </c>
      <c r="AC43" s="3625"/>
      <c r="AD43" s="3625"/>
      <c r="AE43" s="3625"/>
      <c r="AF43" s="3625"/>
    </row>
    <row r="44" spans="1:32" ht="13.5" thickBot="1">
      <c r="A44" s="3595" t="s">
        <v>3574</v>
      </c>
      <c r="B44" s="3655">
        <v>214</v>
      </c>
      <c r="C44" s="3655">
        <v>188</v>
      </c>
      <c r="D44" s="3655">
        <f t="shared" si="1"/>
        <v>188</v>
      </c>
      <c r="E44" s="3655">
        <v>289</v>
      </c>
      <c r="F44" s="3656">
        <v>166</v>
      </c>
      <c r="G44" s="3626">
        <v>2008</v>
      </c>
      <c r="H44" s="3627">
        <v>4</v>
      </c>
      <c r="I44" s="3627">
        <v>1.73</v>
      </c>
      <c r="J44" s="3627">
        <v>0.03</v>
      </c>
      <c r="K44" s="3627">
        <v>2.59</v>
      </c>
      <c r="L44" s="3628">
        <v>-1.66</v>
      </c>
      <c r="N44" s="3601">
        <f t="shared" si="7"/>
        <v>1.7299999999999999E-2</v>
      </c>
      <c r="O44" s="3602">
        <f t="shared" si="7"/>
        <v>2.9999999999999997E-4</v>
      </c>
      <c r="P44" s="3602">
        <f t="shared" si="7"/>
        <v>2.5899999999999999E-2</v>
      </c>
      <c r="Q44" s="3602">
        <f t="shared" si="7"/>
        <v>-1.66E-2</v>
      </c>
      <c r="R44" s="3611"/>
      <c r="S44" s="3612"/>
      <c r="T44" s="3613"/>
      <c r="U44" s="3613"/>
      <c r="V44" s="3613"/>
      <c r="AC44" s="3613"/>
      <c r="AD44" s="3613"/>
      <c r="AE44" s="3613"/>
      <c r="AF44" s="3613"/>
    </row>
    <row r="45" spans="1:32">
      <c r="A45" s="3595" t="s">
        <v>3575</v>
      </c>
      <c r="B45" s="3596">
        <f t="shared" ref="B45:C47" si="21">B44/(1+N44)</f>
        <v>210.36075887152265</v>
      </c>
      <c r="C45" s="3596">
        <f t="shared" si="21"/>
        <v>187.94361691492554</v>
      </c>
      <c r="D45" s="3596">
        <f t="shared" si="1"/>
        <v>187.94361691492554</v>
      </c>
      <c r="E45" s="3596">
        <f t="shared" ref="E45:F47" si="22">E44/(1+P44)</f>
        <v>281.70386977288234</v>
      </c>
      <c r="F45" s="3596">
        <f t="shared" si="22"/>
        <v>168.80211511083994</v>
      </c>
      <c r="G45" s="3621">
        <v>2008</v>
      </c>
      <c r="H45" s="3632">
        <v>3</v>
      </c>
      <c r="I45" s="3632">
        <v>1.96</v>
      </c>
      <c r="J45" s="3632">
        <v>2.36</v>
      </c>
      <c r="K45" s="3632">
        <v>1.82</v>
      </c>
      <c r="L45" s="3633">
        <v>2.2200000000000002</v>
      </c>
      <c r="N45" s="3601">
        <f t="shared" si="7"/>
        <v>1.9599999999999999E-2</v>
      </c>
      <c r="O45" s="3602">
        <f t="shared" si="7"/>
        <v>2.3599999999999999E-2</v>
      </c>
      <c r="P45" s="3602">
        <f t="shared" si="7"/>
        <v>1.8200000000000001E-2</v>
      </c>
      <c r="Q45" s="3602">
        <f t="shared" si="7"/>
        <v>2.2200000000000001E-2</v>
      </c>
      <c r="R45" s="3611"/>
      <c r="S45" s="3601"/>
      <c r="T45" s="3602"/>
      <c r="U45" s="3602"/>
      <c r="V45" s="3602"/>
    </row>
    <row r="46" spans="1:32">
      <c r="A46" s="3595" t="s">
        <v>3576</v>
      </c>
      <c r="B46" s="3596">
        <f t="shared" si="21"/>
        <v>206.31694671589116</v>
      </c>
      <c r="C46" s="3596">
        <f t="shared" si="21"/>
        <v>183.61041121036101</v>
      </c>
      <c r="D46" s="3596">
        <f t="shared" si="1"/>
        <v>183.61041121036101</v>
      </c>
      <c r="E46" s="3596">
        <f t="shared" si="22"/>
        <v>276.66850301795557</v>
      </c>
      <c r="F46" s="3596">
        <f t="shared" si="22"/>
        <v>165.1360938278614</v>
      </c>
      <c r="G46" s="3621">
        <v>2008</v>
      </c>
      <c r="H46" s="3615">
        <v>2</v>
      </c>
      <c r="I46" s="3615">
        <v>4.93</v>
      </c>
      <c r="J46" s="3615">
        <v>7.38</v>
      </c>
      <c r="K46" s="3615">
        <v>3.98</v>
      </c>
      <c r="L46" s="3623">
        <v>6.86</v>
      </c>
      <c r="N46" s="3601">
        <f t="shared" si="7"/>
        <v>4.9299999999999997E-2</v>
      </c>
      <c r="O46" s="3602">
        <f t="shared" si="7"/>
        <v>7.3800000000000004E-2</v>
      </c>
      <c r="P46" s="3602">
        <f t="shared" si="7"/>
        <v>3.9800000000000002E-2</v>
      </c>
      <c r="Q46" s="3602">
        <f t="shared" si="7"/>
        <v>6.8600000000000008E-2</v>
      </c>
      <c r="R46" s="3611"/>
      <c r="S46" s="3601"/>
      <c r="T46" s="3602"/>
      <c r="U46" s="3602"/>
      <c r="V46" s="3602"/>
    </row>
    <row r="47" spans="1:32" s="3661" customFormat="1" ht="13.5" thickBot="1">
      <c r="A47" s="3595" t="s">
        <v>3577</v>
      </c>
      <c r="B47" s="3658">
        <f t="shared" si="21"/>
        <v>196.62341248059772</v>
      </c>
      <c r="C47" s="3658">
        <f t="shared" si="21"/>
        <v>170.99125648199012</v>
      </c>
      <c r="D47" s="3658">
        <f t="shared" si="1"/>
        <v>170.99125648199012</v>
      </c>
      <c r="E47" s="3658">
        <f t="shared" si="22"/>
        <v>266.07857570490052</v>
      </c>
      <c r="F47" s="3658">
        <f t="shared" si="22"/>
        <v>154.53499328828505</v>
      </c>
      <c r="G47" s="3624">
        <v>2008</v>
      </c>
      <c r="H47" s="3659">
        <v>1</v>
      </c>
      <c r="I47" s="3659">
        <v>4.1399999999999997</v>
      </c>
      <c r="J47" s="3659">
        <v>3.45</v>
      </c>
      <c r="K47" s="3659">
        <v>4.95</v>
      </c>
      <c r="L47" s="3660">
        <v>4.82</v>
      </c>
      <c r="N47" s="3662">
        <f t="shared" si="7"/>
        <v>4.1399999999999999E-2</v>
      </c>
      <c r="O47" s="3663">
        <f t="shared" si="7"/>
        <v>3.4500000000000003E-2</v>
      </c>
      <c r="P47" s="3663">
        <f t="shared" si="7"/>
        <v>4.9500000000000002E-2</v>
      </c>
      <c r="Q47" s="3663">
        <f t="shared" si="7"/>
        <v>4.82E-2</v>
      </c>
      <c r="R47" s="3664"/>
      <c r="S47" s="3662">
        <f>B47/B48-1</f>
        <v>4.5869215322328349E-2</v>
      </c>
      <c r="T47" s="3663">
        <f>C47/C48-1</f>
        <v>3.6310645345394743E-2</v>
      </c>
      <c r="U47" s="3663">
        <f>E47/E48-1</f>
        <v>4.7553447657088688E-2</v>
      </c>
      <c r="V47" s="3663">
        <f>F47/F48-1</f>
        <v>4.4155360055980086E-2</v>
      </c>
      <c r="AC47" s="3665"/>
      <c r="AD47" s="3665"/>
      <c r="AE47" s="3665"/>
      <c r="AF47" s="3665"/>
    </row>
    <row r="48" spans="1:32" ht="13.5" thickBot="1">
      <c r="A48" s="3595" t="s">
        <v>3578</v>
      </c>
      <c r="B48" s="3618">
        <v>188</v>
      </c>
      <c r="C48" s="3618">
        <v>165</v>
      </c>
      <c r="D48" s="3618">
        <f t="shared" si="1"/>
        <v>165</v>
      </c>
      <c r="E48" s="3618">
        <v>254</v>
      </c>
      <c r="F48" s="3619">
        <v>148</v>
      </c>
      <c r="G48" s="3626">
        <v>2007</v>
      </c>
      <c r="H48" s="3666">
        <v>4</v>
      </c>
      <c r="I48" s="3666">
        <v>5.51</v>
      </c>
      <c r="J48" s="3666">
        <v>4.8899999999999997</v>
      </c>
      <c r="K48" s="3666">
        <v>6.43</v>
      </c>
      <c r="L48" s="3667">
        <v>5.36</v>
      </c>
      <c r="N48" s="3668">
        <f t="shared" ref="N48:O51" si="23">B48/B49-1</f>
        <v>4.1339718365245526E-2</v>
      </c>
      <c r="O48" s="3669">
        <f t="shared" si="23"/>
        <v>4.0324492593776018E-2</v>
      </c>
      <c r="P48" s="3669">
        <f t="shared" ref="P48:Q51" si="24">E48/E49-1</f>
        <v>6.1625555347990968E-2</v>
      </c>
      <c r="Q48" s="3669">
        <f t="shared" si="24"/>
        <v>4.6757569250590603E-2</v>
      </c>
      <c r="R48" s="3611"/>
      <c r="S48" s="3612"/>
      <c r="T48" s="3613"/>
      <c r="U48" s="3613"/>
      <c r="V48" s="3613"/>
      <c r="AC48" s="3613"/>
      <c r="AD48" s="3613"/>
      <c r="AE48" s="3613"/>
      <c r="AF48" s="3613"/>
    </row>
    <row r="49" spans="1:32">
      <c r="A49" s="3595" t="s">
        <v>3579</v>
      </c>
      <c r="B49" s="3596">
        <f t="shared" ref="B49:C51" si="25">B50+(B$48-B$52)*I49/SUM(I$48:I$51)</f>
        <v>180.5366651097618</v>
      </c>
      <c r="C49" s="3596">
        <f t="shared" si="25"/>
        <v>158.60435967302453</v>
      </c>
      <c r="D49" s="3596">
        <f t="shared" si="1"/>
        <v>158.60435967302453</v>
      </c>
      <c r="E49" s="3596">
        <f t="shared" ref="E49:F51" si="26">E50+(E$48-E$52)*K49/SUM(K$48:K$51)</f>
        <v>239.25573260785075</v>
      </c>
      <c r="F49" s="3596">
        <f t="shared" si="26"/>
        <v>141.38899430740037</v>
      </c>
      <c r="G49" s="3621">
        <v>2007</v>
      </c>
      <c r="H49" s="3632">
        <v>3</v>
      </c>
      <c r="I49" s="3632">
        <v>8.65</v>
      </c>
      <c r="J49" s="3632">
        <v>8.06</v>
      </c>
      <c r="K49" s="3632">
        <v>9.94</v>
      </c>
      <c r="L49" s="3633">
        <v>5.8</v>
      </c>
      <c r="N49" s="3668">
        <f t="shared" si="23"/>
        <v>6.940217571740015E-2</v>
      </c>
      <c r="O49" s="3669">
        <f t="shared" si="23"/>
        <v>7.1197482471153428E-2</v>
      </c>
      <c r="P49" s="3669">
        <f t="shared" si="24"/>
        <v>0.10529679922579582</v>
      </c>
      <c r="Q49" s="3669">
        <f t="shared" si="24"/>
        <v>5.3292245059512133E-2</v>
      </c>
      <c r="R49" s="3611"/>
      <c r="S49" s="3601"/>
      <c r="T49" s="3602"/>
      <c r="U49" s="3602"/>
      <c r="V49" s="3602"/>
      <c r="AC49" s="3670"/>
      <c r="AD49" s="3670"/>
      <c r="AE49" s="3670"/>
      <c r="AF49" s="3670"/>
    </row>
    <row r="50" spans="1:32">
      <c r="A50" s="3595" t="s">
        <v>3580</v>
      </c>
      <c r="B50" s="3596">
        <f t="shared" si="25"/>
        <v>168.82017748715555</v>
      </c>
      <c r="C50" s="3596">
        <f t="shared" si="25"/>
        <v>148.06267029972753</v>
      </c>
      <c r="D50" s="3596">
        <f t="shared" si="1"/>
        <v>148.06267029972753</v>
      </c>
      <c r="E50" s="3596">
        <f t="shared" si="26"/>
        <v>216.46288379323747</v>
      </c>
      <c r="F50" s="3596">
        <f t="shared" si="26"/>
        <v>134.23529411764704</v>
      </c>
      <c r="G50" s="3621">
        <v>2007</v>
      </c>
      <c r="H50" s="3615">
        <v>2</v>
      </c>
      <c r="I50" s="3615">
        <v>3.67</v>
      </c>
      <c r="J50" s="3615">
        <v>2.3199999999999998</v>
      </c>
      <c r="K50" s="3615">
        <v>5.0199999999999996</v>
      </c>
      <c r="L50" s="3623">
        <v>6.71</v>
      </c>
      <c r="N50" s="3668">
        <f t="shared" si="23"/>
        <v>3.0339138143848032E-2</v>
      </c>
      <c r="O50" s="3669">
        <f t="shared" si="23"/>
        <v>2.0922341588790472E-2</v>
      </c>
      <c r="P50" s="3669">
        <f t="shared" si="24"/>
        <v>5.6164796592717003E-2</v>
      </c>
      <c r="Q50" s="3669">
        <f t="shared" si="24"/>
        <v>6.5704536723887319E-2</v>
      </c>
      <c r="R50" s="3611"/>
      <c r="S50" s="3601"/>
      <c r="T50" s="3602"/>
      <c r="U50" s="3602"/>
      <c r="V50" s="3602"/>
      <c r="AC50" s="3670"/>
      <c r="AD50" s="3670"/>
      <c r="AE50" s="3670"/>
      <c r="AF50" s="3670"/>
    </row>
    <row r="51" spans="1:32">
      <c r="A51" s="3595" t="s">
        <v>3581</v>
      </c>
      <c r="B51" s="3596">
        <f t="shared" si="25"/>
        <v>163.84913591779542</v>
      </c>
      <c r="C51" s="3596">
        <f t="shared" si="25"/>
        <v>145.0283378746594</v>
      </c>
      <c r="D51" s="3596">
        <f t="shared" si="1"/>
        <v>145.0283378746594</v>
      </c>
      <c r="E51" s="3596">
        <f t="shared" si="26"/>
        <v>204.95180722891567</v>
      </c>
      <c r="F51" s="3596">
        <f t="shared" si="26"/>
        <v>125.95920303605313</v>
      </c>
      <c r="G51" s="3624">
        <v>2007</v>
      </c>
      <c r="H51" s="3598">
        <v>1</v>
      </c>
      <c r="I51" s="3598">
        <v>3.58</v>
      </c>
      <c r="J51" s="3598">
        <v>3.08</v>
      </c>
      <c r="K51" s="3598">
        <v>4.34</v>
      </c>
      <c r="L51" s="3622">
        <v>3.21</v>
      </c>
      <c r="N51" s="3671">
        <f t="shared" si="23"/>
        <v>3.0497710174814063E-2</v>
      </c>
      <c r="O51" s="3672">
        <f t="shared" si="23"/>
        <v>2.8569772160704998E-2</v>
      </c>
      <c r="P51" s="3672">
        <f t="shared" si="24"/>
        <v>5.1034908866234296E-2</v>
      </c>
      <c r="Q51" s="3672">
        <f t="shared" si="24"/>
        <v>3.245248390207478E-2</v>
      </c>
      <c r="R51" s="3611"/>
      <c r="S51" s="3603">
        <f>B51/B52-1</f>
        <v>3.0497710174814063E-2</v>
      </c>
      <c r="T51" s="3604">
        <f>C51/C52-1</f>
        <v>2.8569772160704998E-2</v>
      </c>
      <c r="U51" s="3604">
        <f>E51/E52-1</f>
        <v>5.1034908866234296E-2</v>
      </c>
      <c r="V51" s="3604">
        <f>F51/F52-1</f>
        <v>3.245248390207478E-2</v>
      </c>
      <c r="AC51" s="3670"/>
      <c r="AD51" s="3670"/>
      <c r="AE51" s="3670"/>
      <c r="AF51" s="3670"/>
    </row>
    <row r="52" spans="1:32" ht="13.5" thickBot="1">
      <c r="A52" s="3595" t="s">
        <v>3582</v>
      </c>
      <c r="B52" s="3635">
        <v>159</v>
      </c>
      <c r="C52" s="3635">
        <v>141</v>
      </c>
      <c r="D52" s="3635">
        <f t="shared" si="1"/>
        <v>141</v>
      </c>
      <c r="E52" s="3635">
        <v>195</v>
      </c>
      <c r="F52" s="3636">
        <v>122</v>
      </c>
      <c r="G52" s="3626">
        <v>2006</v>
      </c>
      <c r="H52" s="3627">
        <v>4</v>
      </c>
      <c r="I52" s="3627">
        <v>3.79</v>
      </c>
      <c r="J52" s="3627">
        <v>2.21</v>
      </c>
      <c r="K52" s="3627">
        <v>5.65</v>
      </c>
      <c r="L52" s="3628">
        <v>5.41</v>
      </c>
      <c r="N52" s="3668">
        <f t="shared" ref="N52:O55" si="27">I52/SUM(I$52:I$55)*(B$52/B$56-1)</f>
        <v>7.245466462748526E-2</v>
      </c>
      <c r="O52" s="3669">
        <f t="shared" si="27"/>
        <v>2.3237230038062766E-2</v>
      </c>
      <c r="P52" s="3669">
        <f t="shared" ref="P52:Q55" si="28">K52/SUM(K$52:K$55)*(E$52/E$56-1)</f>
        <v>0.16146893866323722</v>
      </c>
      <c r="Q52" s="3669">
        <f t="shared" si="28"/>
        <v>5.0755230321793784E-2</v>
      </c>
      <c r="R52" s="3611"/>
      <c r="S52" s="3612"/>
      <c r="T52" s="3613"/>
      <c r="U52" s="3613"/>
      <c r="V52" s="3613"/>
      <c r="AC52" s="3670"/>
      <c r="AD52" s="3670"/>
      <c r="AE52" s="3670"/>
      <c r="AF52" s="3670"/>
    </row>
    <row r="53" spans="1:32">
      <c r="A53" s="3595" t="s">
        <v>3583</v>
      </c>
      <c r="B53" s="3596">
        <f t="shared" ref="B53:C55" si="29">B54+(B$52-B$56)*I53/SUM(I$52:I$55)</f>
        <v>149.00125628140702</v>
      </c>
      <c r="C53" s="3596">
        <f t="shared" si="29"/>
        <v>137.95592286501378</v>
      </c>
      <c r="D53" s="3596">
        <f t="shared" si="1"/>
        <v>137.95592286501378</v>
      </c>
      <c r="E53" s="3596">
        <f t="shared" ref="E53:F55" si="30">E54+(E$52-E$56)*K53/SUM(K$52:K$55)</f>
        <v>169.97231450719823</v>
      </c>
      <c r="F53" s="3596">
        <f t="shared" si="30"/>
        <v>116.21390374331551</v>
      </c>
      <c r="G53" s="3621">
        <v>2006</v>
      </c>
      <c r="H53" s="3632">
        <v>3</v>
      </c>
      <c r="I53" s="3632">
        <v>0.92</v>
      </c>
      <c r="J53" s="3632">
        <v>1.08</v>
      </c>
      <c r="K53" s="3632">
        <v>0.73</v>
      </c>
      <c r="L53" s="3633">
        <v>1.08</v>
      </c>
      <c r="N53" s="3668">
        <f t="shared" si="27"/>
        <v>1.7587939698492462E-2</v>
      </c>
      <c r="O53" s="3669">
        <f t="shared" si="27"/>
        <v>1.1355750425840628E-2</v>
      </c>
      <c r="P53" s="3669">
        <f t="shared" si="28"/>
        <v>2.0862358446754544E-2</v>
      </c>
      <c r="Q53" s="3669">
        <f t="shared" si="28"/>
        <v>1.0132282578103011E-2</v>
      </c>
      <c r="R53" s="3611"/>
      <c r="S53" s="3601"/>
      <c r="T53" s="3602"/>
      <c r="U53" s="3602"/>
      <c r="V53" s="3602"/>
      <c r="AC53" s="3670"/>
      <c r="AD53" s="3670"/>
      <c r="AE53" s="3670"/>
      <c r="AF53" s="3670"/>
    </row>
    <row r="54" spans="1:32">
      <c r="A54" s="3595" t="s">
        <v>3584</v>
      </c>
      <c r="B54" s="3596">
        <f t="shared" si="29"/>
        <v>146.57412060301507</v>
      </c>
      <c r="C54" s="3596">
        <f t="shared" si="29"/>
        <v>136.46831955922866</v>
      </c>
      <c r="D54" s="3596">
        <f t="shared" si="1"/>
        <v>136.46831955922866</v>
      </c>
      <c r="E54" s="3596">
        <f t="shared" si="30"/>
        <v>166.73864894795128</v>
      </c>
      <c r="F54" s="3596">
        <f t="shared" si="30"/>
        <v>115.05882352941177</v>
      </c>
      <c r="G54" s="3621">
        <v>2006</v>
      </c>
      <c r="H54" s="3615">
        <v>2</v>
      </c>
      <c r="I54" s="3615">
        <v>0.96</v>
      </c>
      <c r="J54" s="3615">
        <v>0.25</v>
      </c>
      <c r="K54" s="3615">
        <v>1.9</v>
      </c>
      <c r="L54" s="3623">
        <v>0.95</v>
      </c>
      <c r="N54" s="3668">
        <f t="shared" si="27"/>
        <v>1.8352632728861701E-2</v>
      </c>
      <c r="O54" s="3669">
        <f t="shared" si="27"/>
        <v>2.6286459319075526E-3</v>
      </c>
      <c r="P54" s="3669">
        <f t="shared" si="28"/>
        <v>5.4299289107991269E-2</v>
      </c>
      <c r="Q54" s="3669">
        <f t="shared" si="28"/>
        <v>8.9126559714794995E-3</v>
      </c>
      <c r="R54" s="3611"/>
      <c r="S54" s="3601"/>
      <c r="T54" s="3602"/>
      <c r="U54" s="3602"/>
      <c r="V54" s="3602"/>
      <c r="AC54" s="3670"/>
      <c r="AD54" s="3670"/>
      <c r="AE54" s="3670"/>
      <c r="AF54" s="3670"/>
    </row>
    <row r="55" spans="1:32">
      <c r="A55" s="3595" t="s">
        <v>3585</v>
      </c>
      <c r="B55" s="3596">
        <f t="shared" si="29"/>
        <v>144.04145728643215</v>
      </c>
      <c r="C55" s="3596">
        <f t="shared" si="29"/>
        <v>136.12396694214877</v>
      </c>
      <c r="D55" s="3596">
        <f t="shared" si="1"/>
        <v>136.12396694214877</v>
      </c>
      <c r="E55" s="3596">
        <f t="shared" si="30"/>
        <v>158.32225913621264</v>
      </c>
      <c r="F55" s="3596">
        <f t="shared" si="30"/>
        <v>114.04278074866311</v>
      </c>
      <c r="G55" s="3624">
        <v>2006</v>
      </c>
      <c r="H55" s="3598">
        <v>1</v>
      </c>
      <c r="I55" s="3598">
        <v>2.29</v>
      </c>
      <c r="J55" s="3598">
        <v>3.72</v>
      </c>
      <c r="K55" s="3598">
        <v>0.75</v>
      </c>
      <c r="L55" s="3622">
        <v>0.04</v>
      </c>
      <c r="N55" s="3671">
        <f t="shared" si="27"/>
        <v>4.3778675988638847E-2</v>
      </c>
      <c r="O55" s="3672">
        <f t="shared" si="27"/>
        <v>3.9114251466784385E-2</v>
      </c>
      <c r="P55" s="3672">
        <f t="shared" si="28"/>
        <v>2.1433929911049188E-2</v>
      </c>
      <c r="Q55" s="3672">
        <f t="shared" si="28"/>
        <v>3.7526972511492629E-4</v>
      </c>
      <c r="R55" s="3611"/>
      <c r="S55" s="3603">
        <f>B55/B56-1</f>
        <v>4.3778675988638716E-2</v>
      </c>
      <c r="T55" s="3604">
        <f>C55/C56-1</f>
        <v>3.91142514667846E-2</v>
      </c>
      <c r="U55" s="3604">
        <f>E55/E56-1</f>
        <v>2.143392991104931E-2</v>
      </c>
      <c r="V55" s="3604">
        <f>F55/F56-1</f>
        <v>3.7526972511492396E-4</v>
      </c>
      <c r="AC55" s="3670"/>
      <c r="AD55" s="3670"/>
      <c r="AE55" s="3670"/>
      <c r="AF55" s="3670"/>
    </row>
    <row r="56" spans="1:32" ht="13.5" thickBot="1">
      <c r="A56" s="3595" t="s">
        <v>3586</v>
      </c>
      <c r="B56" s="3635">
        <v>138</v>
      </c>
      <c r="C56" s="3635">
        <v>131</v>
      </c>
      <c r="D56" s="3635">
        <f t="shared" si="1"/>
        <v>131</v>
      </c>
      <c r="E56" s="3635">
        <v>155</v>
      </c>
      <c r="F56" s="3636">
        <v>114</v>
      </c>
      <c r="G56" s="3626">
        <v>2005</v>
      </c>
      <c r="H56" s="3627">
        <v>4</v>
      </c>
      <c r="I56" s="3627">
        <v>3.29</v>
      </c>
      <c r="J56" s="3627">
        <v>1.44</v>
      </c>
      <c r="K56" s="3627">
        <v>0.66</v>
      </c>
      <c r="L56" s="3628">
        <v>7.78</v>
      </c>
      <c r="N56" s="3668">
        <f t="shared" ref="N56:O59" si="31">I56/SUM(I$56:I$59)*(B$56/B$60-1)</f>
        <v>9.9404603216919935E-2</v>
      </c>
      <c r="O56" s="3669">
        <f t="shared" si="31"/>
        <v>4.7636550760861554E-2</v>
      </c>
      <c r="P56" s="3669">
        <f t="shared" ref="P56:Q59" si="32">K56/SUM(K$56:K$59)*(E$56/E$60-1)</f>
        <v>8.3756345177664976E-2</v>
      </c>
      <c r="Q56" s="3669">
        <f t="shared" si="32"/>
        <v>5.2148766661559584E-2</v>
      </c>
      <c r="R56" s="3611"/>
      <c r="S56" s="3612"/>
      <c r="T56" s="3613"/>
      <c r="U56" s="3613"/>
      <c r="V56" s="3613"/>
      <c r="AC56" s="3670"/>
      <c r="AD56" s="3670"/>
      <c r="AE56" s="3670"/>
      <c r="AF56" s="3670"/>
    </row>
    <row r="57" spans="1:32">
      <c r="A57" s="3595" t="s">
        <v>3587</v>
      </c>
      <c r="B57" s="3596">
        <f t="shared" ref="B57:C59" si="33">B58+(B$56-B$60)*I57/SUM(I$56:I$59)</f>
        <v>125.9720430107527</v>
      </c>
      <c r="C57" s="3596">
        <f t="shared" si="33"/>
        <v>125.1883408071749</v>
      </c>
      <c r="D57" s="3596">
        <f t="shared" si="1"/>
        <v>125.1883408071749</v>
      </c>
      <c r="E57" s="3596">
        <f t="shared" ref="E57:F59" si="34">E58+(E$56-E$60)*K57/SUM(K$56:K$59)</f>
        <v>144.61421319796952</v>
      </c>
      <c r="F57" s="3596">
        <f t="shared" si="34"/>
        <v>108.42008196721311</v>
      </c>
      <c r="G57" s="3621">
        <v>2005</v>
      </c>
      <c r="H57" s="3632">
        <v>3</v>
      </c>
      <c r="I57" s="3632">
        <v>0.46</v>
      </c>
      <c r="J57" s="3632">
        <v>0.32</v>
      </c>
      <c r="K57" s="3632">
        <v>0.42</v>
      </c>
      <c r="L57" s="3633">
        <v>0.64</v>
      </c>
      <c r="N57" s="3668">
        <f t="shared" si="31"/>
        <v>1.3898515951301874E-2</v>
      </c>
      <c r="O57" s="3669">
        <f t="shared" si="31"/>
        <v>1.0585900169080346E-2</v>
      </c>
      <c r="P57" s="3669">
        <f t="shared" si="32"/>
        <v>5.3299492385786795E-2</v>
      </c>
      <c r="Q57" s="3669">
        <f t="shared" si="32"/>
        <v>4.2898728359123568E-3</v>
      </c>
      <c r="R57" s="3611"/>
      <c r="S57" s="3601"/>
      <c r="T57" s="3602"/>
      <c r="U57" s="3602"/>
      <c r="V57" s="3602"/>
      <c r="AC57" s="3670"/>
      <c r="AD57" s="3670"/>
      <c r="AE57" s="3670"/>
      <c r="AF57" s="3670"/>
    </row>
    <row r="58" spans="1:32">
      <c r="A58" s="3595" t="s">
        <v>3588</v>
      </c>
      <c r="B58" s="3596">
        <f t="shared" si="33"/>
        <v>124.29032258064517</v>
      </c>
      <c r="C58" s="3596">
        <f t="shared" si="33"/>
        <v>123.8968609865471</v>
      </c>
      <c r="D58" s="3596">
        <f t="shared" si="1"/>
        <v>123.8968609865471</v>
      </c>
      <c r="E58" s="3596">
        <f t="shared" si="34"/>
        <v>138.00507614213197</v>
      </c>
      <c r="F58" s="3596">
        <f t="shared" si="34"/>
        <v>107.96106557377048</v>
      </c>
      <c r="G58" s="3621">
        <v>2005</v>
      </c>
      <c r="H58" s="3615">
        <v>2</v>
      </c>
      <c r="I58" s="3615">
        <v>0.47</v>
      </c>
      <c r="J58" s="3615">
        <v>0.1</v>
      </c>
      <c r="K58" s="3615">
        <v>0.52</v>
      </c>
      <c r="L58" s="3623">
        <v>0.79</v>
      </c>
      <c r="N58" s="3668">
        <f t="shared" si="31"/>
        <v>1.420065760241713E-2</v>
      </c>
      <c r="O58" s="3669">
        <f t="shared" si="31"/>
        <v>3.3080938028376083E-3</v>
      </c>
      <c r="P58" s="3669">
        <f t="shared" si="32"/>
        <v>6.598984771573603E-2</v>
      </c>
      <c r="Q58" s="3669">
        <f t="shared" si="32"/>
        <v>5.2953117818293153E-3</v>
      </c>
      <c r="R58" s="3611"/>
      <c r="S58" s="3601"/>
      <c r="T58" s="3602"/>
      <c r="U58" s="3602"/>
      <c r="V58" s="3602"/>
      <c r="AC58" s="3670"/>
      <c r="AD58" s="3670"/>
      <c r="AE58" s="3670"/>
      <c r="AF58" s="3670"/>
    </row>
    <row r="59" spans="1:32">
      <c r="A59" s="3595" t="s">
        <v>3589</v>
      </c>
      <c r="B59" s="3596">
        <f t="shared" si="33"/>
        <v>122.57204301075269</v>
      </c>
      <c r="C59" s="3596">
        <f t="shared" si="33"/>
        <v>123.4932735426009</v>
      </c>
      <c r="D59" s="3596">
        <f t="shared" si="1"/>
        <v>123.4932735426009</v>
      </c>
      <c r="E59" s="3596">
        <f t="shared" si="34"/>
        <v>129.82233502538071</v>
      </c>
      <c r="F59" s="3596">
        <f t="shared" si="34"/>
        <v>107.39446721311475</v>
      </c>
      <c r="G59" s="3624">
        <v>2005</v>
      </c>
      <c r="H59" s="3598">
        <v>1</v>
      </c>
      <c r="I59" s="3598">
        <v>0.43</v>
      </c>
      <c r="J59" s="3598">
        <v>0.37</v>
      </c>
      <c r="K59" s="3598">
        <v>0.37</v>
      </c>
      <c r="L59" s="3622">
        <v>0.55000000000000004</v>
      </c>
      <c r="N59" s="3671">
        <f t="shared" si="31"/>
        <v>1.2992090997956099E-2</v>
      </c>
      <c r="O59" s="3672">
        <f t="shared" si="31"/>
        <v>1.2239947070499151E-2</v>
      </c>
      <c r="P59" s="3672">
        <f t="shared" si="32"/>
        <v>4.6954314720812178E-2</v>
      </c>
      <c r="Q59" s="3672">
        <f t="shared" si="32"/>
        <v>3.6866094683621815E-3</v>
      </c>
      <c r="R59" s="3611"/>
      <c r="S59" s="3603">
        <f>B59/B60-1</f>
        <v>1.2992090997956174E-2</v>
      </c>
      <c r="T59" s="3604">
        <f>C59/C60-1</f>
        <v>1.2239947070499246E-2</v>
      </c>
      <c r="U59" s="3604">
        <f>E59/E60-1</f>
        <v>4.695431472081224E-2</v>
      </c>
      <c r="V59" s="3604">
        <f>F59/F60-1</f>
        <v>3.6866094683620787E-3</v>
      </c>
      <c r="AC59" s="3670"/>
      <c r="AD59" s="3670"/>
      <c r="AE59" s="3670"/>
      <c r="AF59" s="3670"/>
    </row>
    <row r="60" spans="1:32" ht="13.5" thickBot="1">
      <c r="A60" s="3595" t="s">
        <v>3590</v>
      </c>
      <c r="B60" s="3655">
        <v>121</v>
      </c>
      <c r="C60" s="3655">
        <v>122</v>
      </c>
      <c r="D60" s="3655">
        <f t="shared" si="1"/>
        <v>122</v>
      </c>
      <c r="E60" s="3655">
        <v>124</v>
      </c>
      <c r="F60" s="3656">
        <v>107</v>
      </c>
      <c r="G60" s="3626">
        <v>2004</v>
      </c>
      <c r="H60" s="3627">
        <v>4</v>
      </c>
      <c r="I60" s="3627">
        <v>0.33</v>
      </c>
      <c r="J60" s="3627">
        <v>0.5</v>
      </c>
      <c r="K60" s="3627">
        <v>0.5</v>
      </c>
      <c r="L60" s="3628">
        <v>0</v>
      </c>
      <c r="N60" s="3668">
        <f t="shared" ref="N60:O63" si="35">I60/SUM(I$60:I$63)*(B$60/B$64-1)</f>
        <v>1.3391770148526898E-2</v>
      </c>
      <c r="O60" s="3669">
        <f t="shared" si="35"/>
        <v>1.063264221158958E-2</v>
      </c>
      <c r="P60" s="3669">
        <f t="shared" ref="P60:Q63" si="36">K60/SUM(K$60:K$63)*(E$60/E$64-1)</f>
        <v>2.2244466688911134E-2</v>
      </c>
      <c r="Q60" s="3669">
        <f t="shared" si="36"/>
        <v>0</v>
      </c>
      <c r="R60" s="3611"/>
      <c r="S60" s="3612"/>
      <c r="T60" s="3613"/>
      <c r="U60" s="3613"/>
      <c r="V60" s="3613"/>
      <c r="AC60" s="3670"/>
      <c r="AD60" s="3670"/>
      <c r="AE60" s="3670"/>
      <c r="AF60" s="3670"/>
    </row>
    <row r="61" spans="1:32">
      <c r="A61" s="3595" t="s">
        <v>3591</v>
      </c>
      <c r="B61" s="3596">
        <f t="shared" ref="B61:C63" si="37">B62+(B$60-B$64)*I61/SUM(I$60:I$63)</f>
        <v>119.51351351351352</v>
      </c>
      <c r="C61" s="3596">
        <f t="shared" si="37"/>
        <v>120.7878787878788</v>
      </c>
      <c r="D61" s="3596">
        <f t="shared" si="1"/>
        <v>120.7878787878788</v>
      </c>
      <c r="E61" s="3596">
        <f t="shared" ref="E61:F63" si="38">E62+(E$60-E$64)*K61/SUM(K$60:K$63)</f>
        <v>121.5975975975976</v>
      </c>
      <c r="F61" s="3596">
        <f t="shared" si="38"/>
        <v>107</v>
      </c>
      <c r="G61" s="3621">
        <v>2004</v>
      </c>
      <c r="H61" s="3632">
        <v>3</v>
      </c>
      <c r="I61" s="3632">
        <v>0.56000000000000005</v>
      </c>
      <c r="J61" s="3632">
        <v>0.8</v>
      </c>
      <c r="K61" s="3632">
        <v>0.83</v>
      </c>
      <c r="L61" s="3633">
        <v>0.06</v>
      </c>
      <c r="N61" s="3668">
        <f t="shared" si="35"/>
        <v>2.2725428130833527E-2</v>
      </c>
      <c r="O61" s="3669">
        <f t="shared" si="35"/>
        <v>1.7012227538543329E-2</v>
      </c>
      <c r="P61" s="3669">
        <f t="shared" si="36"/>
        <v>3.6925814703592477E-2</v>
      </c>
      <c r="Q61" s="3669">
        <f t="shared" si="36"/>
        <v>2.8846153846153744E-2</v>
      </c>
      <c r="R61" s="3611"/>
      <c r="S61" s="3601"/>
      <c r="T61" s="3602"/>
      <c r="U61" s="3602"/>
      <c r="V61" s="3602"/>
      <c r="AC61" s="3670"/>
      <c r="AD61" s="3670"/>
      <c r="AE61" s="3670"/>
      <c r="AF61" s="3670"/>
    </row>
    <row r="62" spans="1:32">
      <c r="A62" s="3595" t="s">
        <v>3592</v>
      </c>
      <c r="B62" s="3596">
        <f t="shared" si="37"/>
        <v>116.99099099099099</v>
      </c>
      <c r="C62" s="3596">
        <f t="shared" si="37"/>
        <v>118.84848484848486</v>
      </c>
      <c r="D62" s="3596">
        <f t="shared" si="1"/>
        <v>118.84848484848486</v>
      </c>
      <c r="E62" s="3596">
        <f t="shared" si="38"/>
        <v>117.60960960960961</v>
      </c>
      <c r="F62" s="3596">
        <f t="shared" si="38"/>
        <v>104</v>
      </c>
      <c r="G62" s="3621">
        <v>2004</v>
      </c>
      <c r="H62" s="3615">
        <v>2</v>
      </c>
      <c r="I62" s="3615">
        <v>1</v>
      </c>
      <c r="J62" s="3615">
        <v>1.5</v>
      </c>
      <c r="K62" s="3615">
        <v>1.5</v>
      </c>
      <c r="L62" s="3623">
        <v>0</v>
      </c>
      <c r="N62" s="3668">
        <f t="shared" si="35"/>
        <v>4.0581121662202721E-2</v>
      </c>
      <c r="O62" s="3669">
        <f t="shared" si="35"/>
        <v>3.1897926634768738E-2</v>
      </c>
      <c r="P62" s="3669">
        <f t="shared" si="36"/>
        <v>6.6733400066733395E-2</v>
      </c>
      <c r="Q62" s="3669">
        <f t="shared" si="36"/>
        <v>0</v>
      </c>
      <c r="R62" s="3611"/>
      <c r="S62" s="3601"/>
      <c r="T62" s="3602"/>
      <c r="U62" s="3602"/>
      <c r="V62" s="3602"/>
      <c r="AC62" s="3670"/>
      <c r="AD62" s="3670"/>
      <c r="AE62" s="3670"/>
      <c r="AF62" s="3670"/>
    </row>
    <row r="63" spans="1:32" s="3661" customFormat="1" ht="13.5" thickBot="1">
      <c r="A63" s="3595" t="s">
        <v>3593</v>
      </c>
      <c r="B63" s="3658">
        <f t="shared" si="37"/>
        <v>112.48648648648648</v>
      </c>
      <c r="C63" s="3658">
        <f t="shared" si="37"/>
        <v>115.21212121212122</v>
      </c>
      <c r="D63" s="3658">
        <f t="shared" si="1"/>
        <v>115.21212121212122</v>
      </c>
      <c r="E63" s="3658">
        <f t="shared" si="38"/>
        <v>110.4024024024024</v>
      </c>
      <c r="F63" s="3658">
        <f t="shared" si="38"/>
        <v>104</v>
      </c>
      <c r="G63" s="3624">
        <v>2004</v>
      </c>
      <c r="H63" s="3659">
        <v>1</v>
      </c>
      <c r="I63" s="3659">
        <v>0.33</v>
      </c>
      <c r="J63" s="3659">
        <v>0.5</v>
      </c>
      <c r="K63" s="3659">
        <v>0.5</v>
      </c>
      <c r="L63" s="3660">
        <v>0</v>
      </c>
      <c r="N63" s="3673">
        <f t="shared" si="35"/>
        <v>1.3391770148526898E-2</v>
      </c>
      <c r="O63" s="3674">
        <f t="shared" si="35"/>
        <v>1.063264221158958E-2</v>
      </c>
      <c r="P63" s="3674">
        <f t="shared" si="36"/>
        <v>2.2244466688911134E-2</v>
      </c>
      <c r="Q63" s="3674">
        <f t="shared" si="36"/>
        <v>0</v>
      </c>
      <c r="R63" s="3664"/>
      <c r="S63" s="3662">
        <f>B63/B64-1</f>
        <v>1.3391770148526883E-2</v>
      </c>
      <c r="T63" s="3663">
        <f>C63/C64-1</f>
        <v>1.063264221158966E-2</v>
      </c>
      <c r="U63" s="3663">
        <f>E63/E64-1</f>
        <v>2.2244466688911224E-2</v>
      </c>
      <c r="V63" s="3663">
        <f>F63/F64-1</f>
        <v>0</v>
      </c>
      <c r="AC63" s="3675"/>
      <c r="AD63" s="3675"/>
      <c r="AE63" s="3675"/>
      <c r="AF63" s="3675"/>
    </row>
    <row r="64" spans="1:32" ht="13.5" thickBot="1">
      <c r="A64" s="3595" t="s">
        <v>3594</v>
      </c>
      <c r="B64" s="3676">
        <v>111</v>
      </c>
      <c r="C64" s="3676">
        <v>114</v>
      </c>
      <c r="D64" s="3676">
        <f t="shared" si="1"/>
        <v>114</v>
      </c>
      <c r="E64" s="3676">
        <v>108</v>
      </c>
      <c r="F64" s="3677">
        <v>104</v>
      </c>
      <c r="G64" s="3626">
        <v>2003</v>
      </c>
      <c r="H64" s="3666">
        <v>4</v>
      </c>
      <c r="I64" s="3678"/>
      <c r="J64" s="3678"/>
      <c r="K64" s="3678"/>
      <c r="L64" s="3678"/>
      <c r="N64" s="3679"/>
      <c r="O64" s="3678"/>
      <c r="P64" s="3678"/>
      <c r="Q64" s="3678"/>
      <c r="S64" s="3679"/>
      <c r="T64" s="3678"/>
      <c r="U64" s="3678"/>
      <c r="V64" s="3678"/>
      <c r="AC64" s="3670"/>
      <c r="AD64" s="3670"/>
      <c r="AE64" s="3670"/>
      <c r="AF64" s="3670"/>
    </row>
    <row r="65" spans="1:32">
      <c r="A65" s="3595" t="s">
        <v>3595</v>
      </c>
      <c r="B65" s="3680">
        <f t="shared" ref="B65:C67" si="39">B66+(B$64-B$68)/4</f>
        <v>109.75</v>
      </c>
      <c r="C65" s="3680">
        <f t="shared" si="39"/>
        <v>112.25</v>
      </c>
      <c r="D65" s="3680">
        <f t="shared" si="1"/>
        <v>112.25</v>
      </c>
      <c r="E65" s="3680">
        <f t="shared" ref="E65:F67" si="40">E66+(E$64-E$68)/4</f>
        <v>107.25</v>
      </c>
      <c r="F65" s="3680">
        <f t="shared" si="40"/>
        <v>103.5</v>
      </c>
      <c r="G65" s="3621">
        <v>2003</v>
      </c>
      <c r="H65" s="3632">
        <v>3</v>
      </c>
      <c r="I65" s="3678"/>
      <c r="J65" s="3678"/>
      <c r="K65" s="3678"/>
      <c r="L65" s="3678"/>
      <c r="AC65" s="3670"/>
      <c r="AD65" s="3670"/>
      <c r="AE65" s="3670"/>
      <c r="AF65" s="3670"/>
    </row>
    <row r="66" spans="1:32">
      <c r="A66" s="3595" t="s">
        <v>3596</v>
      </c>
      <c r="B66" s="3680">
        <f t="shared" si="39"/>
        <v>108.5</v>
      </c>
      <c r="C66" s="3680">
        <f t="shared" si="39"/>
        <v>110.5</v>
      </c>
      <c r="D66" s="3680">
        <f t="shared" si="1"/>
        <v>110.5</v>
      </c>
      <c r="E66" s="3680">
        <f t="shared" si="40"/>
        <v>106.5</v>
      </c>
      <c r="F66" s="3680">
        <f t="shared" si="40"/>
        <v>103</v>
      </c>
      <c r="G66" s="3621">
        <v>2003</v>
      </c>
      <c r="H66" s="3615">
        <v>2</v>
      </c>
      <c r="I66" s="3678"/>
      <c r="J66" s="3678"/>
      <c r="K66" s="3678"/>
      <c r="L66" s="3678"/>
      <c r="AC66" s="3670"/>
      <c r="AD66" s="3670"/>
      <c r="AE66" s="3670"/>
      <c r="AF66" s="3670"/>
    </row>
    <row r="67" spans="1:32" ht="13.5" thickBot="1">
      <c r="A67" s="3595" t="s">
        <v>3597</v>
      </c>
      <c r="B67" s="3680">
        <f t="shared" si="39"/>
        <v>107.25</v>
      </c>
      <c r="C67" s="3680">
        <f t="shared" si="39"/>
        <v>108.75</v>
      </c>
      <c r="D67" s="3680">
        <f t="shared" si="1"/>
        <v>108.75</v>
      </c>
      <c r="E67" s="3680">
        <f t="shared" si="40"/>
        <v>105.75</v>
      </c>
      <c r="F67" s="3680">
        <f t="shared" si="40"/>
        <v>102.5</v>
      </c>
      <c r="G67" s="3624">
        <v>2003</v>
      </c>
      <c r="H67" s="3681">
        <v>1</v>
      </c>
      <c r="I67" s="3678"/>
      <c r="J67" s="3678"/>
      <c r="K67" s="3678"/>
      <c r="L67" s="3678"/>
      <c r="S67" s="3601"/>
      <c r="T67" s="3602"/>
      <c r="U67" s="3602"/>
      <c r="AC67" s="3670"/>
      <c r="AD67" s="3670"/>
      <c r="AE67" s="3670"/>
      <c r="AF67" s="3670"/>
    </row>
    <row r="68" spans="1:32" ht="13.5" thickBot="1">
      <c r="A68" s="3595" t="s">
        <v>3598</v>
      </c>
      <c r="B68" s="3682">
        <v>106</v>
      </c>
      <c r="C68" s="3682">
        <v>107</v>
      </c>
      <c r="D68" s="3682">
        <f t="shared" si="1"/>
        <v>107</v>
      </c>
      <c r="E68" s="3682">
        <v>105</v>
      </c>
      <c r="F68" s="3683">
        <v>102</v>
      </c>
      <c r="G68" s="3626">
        <v>2002</v>
      </c>
      <c r="H68" s="3627">
        <v>4</v>
      </c>
      <c r="I68" s="3678"/>
      <c r="J68" s="3678"/>
      <c r="K68" s="3678"/>
      <c r="L68" s="3678"/>
      <c r="N68" s="3679"/>
      <c r="O68" s="3678"/>
      <c r="P68" s="3678"/>
      <c r="Q68" s="3678"/>
      <c r="S68" s="3679"/>
      <c r="T68" s="3678"/>
      <c r="U68" s="3678"/>
      <c r="V68" s="3678"/>
      <c r="AC68" s="3670"/>
      <c r="AD68" s="3670"/>
      <c r="AE68" s="3670"/>
      <c r="AF68" s="3670"/>
    </row>
    <row r="69" spans="1:32">
      <c r="A69" s="3595" t="s">
        <v>3599</v>
      </c>
      <c r="B69" s="3680">
        <f t="shared" ref="B69:C71" si="41">B70+(B$68-B$72)/4</f>
        <v>105</v>
      </c>
      <c r="C69" s="3680">
        <f t="shared" si="41"/>
        <v>106</v>
      </c>
      <c r="D69" s="3680">
        <f t="shared" si="1"/>
        <v>106</v>
      </c>
      <c r="E69" s="3680">
        <f t="shared" ref="E69:F71" si="42">E70+(E$68-E$72)/4</f>
        <v>104.5</v>
      </c>
      <c r="F69" s="3680">
        <f t="shared" si="42"/>
        <v>101.5</v>
      </c>
      <c r="G69" s="3621">
        <v>2002</v>
      </c>
      <c r="H69" s="3632">
        <v>3</v>
      </c>
      <c r="I69" s="3678"/>
      <c r="J69" s="3678"/>
      <c r="K69" s="3678"/>
      <c r="L69" s="3678"/>
      <c r="AC69" s="3670"/>
      <c r="AD69" s="3670"/>
      <c r="AE69" s="3670"/>
      <c r="AF69" s="3670"/>
    </row>
    <row r="70" spans="1:32">
      <c r="A70" s="3595" t="s">
        <v>3600</v>
      </c>
      <c r="B70" s="3680">
        <f t="shared" si="41"/>
        <v>104</v>
      </c>
      <c r="C70" s="3680">
        <f t="shared" si="41"/>
        <v>105</v>
      </c>
      <c r="D70" s="3680">
        <f t="shared" ref="D70:D129" si="43">C70</f>
        <v>105</v>
      </c>
      <c r="E70" s="3680">
        <f t="shared" si="42"/>
        <v>104</v>
      </c>
      <c r="F70" s="3680">
        <f t="shared" si="42"/>
        <v>101</v>
      </c>
      <c r="G70" s="3621">
        <v>2002</v>
      </c>
      <c r="H70" s="3615">
        <v>2</v>
      </c>
      <c r="I70" s="3678"/>
      <c r="J70" s="3678"/>
      <c r="K70" s="3678"/>
      <c r="L70" s="3678"/>
      <c r="AC70" s="3670"/>
      <c r="AD70" s="3670"/>
      <c r="AE70" s="3670"/>
      <c r="AF70" s="3670"/>
    </row>
    <row r="71" spans="1:32" s="3643" customFormat="1" ht="13.5" thickBot="1">
      <c r="A71" s="3639" t="s">
        <v>3601</v>
      </c>
      <c r="B71" s="3684">
        <f t="shared" si="41"/>
        <v>103</v>
      </c>
      <c r="C71" s="3684">
        <f t="shared" si="41"/>
        <v>104</v>
      </c>
      <c r="D71" s="3684">
        <f t="shared" si="43"/>
        <v>104</v>
      </c>
      <c r="E71" s="3684">
        <f t="shared" si="42"/>
        <v>103.5</v>
      </c>
      <c r="F71" s="3684">
        <f t="shared" si="42"/>
        <v>100.5</v>
      </c>
      <c r="G71" s="3624">
        <v>2002</v>
      </c>
      <c r="H71" s="3685">
        <v>1</v>
      </c>
      <c r="I71" s="3686"/>
      <c r="J71" s="3686"/>
      <c r="K71" s="3686"/>
      <c r="L71" s="3686"/>
      <c r="N71" s="3687"/>
      <c r="S71" s="3687"/>
      <c r="AC71" s="3688"/>
      <c r="AD71" s="3688"/>
      <c r="AE71" s="3688"/>
      <c r="AF71" s="3688"/>
    </row>
    <row r="72" spans="1:32" ht="13.5" thickBot="1">
      <c r="B72" s="3689">
        <v>102</v>
      </c>
      <c r="C72" s="3690">
        <v>103</v>
      </c>
      <c r="D72" s="3690">
        <f t="shared" si="43"/>
        <v>103</v>
      </c>
      <c r="E72" s="3690">
        <v>103</v>
      </c>
      <c r="F72" s="3691">
        <v>100</v>
      </c>
      <c r="I72" s="3678"/>
      <c r="J72" s="3678"/>
      <c r="K72" s="3678"/>
      <c r="L72" s="3678"/>
      <c r="N72" s="3679"/>
      <c r="O72" s="3678"/>
      <c r="P72" s="3678"/>
      <c r="Q72" s="3678"/>
      <c r="S72" s="3679"/>
      <c r="T72" s="3678"/>
      <c r="U72" s="3678"/>
      <c r="V72" s="3678"/>
      <c r="AC72" s="3613"/>
      <c r="AD72" s="3613"/>
      <c r="AE72" s="3613"/>
      <c r="AF72" s="3613"/>
    </row>
    <row r="74" spans="1:32" s="3693" customFormat="1">
      <c r="A74" s="3692" t="s">
        <v>3602</v>
      </c>
      <c r="G74" s="3694"/>
      <c r="N74" s="3694"/>
      <c r="S74" s="3694"/>
    </row>
    <row r="75" spans="1:32" s="3693" customFormat="1">
      <c r="A75" s="3693" t="s">
        <v>3603</v>
      </c>
      <c r="G75" s="3694"/>
      <c r="N75" s="3694"/>
      <c r="S75" s="3694"/>
    </row>
    <row r="76" spans="1:32" s="3693" customFormat="1">
      <c r="A76" s="3693" t="s">
        <v>3604</v>
      </c>
      <c r="G76" s="3694"/>
      <c r="I76" s="3695"/>
      <c r="J76" s="3695"/>
      <c r="K76" s="3695"/>
      <c r="L76" s="3695"/>
      <c r="N76" s="3696"/>
      <c r="O76" s="3695"/>
      <c r="P76" s="3695"/>
      <c r="Q76" s="3695"/>
      <c r="S76" s="3696"/>
      <c r="T76" s="3695"/>
      <c r="U76" s="3695"/>
      <c r="V76" s="3695"/>
    </row>
    <row r="77" spans="1:32" s="3693" customFormat="1">
      <c r="A77" s="3693" t="s">
        <v>3605</v>
      </c>
      <c r="G77" s="3694"/>
      <c r="N77" s="3694"/>
      <c r="S77" s="3694"/>
    </row>
    <row r="84" spans="14:29" ht="13.5" thickBot="1"/>
    <row r="85" spans="14:29" ht="24">
      <c r="S85" s="3697" t="s">
        <v>1103</v>
      </c>
      <c r="T85" s="3698" t="s">
        <v>1104</v>
      </c>
      <c r="U85" s="3698" t="s">
        <v>1105</v>
      </c>
      <c r="V85" s="3698" t="s">
        <v>1106</v>
      </c>
      <c r="W85" s="3699" t="s">
        <v>3606</v>
      </c>
      <c r="X85" s="3700">
        <v>2006</v>
      </c>
      <c r="Y85" s="3701">
        <v>4</v>
      </c>
      <c r="Z85" s="3701">
        <v>3.79</v>
      </c>
      <c r="AA85" s="3701">
        <v>2.21</v>
      </c>
      <c r="AB85" s="3701">
        <v>5.65</v>
      </c>
      <c r="AC85" s="3702">
        <v>5.41</v>
      </c>
    </row>
    <row r="86" spans="14:29">
      <c r="N86" s="3612"/>
      <c r="O86" s="3613"/>
      <c r="P86" s="3613"/>
      <c r="Q86" s="3613"/>
      <c r="S86" s="3703">
        <v>2006</v>
      </c>
      <c r="T86" s="3704">
        <v>15.1</v>
      </c>
      <c r="U86" s="3704">
        <v>7.43</v>
      </c>
      <c r="V86" s="3704">
        <v>26.26</v>
      </c>
      <c r="W86" s="3705">
        <v>7.6</v>
      </c>
      <c r="X86" s="3706">
        <v>2006</v>
      </c>
      <c r="Y86" s="3707">
        <v>3</v>
      </c>
      <c r="Z86" s="3707">
        <v>0.92</v>
      </c>
      <c r="AA86" s="3707">
        <v>1.08</v>
      </c>
      <c r="AB86" s="3707">
        <v>0.73</v>
      </c>
      <c r="AC86" s="3708">
        <v>1.08</v>
      </c>
    </row>
    <row r="87" spans="14:29">
      <c r="N87" s="3612"/>
      <c r="O87" s="3613"/>
      <c r="P87" s="3613"/>
      <c r="Q87" s="3613"/>
      <c r="S87" s="3709">
        <v>2005</v>
      </c>
      <c r="T87" s="3707">
        <v>13.9</v>
      </c>
      <c r="U87" s="3707">
        <v>7.49</v>
      </c>
      <c r="V87" s="3707">
        <v>24.92</v>
      </c>
      <c r="W87" s="3708">
        <v>6.51</v>
      </c>
      <c r="X87" s="3710">
        <v>2006</v>
      </c>
      <c r="Y87" s="3704">
        <v>2</v>
      </c>
      <c r="Z87" s="3704">
        <v>0.96</v>
      </c>
      <c r="AA87" s="3704">
        <v>0.25</v>
      </c>
      <c r="AB87" s="3704">
        <v>1.9</v>
      </c>
      <c r="AC87" s="3705">
        <v>0.95</v>
      </c>
    </row>
    <row r="88" spans="14:29" ht="13.5" thickBot="1">
      <c r="N88" s="3612"/>
      <c r="O88" s="3613"/>
      <c r="P88" s="3613"/>
      <c r="Q88" s="3613"/>
      <c r="S88" s="3703">
        <v>2004</v>
      </c>
      <c r="T88" s="3704">
        <v>9.48</v>
      </c>
      <c r="U88" s="3704">
        <v>7.2</v>
      </c>
      <c r="V88" s="3704">
        <v>14.68</v>
      </c>
      <c r="W88" s="3705">
        <v>2.2000000000000002</v>
      </c>
      <c r="X88" s="3711">
        <v>2006</v>
      </c>
      <c r="Y88" s="3712">
        <v>1</v>
      </c>
      <c r="Z88" s="3712">
        <v>2.29</v>
      </c>
      <c r="AA88" s="3712">
        <v>3.72</v>
      </c>
      <c r="AB88" s="3712">
        <v>0.75</v>
      </c>
      <c r="AC88" s="3713">
        <v>0.04</v>
      </c>
    </row>
    <row r="89" spans="14:29">
      <c r="N89" s="3612"/>
      <c r="O89" s="3613"/>
      <c r="P89" s="3613"/>
      <c r="Q89" s="3613"/>
      <c r="S89" s="3709">
        <v>2003</v>
      </c>
      <c r="T89" s="3707">
        <v>4.5</v>
      </c>
      <c r="U89" s="3707">
        <v>6.12</v>
      </c>
      <c r="V89" s="3707">
        <v>2.34</v>
      </c>
      <c r="W89" s="3708">
        <v>2.36</v>
      </c>
    </row>
    <row r="90" spans="14:29" ht="13.5" thickBot="1">
      <c r="N90" s="3612"/>
      <c r="O90" s="3613"/>
      <c r="P90" s="3613"/>
      <c r="Q90" s="3613"/>
      <c r="S90" s="3714">
        <v>2002</v>
      </c>
      <c r="T90" s="3715">
        <v>3.59</v>
      </c>
      <c r="U90" s="3715">
        <v>4.54</v>
      </c>
      <c r="V90" s="3715">
        <v>2.5499999999999998</v>
      </c>
      <c r="W90" s="3716">
        <v>1.52</v>
      </c>
    </row>
    <row r="91" spans="14:29">
      <c r="N91" s="3612"/>
      <c r="O91" s="3613"/>
      <c r="P91" s="3613"/>
      <c r="Q91" s="3613"/>
    </row>
    <row r="92" spans="14:29">
      <c r="N92" s="3612"/>
      <c r="O92" s="3613"/>
      <c r="P92" s="3613"/>
      <c r="Q92" s="3613"/>
    </row>
    <row r="93" spans="14:29">
      <c r="N93" s="3612"/>
      <c r="O93" s="3613"/>
      <c r="P93" s="3613"/>
      <c r="Q93" s="3613"/>
    </row>
    <row r="94" spans="14:29">
      <c r="N94" s="3612"/>
      <c r="O94" s="3613"/>
      <c r="P94" s="3613"/>
      <c r="Q94" s="3613"/>
    </row>
    <row r="95" spans="14:29">
      <c r="N95" s="3612"/>
      <c r="O95" s="3613"/>
      <c r="P95" s="3613"/>
      <c r="Q95" s="3613"/>
    </row>
    <row r="96" spans="14:29">
      <c r="N96" s="3612"/>
      <c r="O96" s="3613"/>
      <c r="P96" s="3613"/>
      <c r="Q96" s="3613"/>
    </row>
    <row r="97" spans="14:17">
      <c r="N97" s="3612"/>
      <c r="O97" s="3613"/>
      <c r="P97" s="3613"/>
      <c r="Q97" s="3613"/>
    </row>
    <row r="98" spans="14:17">
      <c r="N98" s="3612"/>
      <c r="O98" s="3613"/>
      <c r="P98" s="3613"/>
      <c r="Q98" s="3613"/>
    </row>
    <row r="99" spans="14:17">
      <c r="N99" s="3612"/>
      <c r="O99" s="3613"/>
      <c r="P99" s="3613"/>
      <c r="Q99" s="3613"/>
    </row>
    <row r="100" spans="14:17">
      <c r="N100" s="3612"/>
      <c r="O100" s="3613"/>
      <c r="P100" s="3613"/>
      <c r="Q100" s="3613"/>
    </row>
    <row r="101" spans="14:17">
      <c r="N101" s="3612"/>
      <c r="O101" s="3613"/>
      <c r="P101" s="3613"/>
      <c r="Q101" s="3613"/>
    </row>
    <row r="102" spans="14:17">
      <c r="N102" s="3612"/>
      <c r="O102" s="3613"/>
      <c r="P102" s="3613"/>
      <c r="Q102" s="3613"/>
    </row>
    <row r="103" spans="14:17">
      <c r="N103" s="3612"/>
      <c r="O103" s="3613"/>
      <c r="P103" s="3613"/>
      <c r="Q103" s="3613"/>
    </row>
    <row r="104" spans="14:17">
      <c r="N104" s="3612"/>
      <c r="O104" s="3613"/>
      <c r="P104" s="3613"/>
      <c r="Q104" s="3613"/>
    </row>
    <row r="105" spans="14:17">
      <c r="N105" s="3612"/>
      <c r="O105" s="3613"/>
      <c r="P105" s="3613"/>
      <c r="Q105" s="3613"/>
    </row>
    <row r="106" spans="14:17">
      <c r="N106" s="3612"/>
      <c r="O106" s="3613"/>
      <c r="P106" s="3613"/>
      <c r="Q106" s="3613"/>
    </row>
  </sheetData>
  <mergeCells count="18">
    <mergeCell ref="G48:G51"/>
    <mergeCell ref="G52:G55"/>
    <mergeCell ref="G56:G59"/>
    <mergeCell ref="G60:G63"/>
    <mergeCell ref="G64:G67"/>
    <mergeCell ref="G68:G71"/>
    <mergeCell ref="G24:G27"/>
    <mergeCell ref="G28:G31"/>
    <mergeCell ref="G32:G35"/>
    <mergeCell ref="G36:G39"/>
    <mergeCell ref="G40:G43"/>
    <mergeCell ref="G44:G47"/>
    <mergeCell ref="G2:L2"/>
    <mergeCell ref="N2:Q2"/>
    <mergeCell ref="S2:V2"/>
    <mergeCell ref="G12:G15"/>
    <mergeCell ref="G16:G19"/>
    <mergeCell ref="G20:G23"/>
  </mergeCells>
  <phoneticPr fontId="146" type="noConversion"/>
  <pageMargins left="0.7" right="0.7" top="0.75" bottom="0.75" header="0.3" footer="0.3"/>
  <pageSetup paperSize="9" scale="75" orientation="landscape" r:id="rId1"/>
  <rowBreaks count="1" manualBreakCount="1">
    <brk id="47" max="21" man="1"/>
  </rowBreaks>
  <colBreaks count="1" manualBreakCount="1">
    <brk id="22" max="70"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F14" sqref="F14"/>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2592</v>
      </c>
      <c r="B1" s="2502"/>
      <c r="C1" s="162" t="s">
        <v>2593</v>
      </c>
      <c r="D1" s="2503">
        <f>SUM(D29:D30,D33:D39)</f>
        <v>0</v>
      </c>
      <c r="E1" s="2503"/>
      <c r="F1" s="2503"/>
      <c r="G1" s="2503"/>
      <c r="H1" s="2503"/>
      <c r="I1" s="2503"/>
      <c r="J1" s="2503"/>
      <c r="L1" s="2504" t="s">
        <v>2594</v>
      </c>
      <c r="M1" s="1119">
        <f>SUMPRODUCT((区片价!B5:B9=I2)*(区片价!C3:F3=E2)*(区片价!C5:F9))</f>
        <v>0</v>
      </c>
      <c r="N1" s="1122">
        <f>SUMPRODUCT((因素修正幅度!B5:B9=I2)*(因素修正幅度!C3:F3=E2)*(因素修正幅度!C5:F9))</f>
        <v>0</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4.75">
      <c r="A2" s="165" t="s">
        <v>2600</v>
      </c>
      <c r="B2" s="168">
        <f ca="1">C26</f>
        <v>0</v>
      </c>
      <c r="C2" s="2506" t="s">
        <v>2601</v>
      </c>
      <c r="D2" s="2507" t="s">
        <v>2602</v>
      </c>
      <c r="E2" s="2508" t="s">
        <v>3088</v>
      </c>
      <c r="F2" s="2507" t="s">
        <v>2603</v>
      </c>
      <c r="G2" s="2509" t="str">
        <f>项目基本情况!F9</f>
        <v>三级</v>
      </c>
      <c r="H2" s="2510" t="s">
        <v>2604</v>
      </c>
      <c r="I2" s="2509" t="str">
        <f>项目基本情况!F10</f>
        <v>Ⅲ—12</v>
      </c>
      <c r="J2" s="2511"/>
      <c r="L2" s="2512" t="s">
        <v>2605</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0</v>
      </c>
      <c r="U2" s="1710"/>
      <c r="V2" s="1709">
        <f ca="1">ROUND(T2*U2/10000,0)</f>
        <v>0</v>
      </c>
      <c r="W2" s="1713"/>
      <c r="X2" s="1713"/>
      <c r="Y2" s="1713"/>
      <c r="Z2" s="1713"/>
      <c r="AA2" s="1713"/>
      <c r="AB2" s="1713"/>
      <c r="AC2" s="1714"/>
      <c r="AD2" s="1715"/>
      <c r="AE2" s="1715"/>
      <c r="AF2" s="1715"/>
      <c r="AG2" s="1715"/>
      <c r="AH2" s="1715"/>
      <c r="AI2" s="1715"/>
      <c r="AJ2" s="1716"/>
    </row>
    <row r="3" spans="1:36" ht="25.5">
      <c r="A3" s="167" t="s">
        <v>2606</v>
      </c>
      <c r="B3" s="168" t="e">
        <f ca="1">ROUND(B2/D1,0)</f>
        <v>#DIV/0!</v>
      </c>
      <c r="C3" s="2506" t="s">
        <v>2607</v>
      </c>
      <c r="D3" s="2507" t="s">
        <v>2608</v>
      </c>
      <c r="E3" s="2513" t="s">
        <v>3340</v>
      </c>
      <c r="F3" s="2514" t="s">
        <v>2609</v>
      </c>
      <c r="G3" s="941">
        <f>项目基本情况!C15</f>
        <v>6.4</v>
      </c>
      <c r="H3" s="115" t="s">
        <v>2610</v>
      </c>
      <c r="I3" s="974">
        <v>7</v>
      </c>
      <c r="J3" s="2511" t="s">
        <v>2611</v>
      </c>
      <c r="L3" s="2512" t="s">
        <v>2612</v>
      </c>
      <c r="M3" s="1120">
        <f>SUMPRODUCT((区片价!B29:B48=I2)*(区片价!C3:F3=E2)*(区片价!C29:F48))</f>
        <v>18890</v>
      </c>
      <c r="N3" s="1123">
        <f>SUMPRODUCT((因素修正幅度!B29:B48=I2)*(因素修正幅度!C3:F3=E2)*(因素修正幅度!C29:F48))</f>
        <v>9.9000000000000005E-2</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65"/>
      <c r="B4" s="3066"/>
      <c r="C4" s="3066"/>
      <c r="D4" s="3067"/>
      <c r="E4" s="3067"/>
      <c r="F4" s="3067"/>
      <c r="G4" s="3067"/>
      <c r="H4" s="3067"/>
      <c r="I4" s="3067"/>
      <c r="J4" s="3068"/>
      <c r="L4" s="2512" t="s">
        <v>2613</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0</v>
      </c>
      <c r="U4" s="1710"/>
      <c r="V4" s="1709">
        <f t="shared" ca="1" si="1"/>
        <v>0</v>
      </c>
      <c r="W4" s="1713"/>
      <c r="X4" s="1713"/>
      <c r="Y4" s="1713"/>
      <c r="Z4" s="1713"/>
      <c r="AA4" s="1713"/>
      <c r="AB4" s="1713"/>
      <c r="AC4" s="1714"/>
      <c r="AD4" s="1715"/>
      <c r="AE4" s="1715"/>
      <c r="AF4" s="1715"/>
      <c r="AG4" s="1715"/>
      <c r="AH4" s="1715"/>
      <c r="AI4" s="1715"/>
      <c r="AJ4" s="1716"/>
    </row>
    <row r="5" spans="1:36" s="2524" customFormat="1" ht="15.75" thickBot="1">
      <c r="A5" s="2515" t="s">
        <v>2614</v>
      </c>
      <c r="B5" s="2516" t="s">
        <v>2615</v>
      </c>
      <c r="C5" s="942">
        <f>ROUND(IF(E2="商业",IF(F16="增加",C6*C7+C16,C6*C7-C16),IF(E2="住宅",IF(F16="增加",C6*C12+C16,C6*C12-C16),IF(F16="增加",C6+C16,C6-C16))),0)</f>
        <v>22857</v>
      </c>
      <c r="D5" s="1877">
        <f>ROUND(IF(E2="商业",IF(F16="增加",C6+C16,C6-C16)),0)</f>
        <v>0</v>
      </c>
      <c r="E5" s="2517"/>
      <c r="F5" s="2517"/>
      <c r="G5" s="2518"/>
      <c r="H5" s="2518"/>
      <c r="I5" s="2518"/>
      <c r="J5" s="2519"/>
      <c r="K5" s="2520"/>
      <c r="L5" s="2512" t="s">
        <v>2616</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0</v>
      </c>
      <c r="U5" s="1710"/>
      <c r="V5" s="1709">
        <f t="shared" ca="1" si="1"/>
        <v>0</v>
      </c>
      <c r="W5" s="1713"/>
      <c r="X5" s="1713"/>
      <c r="Y5" s="1713"/>
      <c r="Z5" s="1713"/>
      <c r="AA5" s="1713"/>
      <c r="AB5" s="1713"/>
      <c r="AC5" s="2521"/>
      <c r="AD5" s="2522"/>
      <c r="AE5" s="2522"/>
      <c r="AF5" s="2522"/>
      <c r="AG5" s="2522"/>
      <c r="AH5" s="2522"/>
      <c r="AI5" s="2522"/>
      <c r="AJ5" s="2523"/>
    </row>
    <row r="6" spans="1:36" ht="15.75" thickBot="1">
      <c r="A6" s="2525">
        <v>1</v>
      </c>
      <c r="B6" s="2526" t="s">
        <v>2617</v>
      </c>
      <c r="C6" s="943">
        <f>SUMIF(L1:L12,G2,M1:M12)</f>
        <v>18890</v>
      </c>
      <c r="D6" s="2527" t="s">
        <v>2618</v>
      </c>
      <c r="E6" s="2528"/>
      <c r="F6" s="2528"/>
      <c r="G6" s="2529"/>
      <c r="H6" s="2529"/>
      <c r="I6" s="2529"/>
      <c r="J6" s="2530"/>
      <c r="K6" s="2531"/>
      <c r="L6" s="2512" t="s">
        <v>2619</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0</v>
      </c>
      <c r="U6" s="1710"/>
      <c r="V6" s="1709">
        <f t="shared" ca="1" si="1"/>
        <v>0</v>
      </c>
      <c r="W6" s="1713"/>
      <c r="X6" s="1713"/>
      <c r="Y6" s="1713"/>
      <c r="Z6" s="1713"/>
      <c r="AA6" s="1713"/>
      <c r="AB6" s="1713"/>
      <c r="AC6" s="2521"/>
      <c r="AD6" s="2522"/>
      <c r="AE6" s="2522"/>
      <c r="AF6" s="2522"/>
      <c r="AG6" s="2522"/>
      <c r="AH6" s="2522"/>
      <c r="AI6" s="2522"/>
      <c r="AJ6" s="2523"/>
    </row>
    <row r="7" spans="1:36" ht="24">
      <c r="A7" s="3049" t="str">
        <f>IF(E2="商业",IF(C8="不临58条商业街","",2),"")</f>
        <v/>
      </c>
      <c r="B7" s="2532" t="s">
        <v>2620</v>
      </c>
      <c r="C7" s="944" t="e">
        <f>IF(C8="不临58条商业街",1,ROUND(1+(1.6*E8+1.2*E9+0.8*E10+0.4*E11)*C9,4))</f>
        <v>#DIV/0!</v>
      </c>
      <c r="D7" s="2533" t="s">
        <v>2621</v>
      </c>
      <c r="E7" s="975"/>
      <c r="F7" s="2534"/>
      <c r="G7" s="2535"/>
      <c r="H7" s="2535"/>
      <c r="I7" s="2535"/>
      <c r="J7" s="2536"/>
      <c r="K7" s="2531"/>
      <c r="L7" s="2512" t="s">
        <v>2622</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0</v>
      </c>
      <c r="U7" s="1710"/>
      <c r="V7" s="1709">
        <f t="shared" ca="1" si="1"/>
        <v>0</v>
      </c>
      <c r="W7" s="1905" t="s">
        <v>2623</v>
      </c>
      <c r="X7" s="1711" t="str">
        <f>G2</f>
        <v>三级</v>
      </c>
      <c r="Y7" s="1711" t="s">
        <v>2624</v>
      </c>
      <c r="Z7" s="1712">
        <f>G3</f>
        <v>6.4</v>
      </c>
      <c r="AA7" s="1713"/>
      <c r="AB7" s="1713"/>
      <c r="AC7" s="1714"/>
      <c r="AD7" s="1715"/>
      <c r="AE7" s="1715"/>
      <c r="AF7" s="1715"/>
      <c r="AG7" s="1715"/>
      <c r="AH7" s="1715"/>
      <c r="AI7" s="1715"/>
      <c r="AJ7" s="1716"/>
    </row>
    <row r="8" spans="1:36" ht="15">
      <c r="A8" s="3050"/>
      <c r="B8" s="115" t="s">
        <v>2625</v>
      </c>
      <c r="C8" s="2537"/>
      <c r="D8" s="945" t="s">
        <v>89</v>
      </c>
      <c r="E8" s="946" t="e">
        <f>ROUND(C11/E7,4)</f>
        <v>#DIV/0!</v>
      </c>
      <c r="F8" s="2538" t="s">
        <v>2626</v>
      </c>
      <c r="G8" s="2539"/>
      <c r="H8" s="2539"/>
      <c r="I8" s="2539"/>
      <c r="J8" s="2540"/>
      <c r="L8" s="2512"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62" t="s">
        <v>2628</v>
      </c>
      <c r="X8" s="3063"/>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050"/>
      <c r="B9" s="115" t="s">
        <v>2641</v>
      </c>
      <c r="C9" s="947">
        <f>SUMIF(修正!C59:C119,C8,修正!E59:E119)</f>
        <v>0</v>
      </c>
      <c r="D9" s="117" t="s">
        <v>90</v>
      </c>
      <c r="E9" s="117" t="e">
        <f>ROUND(C11/E7,4)</f>
        <v>#DIV/0!</v>
      </c>
      <c r="F9" s="2538" t="s">
        <v>2642</v>
      </c>
      <c r="G9" s="2539"/>
      <c r="H9" s="2539"/>
      <c r="I9" s="2539"/>
      <c r="J9" s="2540"/>
      <c r="L9" s="2512"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64"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0"/>
      <c r="B10" s="115" t="s">
        <v>2646</v>
      </c>
      <c r="C10" s="117">
        <f>SUMIF(修正!C59:C119,C8,修正!F59:F119)</f>
        <v>0</v>
      </c>
      <c r="D10" s="117" t="s">
        <v>91</v>
      </c>
      <c r="E10" s="117" t="e">
        <f>ROUND(C11/E7,4)</f>
        <v>#DIV/0!</v>
      </c>
      <c r="F10" s="2538" t="s">
        <v>2647</v>
      </c>
      <c r="G10" s="2539"/>
      <c r="H10" s="2539"/>
      <c r="I10" s="2539"/>
      <c r="J10" s="2540"/>
      <c r="L10" s="2512"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6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0"/>
      <c r="B11" s="2541" t="s">
        <v>2649</v>
      </c>
      <c r="C11" s="948">
        <f>C10/4</f>
        <v>0</v>
      </c>
      <c r="D11" s="948" t="s">
        <v>92</v>
      </c>
      <c r="E11" s="948" t="e">
        <f>ROUND(C11/E7,4)</f>
        <v>#DIV/0!</v>
      </c>
      <c r="F11" s="2542" t="s">
        <v>2650</v>
      </c>
      <c r="G11" s="2543"/>
      <c r="H11" s="2543"/>
      <c r="I11" s="2543"/>
      <c r="J11" s="2544"/>
      <c r="L11" s="2512"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64" t="s">
        <v>2652</v>
      </c>
      <c r="X11" s="1722" t="s">
        <v>2653</v>
      </c>
      <c r="Y11" s="1723">
        <f>$G$3</f>
        <v>6.4</v>
      </c>
      <c r="Z11" s="1723">
        <f t="shared" ref="Z11:AJ11" si="3">$G$3</f>
        <v>6.4</v>
      </c>
      <c r="AA11" s="1723">
        <f t="shared" si="3"/>
        <v>6.4</v>
      </c>
      <c r="AB11" s="1723">
        <f t="shared" si="3"/>
        <v>6.4</v>
      </c>
      <c r="AC11" s="1723">
        <f t="shared" si="3"/>
        <v>6.4</v>
      </c>
      <c r="AD11" s="1723">
        <f t="shared" si="3"/>
        <v>6.4</v>
      </c>
      <c r="AE11" s="1723">
        <f t="shared" si="3"/>
        <v>6.4</v>
      </c>
      <c r="AF11" s="1723">
        <f t="shared" si="3"/>
        <v>6.4</v>
      </c>
      <c r="AG11" s="1723">
        <f t="shared" si="3"/>
        <v>6.4</v>
      </c>
      <c r="AH11" s="1723">
        <f t="shared" si="3"/>
        <v>6.4</v>
      </c>
      <c r="AI11" s="1723">
        <f t="shared" si="3"/>
        <v>6.4</v>
      </c>
      <c r="AJ11" s="1723">
        <f t="shared" si="3"/>
        <v>6.4</v>
      </c>
    </row>
    <row r="12" spans="1:36" ht="25.5" thickBot="1">
      <c r="A12" s="3049">
        <f>IF(E2="住宅",2,"")</f>
        <v>2</v>
      </c>
      <c r="B12" s="2545" t="s">
        <v>2654</v>
      </c>
      <c r="C12" s="944">
        <f>ROUND(C15*D15*E15*F15*G15*H15*I15*J15,4)</f>
        <v>1.21</v>
      </c>
      <c r="D12" s="2546" t="s">
        <v>2655</v>
      </c>
      <c r="E12" s="2547"/>
      <c r="F12" s="2547"/>
      <c r="G12" s="2548"/>
      <c r="H12" s="2548"/>
      <c r="I12" s="2548"/>
      <c r="J12" s="2549"/>
      <c r="L12" s="2550"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64"/>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9"/>
      <c r="B13" s="2551" t="s">
        <v>2658</v>
      </c>
      <c r="C13" s="2552" t="s">
        <v>2659</v>
      </c>
      <c r="D13" s="2553" t="s">
        <v>2660</v>
      </c>
      <c r="E13" s="2553" t="s">
        <v>2661</v>
      </c>
      <c r="F13" s="20" t="s">
        <v>2662</v>
      </c>
      <c r="G13" s="2554" t="s">
        <v>2663</v>
      </c>
      <c r="H13" s="2554" t="s">
        <v>2663</v>
      </c>
      <c r="I13" s="2554" t="s">
        <v>2663</v>
      </c>
      <c r="J13" s="2555" t="s">
        <v>2663</v>
      </c>
      <c r="L13" s="1462"/>
      <c r="M13" s="1462"/>
      <c r="N13" s="1462"/>
      <c r="O13" s="1462"/>
      <c r="P13" s="1462"/>
      <c r="Q13" s="1462"/>
      <c r="R13" s="1709">
        <v>12</v>
      </c>
      <c r="S13" s="1710"/>
      <c r="T13" s="1709">
        <f t="shared" ca="1" si="0"/>
        <v>0</v>
      </c>
      <c r="U13" s="1710"/>
      <c r="V13" s="1709">
        <f t="shared" ca="1" si="1"/>
        <v>0</v>
      </c>
      <c r="W13" s="3064"/>
      <c r="X13" s="1724"/>
      <c r="Y13" s="1721">
        <f>(-0.163*(Y12^2)-0.59*Y12+7617)*(10^(-4))/Y11</f>
        <v>0.119015625</v>
      </c>
      <c r="Z13" s="1721">
        <f t="shared" ref="Z13:AJ13" si="5">(-0.163*(Z12^2)-0.59*Z12+7617)*(10^(-4))/Z11</f>
        <v>0.119015625</v>
      </c>
      <c r="AA13" s="1721">
        <f t="shared" si="5"/>
        <v>0.119015625</v>
      </c>
      <c r="AB13" s="1721">
        <f t="shared" si="5"/>
        <v>0.119015625</v>
      </c>
      <c r="AC13" s="1721">
        <f t="shared" si="5"/>
        <v>0.119015625</v>
      </c>
      <c r="AD13" s="1721">
        <f t="shared" si="5"/>
        <v>0.119015625</v>
      </c>
      <c r="AE13" s="1721">
        <f t="shared" si="5"/>
        <v>0.119015625</v>
      </c>
      <c r="AF13" s="1721">
        <f t="shared" si="5"/>
        <v>0.119015625</v>
      </c>
      <c r="AG13" s="1721">
        <f t="shared" si="5"/>
        <v>0.119015625</v>
      </c>
      <c r="AH13" s="1721">
        <f t="shared" si="5"/>
        <v>0.119015625</v>
      </c>
      <c r="AI13" s="1721">
        <f t="shared" si="5"/>
        <v>0.119015625</v>
      </c>
      <c r="AJ13" s="1721">
        <f t="shared" si="5"/>
        <v>0.119015625</v>
      </c>
    </row>
    <row r="14" spans="1:36" ht="15">
      <c r="A14" s="3069"/>
      <c r="B14" s="2556"/>
      <c r="C14" s="2557" t="s">
        <v>2664</v>
      </c>
      <c r="D14" s="2558" t="s">
        <v>3341</v>
      </c>
      <c r="E14" s="2558" t="s">
        <v>2665</v>
      </c>
      <c r="F14" s="2559" t="s">
        <v>3342</v>
      </c>
      <c r="G14" s="2560" t="s">
        <v>2666</v>
      </c>
      <c r="H14" s="2561"/>
      <c r="I14" s="2562"/>
      <c r="J14" s="2563"/>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70"/>
      <c r="B15" s="2564" t="s">
        <v>2667</v>
      </c>
      <c r="C15" s="150">
        <f>IF(C14="有",1.1,1)</f>
        <v>1.1000000000000001</v>
      </c>
      <c r="D15" s="150">
        <f>IF(D14="有",1.1,1)</f>
        <v>1.1000000000000001</v>
      </c>
      <c r="E15" s="150">
        <f>IF(E14="有",1.1,1)</f>
        <v>1</v>
      </c>
      <c r="F15" s="150">
        <f>IF(F14="500米范围内",1.2,IF(F14="500-1000米",1.1,1))</f>
        <v>1</v>
      </c>
      <c r="G15" s="976">
        <v>1</v>
      </c>
      <c r="H15" s="976">
        <v>1</v>
      </c>
      <c r="I15" s="976">
        <v>1</v>
      </c>
      <c r="J15" s="977">
        <v>1</v>
      </c>
      <c r="L15" s="2565" t="s">
        <v>2668</v>
      </c>
      <c r="M15" s="945" t="s">
        <v>2669</v>
      </c>
      <c r="N15" s="945" t="s">
        <v>2670</v>
      </c>
      <c r="O15" s="945" t="s">
        <v>2671</v>
      </c>
      <c r="P15" s="2566" t="s">
        <v>2672</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49">
        <f>IF(E2="办公",2,IF(E2="工业",2,IF(E2="住宅",3,IF(E2="商业",IF(C8="不临58条商业街",2,3)))))</f>
        <v>3</v>
      </c>
      <c r="B16" s="2532" t="s">
        <v>2673</v>
      </c>
      <c r="C16" s="1885">
        <f>ROUND(SUM(G17:J17)/C17,0)</f>
        <v>0</v>
      </c>
      <c r="D16" s="2567" t="s">
        <v>2674</v>
      </c>
      <c r="E16" s="2568"/>
      <c r="F16" s="2569"/>
      <c r="G16" s="2570"/>
      <c r="H16" s="2570"/>
      <c r="I16" s="2570"/>
      <c r="J16" s="2571"/>
      <c r="L16" s="1460" t="s">
        <v>2675</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50"/>
      <c r="B17" s="2572" t="s">
        <v>2676</v>
      </c>
      <c r="C17" s="949">
        <f>SUMPRODUCT((修正!A2:A5=E2)*(修正!B1:M1=G2)*(修正!B2:M5))</f>
        <v>2.5</v>
      </c>
      <c r="D17" s="2573" t="s">
        <v>2677</v>
      </c>
      <c r="E17" s="948" t="str">
        <f>IF(OR(G2="八级",G2="九级",G2="十级",G2="十一级",G2="十二级"),"五通一平","七通一平")</f>
        <v>七通一平</v>
      </c>
      <c r="F17" s="949" t="s">
        <v>2678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2679</v>
      </c>
      <c r="M17" s="128">
        <f ca="1">ROUND($E$20*(1+M16),3)</f>
        <v>6.6000000000000003E-2</v>
      </c>
      <c r="N17" s="128">
        <f ca="1">ROUND($E$20*(1+N16),3)</f>
        <v>6.4000000000000001E-2</v>
      </c>
      <c r="O17" s="128">
        <f ca="1">ROUND($E$20*(1+O16),3)</f>
        <v>6.0999999999999999E-2</v>
      </c>
      <c r="P17" s="1465">
        <f ca="1">ROUND($E$20*(1+P16),3)</f>
        <v>5.8000000000000003E-2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2680</v>
      </c>
      <c r="B18" s="2575" t="s">
        <v>2681</v>
      </c>
      <c r="C18" s="951">
        <f>SUMIF(修正!C18:C39,E3,修正!E18:E39)</f>
        <v>1</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2682</v>
      </c>
      <c r="B19" s="2575" t="s">
        <v>2683</v>
      </c>
      <c r="C19" s="952">
        <f>ROUND(IF(H19="按公示增长率计算",SUMPRODUCT((地价!A3:A22=YEAR(G19)&amp;"-"&amp;ROUNDUP(MONTH(G19)/3,0))*(地价!X2:AB2=E2)*(地价!X3:AB22)),IF(H19="地价指数",M20/M19,(1+I19)^O19)),4)</f>
        <v>0</v>
      </c>
      <c r="D19" s="2583" t="s">
        <v>2684</v>
      </c>
      <c r="E19" s="953">
        <v>41640</v>
      </c>
      <c r="F19" s="2583" t="s">
        <v>2685</v>
      </c>
      <c r="G19" s="954">
        <f>'数据-取费表'!B2</f>
        <v>39990</v>
      </c>
      <c r="H19" s="2584" t="s">
        <v>2686</v>
      </c>
      <c r="I19" s="955" t="str">
        <f>IF(H19="季度增幅（自定义）",SUMIF(N21:N24,E2,O21:O24),"")</f>
        <v/>
      </c>
      <c r="J19" s="2580"/>
      <c r="K19" s="2581"/>
      <c r="L19" s="2585" t="s">
        <v>2687</v>
      </c>
      <c r="M19" s="1826">
        <f>ROUND(SUMIF(地价!B2:F2,E2,地价!B22:F22),0)</f>
        <v>423</v>
      </c>
      <c r="N19" s="1466" t="s">
        <v>2688</v>
      </c>
      <c r="O19" s="956" t="e">
        <f>ROUNDDOWN(DATEDIF(E19,G19,"M")/3,0)</f>
        <v>#NUM!</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2689</v>
      </c>
      <c r="B20" s="2590" t="s">
        <v>2690</v>
      </c>
      <c r="C20" s="957">
        <f ca="1">ROUND(POWER(1+G20,J20-I20)*(POWER(1+G20,I20)-1)/(POWER(1+G20,J20)-1),4)</f>
        <v>1</v>
      </c>
      <c r="D20" s="2591" t="s">
        <v>2691</v>
      </c>
      <c r="E20" s="1856">
        <f ca="1">存贷款利率!D4/100</f>
        <v>5.3099999999999994E-2</v>
      </c>
      <c r="F20" s="2591" t="s">
        <v>2679</v>
      </c>
      <c r="G20" s="963">
        <f ca="1">SUMIF(M15:P15,E2,M17:P17)</f>
        <v>6.0999999999999999E-2</v>
      </c>
      <c r="H20" s="2591" t="s">
        <v>2692</v>
      </c>
      <c r="I20" s="964">
        <f>'数据-取费表'!B13</f>
        <v>70</v>
      </c>
      <c r="J20" s="965">
        <f>IF(E2="住宅",70,IF(E2="商业",40,50))</f>
        <v>70</v>
      </c>
      <c r="K20" s="2581"/>
      <c r="L20" s="2592" t="s">
        <v>2693</v>
      </c>
      <c r="M20" s="1827">
        <f>ROUND(SUMPRODUCT((地价!A4:A22=YEAR(G19)&amp;"-"&amp;ROUNDUP(MONTH(G19)/3,0))*(地价!B2:F2=E2)*(地价!B4:F22)),0)</f>
        <v>0</v>
      </c>
      <c r="N20" s="2593" t="s">
        <v>2694</v>
      </c>
      <c r="O20" s="2594" t="s">
        <v>2695</v>
      </c>
      <c r="P20" s="2595" t="s">
        <v>2696</v>
      </c>
      <c r="R20" s="1462"/>
      <c r="S20" s="1462"/>
      <c r="T20" s="1462"/>
      <c r="U20" s="1462"/>
      <c r="V20" s="1462"/>
      <c r="W20" s="1462"/>
      <c r="X20" s="1462"/>
      <c r="Y20" s="1462"/>
      <c r="Z20" s="1462"/>
      <c r="AA20" s="1462"/>
      <c r="AB20" s="1462"/>
      <c r="AC20" s="1462"/>
      <c r="AD20" s="1462"/>
      <c r="AE20" s="2581"/>
      <c r="AF20" s="2581"/>
    </row>
    <row r="21" spans="1:37" s="2524" customFormat="1" ht="14.25">
      <c r="A21" s="2596" t="s">
        <v>2697</v>
      </c>
      <c r="B21" s="2597" t="s">
        <v>2698</v>
      </c>
      <c r="C21" s="966">
        <f>IF(B21="容积率修正",IF(G3&lt;=10,D22,J22),C23)</f>
        <v>0.82689999999999997</v>
      </c>
      <c r="D21" s="2598"/>
      <c r="E21" s="2598"/>
      <c r="F21" s="2598"/>
      <c r="G21" s="2598"/>
      <c r="H21" s="2598"/>
      <c r="I21" s="2598"/>
      <c r="J21" s="2599"/>
      <c r="K21" s="2581"/>
      <c r="N21" s="2600" t="s">
        <v>2699</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2700</v>
      </c>
      <c r="C22" s="1899" t="s">
        <v>2701</v>
      </c>
      <c r="D22" s="1899">
        <f>IF(E22=G22,F22,IF(G3&lt;=10,ROUND(F22+(H22-F22)*(G3-E22)/(G22-E22),4),"——"))</f>
        <v>0.82689999999999997</v>
      </c>
      <c r="E22" s="941">
        <f>ROUNDDOWN(G3,1)</f>
        <v>6.4</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0.82689999999999997</v>
      </c>
      <c r="G22" s="941">
        <f>ROUNDUP(G3,1)</f>
        <v>6.4</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0.82689999999999997</v>
      </c>
      <c r="I22" s="1899" t="s">
        <v>104</v>
      </c>
      <c r="J22" s="967" t="str">
        <f>IF(G3&gt;10,D113,"——")</f>
        <v>——</v>
      </c>
      <c r="K22" s="2581"/>
      <c r="N22" s="2600" t="s">
        <v>2702</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1"/>
      <c r="AF22" s="2581"/>
    </row>
    <row r="23" spans="1:37" ht="27">
      <c r="A23" s="2601">
        <v>2</v>
      </c>
      <c r="B23" s="2602" t="s">
        <v>2703</v>
      </c>
      <c r="C23" s="958">
        <f>ROUND(IF(G3&gt;1,IF(I3&lt;7,SUMPRODUCT((B93:B98=I3)*(C92:N92=G2)*(C93:N98)),SUMIF(C92:N92,G2,C100:N100)),IF(I3&lt;7,SUMPRODUCT((B102:B107=I3)*(C92:N92=G2)*(C102:N107)),SUMIF(C92:N92,G2,C109:N109))),4)</f>
        <v>0.64729999999999999</v>
      </c>
      <c r="D23" s="2561"/>
      <c r="E23" s="2561"/>
      <c r="F23" s="2603"/>
      <c r="G23" s="2604"/>
      <c r="H23" s="2605"/>
      <c r="I23" s="2606"/>
      <c r="J23" s="2607"/>
      <c r="N23" s="2600" t="s">
        <v>2704</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2705</v>
      </c>
      <c r="B24" s="2609" t="s">
        <v>2706</v>
      </c>
      <c r="C24" s="968">
        <f>SUMIF(A46:A88,E2,B46:B88)</f>
        <v>1</v>
      </c>
      <c r="D24" s="2610"/>
      <c r="E24" s="2611"/>
      <c r="F24" s="2611"/>
      <c r="G24" s="2611"/>
      <c r="H24" s="2611"/>
      <c r="I24" s="2611"/>
      <c r="J24" s="2612"/>
      <c r="K24" s="2581"/>
      <c r="N24" s="2613" t="s">
        <v>2707</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1"/>
      <c r="AF24" s="2581"/>
    </row>
    <row r="25" spans="1:37" ht="15" thickBot="1">
      <c r="A25" s="2589" t="s">
        <v>2708</v>
      </c>
      <c r="B25" s="2614" t="s">
        <v>2709</v>
      </c>
      <c r="C25" s="959"/>
      <c r="D25" s="2535"/>
      <c r="E25" s="2535"/>
      <c r="F25" s="2615"/>
      <c r="G25" s="2535"/>
      <c r="H25" s="2535"/>
      <c r="I25" s="2535"/>
      <c r="J25" s="2536"/>
      <c r="L25" s="1462"/>
      <c r="M25" s="1462"/>
      <c r="N25" s="2616" t="s">
        <v>2710</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7"/>
      <c r="B26" s="2602" t="s">
        <v>2711</v>
      </c>
      <c r="C26" s="123">
        <f ca="1">E29+SUM(E33:E39)</f>
        <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2712</v>
      </c>
      <c r="C27" s="960">
        <f ca="1">E30+SUM(I33:I39)</f>
        <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2713</v>
      </c>
      <c r="C28" s="2627" t="s">
        <v>2714</v>
      </c>
      <c r="D28" s="2627" t="s">
        <v>2715</v>
      </c>
      <c r="E28" s="2628" t="s">
        <v>2716</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2717</v>
      </c>
      <c r="C29" s="123">
        <f ca="1">ROUND(C5*C18*C19*C20*C21*C24,0)</f>
        <v>0</v>
      </c>
      <c r="D29" s="2632"/>
      <c r="E29" s="972">
        <f ca="1">ROUND(C29*D29,0)</f>
        <v>0</v>
      </c>
      <c r="F29" s="2633" t="s">
        <v>2718</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2719</v>
      </c>
      <c r="C30" s="150">
        <f ca="1">ROUND(IF(E2="工业",C29*M39,C29*M38),0)</f>
        <v>0</v>
      </c>
      <c r="D30" s="2638"/>
      <c r="E30" s="972">
        <f ca="1">ROUND(C30*D30,0)</f>
        <v>0</v>
      </c>
      <c r="F30" s="2639" t="s">
        <v>2720</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2721</v>
      </c>
      <c r="C31" s="2644" t="s">
        <v>2722</v>
      </c>
      <c r="D31" s="2548"/>
      <c r="E31" s="2644"/>
      <c r="F31" s="2644"/>
      <c r="G31" s="2546" t="s">
        <v>2723</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59" t="s">
        <v>2725</v>
      </c>
      <c r="B33" s="2647" t="s">
        <v>2726</v>
      </c>
      <c r="C33" s="123">
        <f ca="1">ROUND(D5*C19*C20*C24*F33,0)</f>
        <v>0</v>
      </c>
      <c r="D33" s="2632"/>
      <c r="E33" s="117">
        <f t="shared" ref="E33:E39" ca="1" si="6">ROUND(C33*D33,0)</f>
        <v>0</v>
      </c>
      <c r="F33" s="117">
        <f>SUMIF(修正!A45:A56,G2,修正!B45:B56)</f>
        <v>0.7</v>
      </c>
      <c r="G33" s="117">
        <f t="shared" ref="G33" ca="1" si="7">ROUND(IF(E2="工业",C33*$M$39,C33*$M$38),0)</f>
        <v>0</v>
      </c>
      <c r="H33" s="117">
        <f>D33</f>
        <v>0</v>
      </c>
      <c r="I33" s="117">
        <f t="shared" ref="I33:I39" ca="1" si="8">ROUND(G33*H33,0)</f>
        <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0"/>
      <c r="B34" s="2552" t="s">
        <v>2727</v>
      </c>
      <c r="C34" s="123">
        <f ca="1">ROUND(D5*C19*C20*C24*F34,0)</f>
        <v>0</v>
      </c>
      <c r="D34" s="2632"/>
      <c r="E34" s="117">
        <f t="shared" ca="1" si="6"/>
        <v>0</v>
      </c>
      <c r="F34" s="117">
        <f>SUMIF(修正!A45:A56,G2,修正!C45:C56)</f>
        <v>0.4</v>
      </c>
      <c r="G34" s="117">
        <f ca="1">ROUND(IF(E2="工业",C34*$M$39,C34*$M$38),0)</f>
        <v>0</v>
      </c>
      <c r="H34" s="117">
        <f t="shared" ref="H34:H39" si="9">D34</f>
        <v>0</v>
      </c>
      <c r="I34" s="117">
        <f t="shared" ca="1" si="8"/>
        <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0"/>
      <c r="B35" s="2552" t="s">
        <v>2728</v>
      </c>
      <c r="C35" s="123">
        <f ca="1">ROUND(D5*C19*C20*C24*F35,0)</f>
        <v>0</v>
      </c>
      <c r="D35" s="2632"/>
      <c r="E35" s="117">
        <f t="shared" ca="1" si="6"/>
        <v>0</v>
      </c>
      <c r="F35" s="117">
        <f>SUMIF(修正!A45:A56,G2,修正!D45:D56)</f>
        <v>0.28000000000000003</v>
      </c>
      <c r="G35" s="117">
        <f ca="1">ROUND(IF(E2="工业",C35*$M$39,C35*$M$38),0)</f>
        <v>0</v>
      </c>
      <c r="H35" s="117">
        <f t="shared" si="9"/>
        <v>0</v>
      </c>
      <c r="I35" s="117">
        <f t="shared" ca="1" si="8"/>
        <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1"/>
      <c r="B36" s="2552" t="s">
        <v>2729</v>
      </c>
      <c r="C36" s="123">
        <f ca="1">ROUND(D5*C19*C20*C24*F36,0)</f>
        <v>0</v>
      </c>
      <c r="D36" s="2632"/>
      <c r="E36" s="117">
        <f t="shared" ca="1" si="6"/>
        <v>0</v>
      </c>
      <c r="F36" s="117">
        <f>SUMIF(修正!A45:A56,G2,修正!E45:E56)</f>
        <v>0.25</v>
      </c>
      <c r="G36" s="117">
        <f ca="1">ROUND(IF(E2="工业",C36*$M$39,C36*$M$38),0)</f>
        <v>0</v>
      </c>
      <c r="H36" s="117">
        <f t="shared" si="9"/>
        <v>0</v>
      </c>
      <c r="I36" s="117">
        <f t="shared" ca="1" si="8"/>
        <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2730</v>
      </c>
      <c r="C37" s="117">
        <f ca="1">ROUND(C5*C19*C20*C24*F37,0)</f>
        <v>0</v>
      </c>
      <c r="D37" s="2632"/>
      <c r="E37" s="117">
        <f t="shared" ca="1" si="6"/>
        <v>0</v>
      </c>
      <c r="F37" s="123">
        <f>SUMIF(修正!A45:A56,G2,修正!F45:F56)</f>
        <v>0.25</v>
      </c>
      <c r="G37" s="117">
        <f ca="1">ROUND(IF(E2="工业",C37*$M$39,C37*$M$38),0)</f>
        <v>0</v>
      </c>
      <c r="H37" s="117">
        <f t="shared" si="9"/>
        <v>0</v>
      </c>
      <c r="I37" s="117">
        <f t="shared" ca="1" si="8"/>
        <v>0</v>
      </c>
      <c r="J37" s="2648"/>
      <c r="L37" s="2651" t="s">
        <v>2731</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2732</v>
      </c>
      <c r="C38" s="117">
        <f ca="1">ROUND(C5*C19*C20*C24*F38,0)</f>
        <v>0</v>
      </c>
      <c r="D38" s="2632"/>
      <c r="E38" s="117">
        <f t="shared" ca="1" si="6"/>
        <v>0</v>
      </c>
      <c r="F38" s="123">
        <f>SUMIF(修正!A45:A56,G2,修正!G45:G56)</f>
        <v>0.25</v>
      </c>
      <c r="G38" s="117">
        <f ca="1">ROUND(IF(E2="工业",C38*$M$39,C38*$M$38),0)</f>
        <v>0</v>
      </c>
      <c r="H38" s="117">
        <f t="shared" si="9"/>
        <v>0</v>
      </c>
      <c r="I38" s="117">
        <f t="shared" ca="1" si="8"/>
        <v>0</v>
      </c>
      <c r="J38" s="2648"/>
      <c r="L38" s="2652" t="s">
        <v>2733</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2734</v>
      </c>
      <c r="C39" s="150">
        <f ca="1">ROUND(C5*C19*C20*C24*F39,0)</f>
        <v>0</v>
      </c>
      <c r="D39" s="2638"/>
      <c r="E39" s="150">
        <f t="shared" ca="1" si="6"/>
        <v>0</v>
      </c>
      <c r="F39" s="961">
        <f>SUMIF(修正!A45:A56,G2,修正!H45:H56)</f>
        <v>0.2</v>
      </c>
      <c r="G39" s="150">
        <f ca="1">ROUND(IF(E2="工业",C39*$M$39,C39*$M$38),0)</f>
        <v>0</v>
      </c>
      <c r="H39" s="150">
        <f t="shared" si="9"/>
        <v>0</v>
      </c>
      <c r="I39" s="150">
        <f t="shared" ca="1" si="8"/>
        <v>0</v>
      </c>
      <c r="J39" s="2655"/>
      <c r="L39" s="2656" t="s">
        <v>2672</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2735</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2736</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2737</v>
      </c>
      <c r="B47" s="823" t="s">
        <v>2738</v>
      </c>
      <c r="C47" s="823" t="s">
        <v>2739</v>
      </c>
      <c r="D47" s="823" t="s">
        <v>2740</v>
      </c>
      <c r="E47" s="824" t="s">
        <v>2741</v>
      </c>
      <c r="F47" s="2669" t="s">
        <v>2742</v>
      </c>
      <c r="G47" s="823" t="s">
        <v>2743</v>
      </c>
      <c r="H47" s="2670"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2751</v>
      </c>
      <c r="B48" s="2671" t="str">
        <f>估价对象房地状况!C16</f>
        <v>估价对象位于XX商圈，周边商业氛围成熟，人流量大，商业繁华度好</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2752</v>
      </c>
      <c r="B49" s="2672" t="str">
        <f>估价对象房地状况!C18</f>
        <v>估价对象周边有29、34、35路等多条公交线路，综合评价交通便捷度较好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2753</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2754</v>
      </c>
      <c r="B51" s="2673" t="s">
        <v>2755</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2756</v>
      </c>
      <c r="B52" s="2672" t="str">
        <f>估价对象房地状况!C24</f>
        <v>城市支路</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2757</v>
      </c>
      <c r="B53" s="2674" t="s">
        <v>2758</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2759</v>
      </c>
      <c r="B54" s="2676" t="str">
        <f>估价对象房地状况!C21</f>
        <v>估价对象所在区域公共配套设施齐备情况较好</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2760</v>
      </c>
      <c r="B55" s="2672" t="str">
        <f>估价对象房地状况!C22</f>
        <v>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2761</v>
      </c>
      <c r="B56" s="2678" t="str">
        <f>估价对象房地状况!C20</f>
        <v>区域自然环境：龙潭湖公园、通惠河；人文环境；综合评价环境状况一般</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2762</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2737</v>
      </c>
      <c r="B58" s="2672"/>
      <c r="C58" s="823" t="s">
        <v>2739</v>
      </c>
      <c r="D58" s="823" t="s">
        <v>2740</v>
      </c>
      <c r="E58" s="824" t="s">
        <v>2741</v>
      </c>
      <c r="F58" s="2669" t="s">
        <v>2742</v>
      </c>
      <c r="G58" s="823" t="s">
        <v>2763</v>
      </c>
      <c r="H58" s="2670" t="s">
        <v>2764</v>
      </c>
      <c r="I58" s="823" t="s">
        <v>2765</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2766</v>
      </c>
      <c r="B59" s="2671" t="str">
        <f>估价对象房地状况!C17</f>
        <v>估价对象位于XX商圈，周边办公楼项目较多，入驻率高，办公集聚程度较好</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2752</v>
      </c>
      <c r="B60" s="2672" t="str">
        <f>估价对象房地状况!C18</f>
        <v>估价对象周边有29、34、35路等多条公交线路，综合评价交通便捷度较好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2753</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2754</v>
      </c>
      <c r="B62" s="2673" t="s">
        <v>2755</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2756</v>
      </c>
      <c r="B63" s="2672" t="str">
        <f>估价对象房地状况!C24</f>
        <v>城市支路</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2757</v>
      </c>
      <c r="B64" s="2674" t="s">
        <v>2758</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2759</v>
      </c>
      <c r="B65" s="2676" t="str">
        <f>估价对象房地状况!C21</f>
        <v>估价对象所在区域公共配套设施齐备情况较好</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2760</v>
      </c>
      <c r="B66" s="2676" t="str">
        <f>估价对象房地状况!C22</f>
        <v>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2761</v>
      </c>
      <c r="B67" s="2680" t="str">
        <f>估价对象房地状况!C20</f>
        <v>区域自然环境：龙潭湖公园、通惠河；人文环境；综合评价环境状况一般</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2767</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2737</v>
      </c>
      <c r="B69" s="2672"/>
      <c r="C69" s="823" t="s">
        <v>2739</v>
      </c>
      <c r="D69" s="823" t="s">
        <v>2740</v>
      </c>
      <c r="E69" s="824" t="s">
        <v>2741</v>
      </c>
      <c r="F69" s="2669" t="s">
        <v>2742</v>
      </c>
      <c r="G69" s="823" t="s">
        <v>2763</v>
      </c>
      <c r="H69" s="2670" t="s">
        <v>2764</v>
      </c>
      <c r="I69" s="823" t="s">
        <v>2765</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2768</v>
      </c>
      <c r="B70" s="2671" t="str">
        <f>估价对象房地状况!C15</f>
        <v>估价对象周边有劲松二区、广和南里二条、劲松六区等，综合评价居住社区成熟度较好</v>
      </c>
      <c r="C70" s="2558"/>
      <c r="D70" s="1376">
        <f t="shared" ref="D70:D78" si="20">SUMIF($J$69:$N$69,C70,J70:N70)</f>
        <v>0</v>
      </c>
      <c r="E70" s="829">
        <f>ROUND(SUM(D70:D78),4)</f>
        <v>0</v>
      </c>
      <c r="F70" s="2275">
        <f>IF(E2="住宅",SUMIF(L1:L12,G2,N1:N12),"——")</f>
        <v>9.9000000000000005E-2</v>
      </c>
      <c r="G70" s="1377"/>
      <c r="H70" s="1381">
        <f t="shared" ref="H70:H78" si="21">IFERROR(ROUNDDOWN($F$70*I70/2,4),"——")</f>
        <v>6.8999999999999999E-3</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2752</v>
      </c>
      <c r="B71" s="2672" t="str">
        <f>估价对象房地状况!C18</f>
        <v>估价对象周边有29、34、35路等多条公交线路，综合评价交通便捷度较好</v>
      </c>
      <c r="C71" s="2558"/>
      <c r="D71" s="1376">
        <f t="shared" si="20"/>
        <v>0</v>
      </c>
      <c r="E71" s="840"/>
      <c r="F71" s="2681"/>
      <c r="G71" s="1377"/>
      <c r="H71" s="1381">
        <f t="shared" si="21"/>
        <v>1.4800000000000001E-2</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2753</v>
      </c>
      <c r="B72" s="2672">
        <f>估价对象房地状况!C19</f>
        <v>0</v>
      </c>
      <c r="C72" s="2558"/>
      <c r="D72" s="1376">
        <f t="shared" si="20"/>
        <v>0</v>
      </c>
      <c r="E72" s="840"/>
      <c r="F72" s="2681"/>
      <c r="G72" s="1377"/>
      <c r="H72" s="1381">
        <f t="shared" si="21"/>
        <v>3.8999999999999998E-3</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2769</v>
      </c>
      <c r="B73" s="2672" t="str">
        <f>估价对象房地状况!C24</f>
        <v>城市支路</v>
      </c>
      <c r="C73" s="2558"/>
      <c r="D73" s="1376">
        <f t="shared" si="20"/>
        <v>0</v>
      </c>
      <c r="E73" s="840"/>
      <c r="F73" s="2681"/>
      <c r="G73" s="1377"/>
      <c r="H73" s="1381">
        <f t="shared" si="21"/>
        <v>1.9E-3</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2759</v>
      </c>
      <c r="B74" s="2676" t="str">
        <f>估价对象房地状况!C21</f>
        <v>估价对象所在区域公共配套设施齐备情况较好</v>
      </c>
      <c r="C74" s="2558"/>
      <c r="D74" s="1376">
        <f t="shared" si="20"/>
        <v>0</v>
      </c>
      <c r="E74" s="840"/>
      <c r="F74" s="2681"/>
      <c r="G74" s="1377"/>
      <c r="H74" s="1381">
        <f t="shared" si="21"/>
        <v>3.8999999999999998E-3</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2760</v>
      </c>
      <c r="B75" s="2676" t="str">
        <f>估价对象房地状况!C22</f>
        <v>七通</v>
      </c>
      <c r="C75" s="2558"/>
      <c r="D75" s="1376">
        <f t="shared" si="20"/>
        <v>0</v>
      </c>
      <c r="E75" s="840"/>
      <c r="F75" s="2681"/>
      <c r="G75" s="1377"/>
      <c r="H75" s="1381">
        <f t="shared" si="21"/>
        <v>5.8999999999999999E-3</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2757</v>
      </c>
      <c r="B76" s="2674" t="s">
        <v>2758</v>
      </c>
      <c r="C76" s="2558"/>
      <c r="D76" s="1376">
        <f t="shared" si="20"/>
        <v>0</v>
      </c>
      <c r="E76" s="840"/>
      <c r="F76" s="2681"/>
      <c r="G76" s="1377"/>
      <c r="H76" s="1381">
        <f t="shared" si="21"/>
        <v>2.3999999999999998E-3</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2761</v>
      </c>
      <c r="B77" s="2671" t="str">
        <f>估价对象房地状况!C20</f>
        <v>区域自然环境：龙潭湖公园、通惠河；人文环境；综合评价环境状况一般</v>
      </c>
      <c r="C77" s="2558"/>
      <c r="D77" s="1376">
        <f t="shared" si="20"/>
        <v>0</v>
      </c>
      <c r="E77" s="840"/>
      <c r="F77" s="2681"/>
      <c r="G77" s="1377"/>
      <c r="H77" s="1381">
        <f t="shared" si="21"/>
        <v>7.4000000000000003E-3</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2770</v>
      </c>
      <c r="B78" s="2682"/>
      <c r="C78" s="2558"/>
      <c r="D78" s="1376">
        <f t="shared" si="20"/>
        <v>0</v>
      </c>
      <c r="E78" s="841"/>
      <c r="F78" s="2681"/>
      <c r="G78" s="1377"/>
      <c r="H78" s="1381">
        <f t="shared" si="21"/>
        <v>1.9E-3</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2771</v>
      </c>
      <c r="B79" s="2679">
        <f>1+E81</f>
        <v>1</v>
      </c>
      <c r="C79" s="817"/>
      <c r="D79" s="817"/>
      <c r="E79" s="818"/>
      <c r="F79" s="2666"/>
      <c r="G79" s="7"/>
      <c r="H79" s="7"/>
      <c r="I79" s="7"/>
      <c r="J79" s="9"/>
      <c r="K79" s="9"/>
      <c r="L79" s="9"/>
      <c r="M79" s="9"/>
      <c r="N79" s="9"/>
      <c r="Z79" s="2505"/>
      <c r="AA79" s="2582"/>
      <c r="AG79" s="2658"/>
      <c r="AK79" s="2582"/>
    </row>
    <row r="80" spans="1:37" ht="24.75">
      <c r="A80" s="2668" t="s">
        <v>2737</v>
      </c>
      <c r="B80" s="2672"/>
      <c r="C80" s="823" t="s">
        <v>2739</v>
      </c>
      <c r="D80" s="823" t="s">
        <v>2740</v>
      </c>
      <c r="E80" s="824" t="s">
        <v>2741</v>
      </c>
      <c r="F80" s="2669" t="s">
        <v>2742</v>
      </c>
      <c r="G80" s="823" t="s">
        <v>2763</v>
      </c>
      <c r="H80" s="2670" t="s">
        <v>2764</v>
      </c>
      <c r="I80" s="823" t="s">
        <v>2765</v>
      </c>
      <c r="J80" s="587" t="s">
        <v>2398</v>
      </c>
      <c r="K80" s="587" t="s">
        <v>2399</v>
      </c>
      <c r="L80" s="587" t="s">
        <v>2400</v>
      </c>
      <c r="M80" s="587" t="s">
        <v>2401</v>
      </c>
      <c r="N80" s="587" t="s">
        <v>2402</v>
      </c>
      <c r="Z80" s="2505"/>
      <c r="AA80" s="2582"/>
      <c r="AG80" s="2658"/>
      <c r="AK80" s="2582"/>
    </row>
    <row r="81" spans="1:37" ht="38.25">
      <c r="A81" s="2668" t="s">
        <v>2772</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2752</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2753</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2769</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2759</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2760</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2757</v>
      </c>
      <c r="B87" s="2674" t="s">
        <v>2758</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2773</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51" t="s">
        <v>2774</v>
      </c>
      <c r="B90" s="3051"/>
      <c r="C90" s="3051"/>
      <c r="D90" s="3051"/>
      <c r="E90" s="3051"/>
      <c r="F90" s="3051"/>
      <c r="G90" s="3051"/>
      <c r="H90" s="3051"/>
      <c r="I90" s="3051"/>
      <c r="J90" s="3051"/>
      <c r="K90" s="2685"/>
      <c r="L90" s="2685"/>
      <c r="M90" s="2685"/>
      <c r="N90" s="2685"/>
    </row>
    <row r="91" spans="1:37">
      <c r="A91" s="3053" t="s">
        <v>2775</v>
      </c>
      <c r="B91" s="3053" t="s">
        <v>2776</v>
      </c>
      <c r="C91" s="2633" t="s">
        <v>2777</v>
      </c>
      <c r="D91" s="2634"/>
      <c r="E91" s="2634"/>
      <c r="F91" s="2634"/>
      <c r="G91" s="2634"/>
      <c r="H91" s="2634"/>
      <c r="I91" s="2634"/>
      <c r="J91" s="2686"/>
      <c r="K91" s="2687"/>
      <c r="L91" s="2687"/>
      <c r="M91" s="2687"/>
      <c r="N91" s="2687"/>
    </row>
    <row r="92" spans="1:37">
      <c r="A92" s="3053"/>
      <c r="B92" s="3053"/>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54" t="s">
        <v>2778</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55"/>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55"/>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55"/>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55"/>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55"/>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55"/>
      <c r="B99" s="2688" t="s">
        <v>2645</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56"/>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54" t="s">
        <v>2779</v>
      </c>
      <c r="B101" s="2692" t="s">
        <v>2780</v>
      </c>
      <c r="C101" s="2693">
        <f>$G$3</f>
        <v>6.4</v>
      </c>
      <c r="D101" s="2693">
        <f t="shared" ref="D101:N101" si="31">$G$3</f>
        <v>6.4</v>
      </c>
      <c r="E101" s="2693">
        <f t="shared" si="31"/>
        <v>6.4</v>
      </c>
      <c r="F101" s="2693">
        <f t="shared" si="31"/>
        <v>6.4</v>
      </c>
      <c r="G101" s="2693">
        <f t="shared" si="31"/>
        <v>6.4</v>
      </c>
      <c r="H101" s="2693">
        <f t="shared" si="31"/>
        <v>6.4</v>
      </c>
      <c r="I101" s="2693">
        <f t="shared" si="31"/>
        <v>6.4</v>
      </c>
      <c r="J101" s="2693">
        <f t="shared" si="31"/>
        <v>6.4</v>
      </c>
      <c r="K101" s="2693">
        <f t="shared" si="31"/>
        <v>6.4</v>
      </c>
      <c r="L101" s="2693">
        <f t="shared" si="31"/>
        <v>6.4</v>
      </c>
      <c r="M101" s="2693">
        <f t="shared" si="31"/>
        <v>6.4</v>
      </c>
      <c r="N101" s="2693">
        <f t="shared" si="31"/>
        <v>6.4</v>
      </c>
    </row>
    <row r="102" spans="1:14">
      <c r="A102" s="3055"/>
      <c r="B102" s="2688">
        <v>1</v>
      </c>
      <c r="C102" s="2689">
        <f>1.9362/C101</f>
        <v>0.30253124999999997</v>
      </c>
      <c r="D102" s="2689">
        <f>1.9362/D101</f>
        <v>0.30253124999999997</v>
      </c>
      <c r="E102" s="2689">
        <f>1.8629/E101</f>
        <v>0.29107812499999997</v>
      </c>
      <c r="F102" s="2689">
        <f>1.8629/F101</f>
        <v>0.29107812499999997</v>
      </c>
      <c r="G102" s="2689">
        <f>1.8629/G101</f>
        <v>0.29107812499999997</v>
      </c>
      <c r="H102" s="2689">
        <f>1.8629/H101</f>
        <v>0.29107812499999997</v>
      </c>
      <c r="I102" s="2689">
        <f>1.8629/I101</f>
        <v>0.29107812499999997</v>
      </c>
      <c r="J102" s="2689">
        <f>1.942/J101</f>
        <v>0.30343749999999997</v>
      </c>
      <c r="K102" s="2689">
        <f>1.942/K101</f>
        <v>0.30343749999999997</v>
      </c>
      <c r="L102" s="2689">
        <f>1.942/L101</f>
        <v>0.30343749999999997</v>
      </c>
      <c r="M102" s="2689">
        <f>1.942/M101</f>
        <v>0.30343749999999997</v>
      </c>
      <c r="N102" s="2689">
        <f>1.942/N101</f>
        <v>0.30343749999999997</v>
      </c>
    </row>
    <row r="103" spans="1:14">
      <c r="A103" s="3055"/>
      <c r="B103" s="2688">
        <v>2</v>
      </c>
      <c r="C103" s="2689">
        <f>1.4198/C101</f>
        <v>0.22184374999999998</v>
      </c>
      <c r="D103" s="2689">
        <f>1.4198/D101</f>
        <v>0.22184374999999998</v>
      </c>
      <c r="E103" s="2689">
        <f>1.3372/E101</f>
        <v>0.20893749999999997</v>
      </c>
      <c r="F103" s="2689">
        <f>1.3372/F101</f>
        <v>0.20893749999999997</v>
      </c>
      <c r="G103" s="2689">
        <f>1.3372/G101</f>
        <v>0.20893749999999997</v>
      </c>
      <c r="H103" s="2689">
        <f>1.3372/H101</f>
        <v>0.20893749999999997</v>
      </c>
      <c r="I103" s="2689">
        <f>1.3372/I101</f>
        <v>0.20893749999999997</v>
      </c>
      <c r="J103" s="2689">
        <f>1.2799/J101</f>
        <v>0.19998437499999999</v>
      </c>
      <c r="K103" s="2689">
        <f>1.2799/K101</f>
        <v>0.19998437499999999</v>
      </c>
      <c r="L103" s="2689">
        <f>1.2799/L101</f>
        <v>0.19998437499999999</v>
      </c>
      <c r="M103" s="2689">
        <f>1.2799/M101</f>
        <v>0.19998437499999999</v>
      </c>
      <c r="N103" s="2689">
        <f>1.2799/N101</f>
        <v>0.19998437499999999</v>
      </c>
    </row>
    <row r="104" spans="1:14">
      <c r="A104" s="3055"/>
      <c r="B104" s="2688">
        <v>3</v>
      </c>
      <c r="C104" s="2689">
        <f>1.1594/C101</f>
        <v>0.18115624999999999</v>
      </c>
      <c r="D104" s="2689">
        <f>1.1594/D101</f>
        <v>0.18115624999999999</v>
      </c>
      <c r="E104" s="2689">
        <f>1.0788/E101</f>
        <v>0.16856249999999998</v>
      </c>
      <c r="F104" s="2689">
        <f>1.0788/F101</f>
        <v>0.16856249999999998</v>
      </c>
      <c r="G104" s="2689">
        <f>1.0788/G101</f>
        <v>0.16856249999999998</v>
      </c>
      <c r="H104" s="2689">
        <f>1.0788/H101</f>
        <v>0.16856249999999998</v>
      </c>
      <c r="I104" s="2689">
        <f>1.0788/I101</f>
        <v>0.16856249999999998</v>
      </c>
      <c r="J104" s="2689">
        <f>1.0072/J101</f>
        <v>0.15737500000000001</v>
      </c>
      <c r="K104" s="2689">
        <f>1.0072/K101</f>
        <v>0.15737500000000001</v>
      </c>
      <c r="L104" s="2689">
        <f>1.0072/L101</f>
        <v>0.15737500000000001</v>
      </c>
      <c r="M104" s="2689">
        <f>1.0072/M101</f>
        <v>0.15737500000000001</v>
      </c>
      <c r="N104" s="2689">
        <f>1.0072/N101</f>
        <v>0.15737500000000001</v>
      </c>
    </row>
    <row r="105" spans="1:14">
      <c r="A105" s="3055"/>
      <c r="B105" s="2688">
        <v>4</v>
      </c>
      <c r="C105" s="2689">
        <f>0.9622/C101</f>
        <v>0.15034375</v>
      </c>
      <c r="D105" s="2689">
        <f>0.9622/D101</f>
        <v>0.15034375</v>
      </c>
      <c r="E105" s="2689">
        <f>0.8656/E101</f>
        <v>0.13525000000000001</v>
      </c>
      <c r="F105" s="2689">
        <f>0.8656/F101</f>
        <v>0.13525000000000001</v>
      </c>
      <c r="G105" s="2689">
        <f>0.8656/G101</f>
        <v>0.13525000000000001</v>
      </c>
      <c r="H105" s="2689">
        <f>0.8656/H101</f>
        <v>0.13525000000000001</v>
      </c>
      <c r="I105" s="2689">
        <f>0.8656/I101</f>
        <v>0.13525000000000001</v>
      </c>
      <c r="J105" s="2689">
        <f>0.7525/J101</f>
        <v>0.11757812499999999</v>
      </c>
      <c r="K105" s="2689">
        <f>0.7525/K101</f>
        <v>0.11757812499999999</v>
      </c>
      <c r="L105" s="2689">
        <f>0.7525/L101</f>
        <v>0.11757812499999999</v>
      </c>
      <c r="M105" s="2689">
        <f>0.7525/M101</f>
        <v>0.11757812499999999</v>
      </c>
      <c r="N105" s="2689">
        <f>0.7525/N101</f>
        <v>0.11757812499999999</v>
      </c>
    </row>
    <row r="106" spans="1:14">
      <c r="A106" s="3055"/>
      <c r="B106" s="2688">
        <v>5</v>
      </c>
      <c r="C106" s="2689">
        <f>0.8417/C101</f>
        <v>0.131515625</v>
      </c>
      <c r="D106" s="2689">
        <f>0.8417/D101</f>
        <v>0.131515625</v>
      </c>
      <c r="E106" s="2689">
        <f>0.7371/E101</f>
        <v>0.11517187499999999</v>
      </c>
      <c r="F106" s="2689">
        <f>0.7371/F101</f>
        <v>0.11517187499999999</v>
      </c>
      <c r="G106" s="2689">
        <f>0.7371/G101</f>
        <v>0.11517187499999999</v>
      </c>
      <c r="H106" s="2689">
        <f>0.7371/H101</f>
        <v>0.11517187499999999</v>
      </c>
      <c r="I106" s="2689">
        <f>0.7371/I101</f>
        <v>0.11517187499999999</v>
      </c>
      <c r="J106" s="2689">
        <f>0.5659/J101</f>
        <v>8.8421874999999983E-2</v>
      </c>
      <c r="K106" s="2689">
        <f>0.5659/K101</f>
        <v>8.8421874999999983E-2</v>
      </c>
      <c r="L106" s="2689">
        <f>0.5659/L101</f>
        <v>8.8421874999999983E-2</v>
      </c>
      <c r="M106" s="2689">
        <f>0.5659/M101</f>
        <v>8.8421874999999983E-2</v>
      </c>
      <c r="N106" s="2689">
        <f>0.5659/N101</f>
        <v>8.8421874999999983E-2</v>
      </c>
    </row>
    <row r="107" spans="1:14">
      <c r="A107" s="3055"/>
      <c r="B107" s="2688">
        <v>6</v>
      </c>
      <c r="C107" s="2689">
        <f>0.7608/C101</f>
        <v>0.11887499999999999</v>
      </c>
      <c r="D107" s="2689">
        <f>0.7608/D101</f>
        <v>0.11887499999999999</v>
      </c>
      <c r="E107" s="2689">
        <f>0.6482/E101</f>
        <v>0.10128124999999999</v>
      </c>
      <c r="F107" s="2689">
        <f>0.6482/F101</f>
        <v>0.10128124999999999</v>
      </c>
      <c r="G107" s="2689">
        <f>0.6482/G101</f>
        <v>0.10128124999999999</v>
      </c>
      <c r="H107" s="2689">
        <f>0.6482/H101</f>
        <v>0.10128124999999999</v>
      </c>
      <c r="I107" s="2689">
        <f>0.6482/I101</f>
        <v>0.10128124999999999</v>
      </c>
      <c r="J107" s="2689">
        <f>0.4525/J101</f>
        <v>7.0703124999999992E-2</v>
      </c>
      <c r="K107" s="2689">
        <f>0.4525/K101</f>
        <v>7.0703124999999992E-2</v>
      </c>
      <c r="L107" s="2689">
        <f>0.4525/L101</f>
        <v>7.0703124999999992E-2</v>
      </c>
      <c r="M107" s="2689">
        <f>0.4525/M101</f>
        <v>7.0703124999999992E-2</v>
      </c>
      <c r="N107" s="2689">
        <f>0.4525/N101</f>
        <v>7.0703124999999992E-2</v>
      </c>
    </row>
    <row r="108" spans="1:14">
      <c r="A108" s="3055"/>
      <c r="B108" s="3057" t="s">
        <v>2781</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56"/>
      <c r="B109" s="3058"/>
      <c r="C109" s="2691">
        <f>(-0.163*(C108^2)-0.59*C108+7617)*(10^(-4))/C101</f>
        <v>0.118826296875</v>
      </c>
      <c r="D109" s="2691">
        <f>(-0.163*(D108^2)-0.59*D108+7617)*(10^(-4))/D101</f>
        <v>0.118826296875</v>
      </c>
      <c r="E109" s="2691">
        <f>(-0.161*(E108^2)-7.509*E108+6533)*(10^(-4))/E101</f>
        <v>0.1011335625</v>
      </c>
      <c r="F109" s="2691">
        <f>(-0.161*(F108^2)-7.509*F108+6533)*(10^(-4))/F101</f>
        <v>0.1011335625</v>
      </c>
      <c r="G109" s="2691">
        <f>(-0.161*(G108^2)-7.509*G108+6533)*(10^(-4))/G101</f>
        <v>0.1011335625</v>
      </c>
      <c r="H109" s="2691">
        <f>(-0.161*(H108^2)-7.509*H108+6533)*(10^(-4))/H101</f>
        <v>0.1011335625</v>
      </c>
      <c r="I109" s="2691">
        <f>(-0.161*(I108^2)-7.509*I108+6533)*(10^(-4))/I101</f>
        <v>0.1011335625</v>
      </c>
      <c r="J109" s="2691">
        <f>(-0.214*(J108^2)-21.991*J108+4665)*(10^(-4))/J101</f>
        <v>7.0321515625000011E-2</v>
      </c>
      <c r="K109" s="2691">
        <f>(-0.214*(K108^2)-21.991*K108+4665)*(10^(-4))/K101</f>
        <v>7.0321515625000011E-2</v>
      </c>
      <c r="L109" s="2691">
        <f>(-0.214*(L108^2)-21.991*L108+4665)*(10^(-4))/L101</f>
        <v>7.0321515625000011E-2</v>
      </c>
      <c r="M109" s="2691">
        <f>(-0.214*(M108^2)-21.991*M108+4665)*(10^(-4))/M101</f>
        <v>7.0321515625000011E-2</v>
      </c>
      <c r="N109" s="2691">
        <f>(-0.214*(N108^2)-21.991*N108+4665)*(10^(-4))/N101</f>
        <v>7.0321515625000011E-2</v>
      </c>
    </row>
    <row r="110" spans="1:14">
      <c r="A110" s="3052" t="s">
        <v>2782</v>
      </c>
      <c r="B110" s="3052"/>
      <c r="C110" s="3052"/>
      <c r="D110" s="3052"/>
      <c r="E110" s="3052"/>
      <c r="F110" s="3052"/>
      <c r="G110" s="3052"/>
      <c r="H110" s="3052"/>
      <c r="I110" s="3052"/>
      <c r="J110" s="3052"/>
      <c r="K110" s="2694"/>
      <c r="L110" s="2694"/>
      <c r="M110" s="2694"/>
      <c r="N110" s="2694"/>
    </row>
    <row r="112" spans="1:14" ht="13.5" thickBot="1"/>
    <row r="113" spans="1:13" ht="25.5" thickBot="1">
      <c r="A113" s="928" t="s">
        <v>2783</v>
      </c>
      <c r="B113" s="1379">
        <f>G3</f>
        <v>6.4</v>
      </c>
      <c r="C113" s="929" t="s">
        <v>2784</v>
      </c>
      <c r="D113" s="930">
        <f>SUMPRODUCT((A115:A118=F113)*(B114:M114=H113)*B115:M118)</f>
        <v>0.8236</v>
      </c>
      <c r="E113" s="2696" t="s">
        <v>2668</v>
      </c>
      <c r="F113" s="2697" t="str">
        <f>E2</f>
        <v>住宅</v>
      </c>
      <c r="G113" s="2696" t="s">
        <v>2603</v>
      </c>
      <c r="H113" s="2697" t="str">
        <f>G2</f>
        <v>三级</v>
      </c>
      <c r="I113" s="2696"/>
      <c r="J113" s="2698"/>
      <c r="K113" s="2698"/>
      <c r="L113" s="2698"/>
      <c r="M113" s="2698"/>
    </row>
    <row r="114" spans="1:13">
      <c r="A114" s="933"/>
      <c r="B114" s="2699" t="s">
        <v>2785</v>
      </c>
      <c r="C114" s="2699" t="s">
        <v>2786</v>
      </c>
      <c r="D114" s="2699" t="s">
        <v>2787</v>
      </c>
      <c r="E114" s="2700" t="s">
        <v>2788</v>
      </c>
      <c r="F114" s="2700" t="s">
        <v>2789</v>
      </c>
      <c r="G114" s="2700" t="s">
        <v>2790</v>
      </c>
      <c r="H114" s="2701" t="s">
        <v>2791</v>
      </c>
      <c r="I114" s="2701" t="s">
        <v>2792</v>
      </c>
      <c r="J114" s="2702" t="s">
        <v>2793</v>
      </c>
      <c r="K114" s="2702" t="s">
        <v>2794</v>
      </c>
      <c r="L114" s="2702" t="s">
        <v>2795</v>
      </c>
      <c r="M114" s="2703" t="s">
        <v>2796</v>
      </c>
    </row>
    <row r="115" spans="1:13">
      <c r="A115" s="934" t="s">
        <v>2669</v>
      </c>
      <c r="B115" s="935">
        <f>ROUND(0.9335-0.0094*B113,4)</f>
        <v>0.87329999999999997</v>
      </c>
      <c r="C115" s="935">
        <f>B115</f>
        <v>0.87329999999999997</v>
      </c>
      <c r="D115" s="935">
        <f>ROUND(0.8331-0.0109*B113,4)</f>
        <v>0.76329999999999998</v>
      </c>
      <c r="E115" s="935">
        <f>D115</f>
        <v>0.76329999999999998</v>
      </c>
      <c r="F115" s="935">
        <f>E115</f>
        <v>0.76329999999999998</v>
      </c>
      <c r="G115" s="935">
        <f>F115</f>
        <v>0.76329999999999998</v>
      </c>
      <c r="H115" s="935">
        <f>G115</f>
        <v>0.76329999999999998</v>
      </c>
      <c r="I115" s="935">
        <f>ROUND(0.689-0.0155*B113,4)</f>
        <v>0.58979999999999999</v>
      </c>
      <c r="J115" s="935">
        <f t="shared" ref="J115:M118" si="33">I115</f>
        <v>0.58979999999999999</v>
      </c>
      <c r="K115" s="935">
        <f t="shared" si="33"/>
        <v>0.58979999999999999</v>
      </c>
      <c r="L115" s="935">
        <f t="shared" si="33"/>
        <v>0.58979999999999999</v>
      </c>
      <c r="M115" s="936">
        <f t="shared" si="33"/>
        <v>0.58979999999999999</v>
      </c>
    </row>
    <row r="116" spans="1:13">
      <c r="A116" s="934" t="s">
        <v>2670</v>
      </c>
      <c r="B116" s="935">
        <f>ROUND(0.949-0.012*B113,4)</f>
        <v>0.87219999999999998</v>
      </c>
      <c r="C116" s="935">
        <f>B116</f>
        <v>0.87219999999999998</v>
      </c>
      <c r="D116" s="935">
        <f>ROUND(0.8567-0.013*B113,4)</f>
        <v>0.77349999999999997</v>
      </c>
      <c r="E116" s="935">
        <f t="shared" ref="E116:H117" si="34">D116</f>
        <v>0.77349999999999997</v>
      </c>
      <c r="F116" s="935">
        <f t="shared" si="34"/>
        <v>0.77349999999999997</v>
      </c>
      <c r="G116" s="935">
        <f t="shared" si="34"/>
        <v>0.77349999999999997</v>
      </c>
      <c r="H116" s="935">
        <f t="shared" si="34"/>
        <v>0.77349999999999997</v>
      </c>
      <c r="I116" s="935">
        <f>ROUND(0.7694-0.014*B113,4)</f>
        <v>0.67979999999999996</v>
      </c>
      <c r="J116" s="935">
        <f t="shared" si="33"/>
        <v>0.67979999999999996</v>
      </c>
      <c r="K116" s="935">
        <f t="shared" si="33"/>
        <v>0.67979999999999996</v>
      </c>
      <c r="L116" s="935">
        <f t="shared" si="33"/>
        <v>0.67979999999999996</v>
      </c>
      <c r="M116" s="936">
        <f t="shared" si="33"/>
        <v>0.67979999999999996</v>
      </c>
    </row>
    <row r="117" spans="1:13">
      <c r="A117" s="934" t="s">
        <v>2671</v>
      </c>
      <c r="B117" s="935">
        <f>ROUND(0.8808-0.006*B113,4)</f>
        <v>0.84240000000000004</v>
      </c>
      <c r="C117" s="935">
        <f>B117</f>
        <v>0.84240000000000004</v>
      </c>
      <c r="D117" s="935">
        <f>ROUND(0.8748-0.008*B113,4)</f>
        <v>0.8236</v>
      </c>
      <c r="E117" s="935">
        <f t="shared" si="34"/>
        <v>0.8236</v>
      </c>
      <c r="F117" s="935">
        <f t="shared" si="34"/>
        <v>0.8236</v>
      </c>
      <c r="G117" s="935">
        <f t="shared" si="34"/>
        <v>0.8236</v>
      </c>
      <c r="H117" s="935">
        <f t="shared" si="34"/>
        <v>0.8236</v>
      </c>
      <c r="I117" s="935">
        <f>ROUND(0.7412-0.0095*B113,4)</f>
        <v>0.6804</v>
      </c>
      <c r="J117" s="935">
        <f t="shared" si="33"/>
        <v>0.6804</v>
      </c>
      <c r="K117" s="935">
        <f t="shared" si="33"/>
        <v>0.6804</v>
      </c>
      <c r="L117" s="935">
        <f t="shared" si="33"/>
        <v>0.6804</v>
      </c>
      <c r="M117" s="936">
        <f t="shared" si="33"/>
        <v>0.6804</v>
      </c>
    </row>
    <row r="118" spans="1:13" ht="13.5" thickBot="1">
      <c r="A118" s="702" t="s">
        <v>2672</v>
      </c>
      <c r="B118" s="937">
        <f>ROUND(0.7275-0.01*B113,4)</f>
        <v>0.66349999999999998</v>
      </c>
      <c r="C118" s="937">
        <f>B118</f>
        <v>0.66349999999999998</v>
      </c>
      <c r="D118" s="937">
        <f>ROUND(0.7043-0.012*B113,4)</f>
        <v>0.62749999999999995</v>
      </c>
      <c r="E118" s="937">
        <f>D118</f>
        <v>0.62749999999999995</v>
      </c>
      <c r="F118" s="937">
        <f>E118</f>
        <v>0.62749999999999995</v>
      </c>
      <c r="G118" s="937">
        <f>ROUND(0.6299-0.0122*B113,4)</f>
        <v>0.55179999999999996</v>
      </c>
      <c r="H118" s="937">
        <f>G118</f>
        <v>0.55179999999999996</v>
      </c>
      <c r="I118" s="937">
        <f>ROUND(0.5667-0.0136*B113,4)</f>
        <v>0.47970000000000002</v>
      </c>
      <c r="J118" s="937">
        <f t="shared" si="33"/>
        <v>0.47970000000000002</v>
      </c>
      <c r="K118" s="937">
        <f t="shared" si="33"/>
        <v>0.47970000000000002</v>
      </c>
      <c r="L118" s="937">
        <f t="shared" si="33"/>
        <v>0.47970000000000002</v>
      </c>
      <c r="M118" s="938">
        <f t="shared" si="33"/>
        <v>0.47970000000000002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1" t="s">
        <v>787</v>
      </c>
      <c r="B1" s="307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估价对象周边有29、34、35路等多条公交线路，综合评价交通便捷度较好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区域自然环境：龙潭湖公园、通惠河；人文环境；综合评价环境状况一般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估价对象周边有29、34、35路等多条公交线路，综合评价交通便捷度较好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区域自然环境：龙潭湖公园、通惠河；人文环境；综合评价环境状况一般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估价对象周边有劲松二区、广和南里二条、劲松六区等，综合评价居住社区成熟度较好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9.9000000000000005E-2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估价对象周边有29、34、35路等多条公交线路，综合评价交通便捷度较好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区域自然环境：龙潭湖公园、通惠河；人文环境；综合评价环境状况一般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1" t="s">
        <v>105</v>
      </c>
      <c r="B1" s="3071"/>
      <c r="C1" s="3071"/>
      <c r="D1" s="3071"/>
      <c r="E1" s="3071"/>
      <c r="F1" s="307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2" t="s">
        <v>118</v>
      </c>
      <c r="B2" s="3072"/>
      <c r="C2" s="3072"/>
      <c r="D2" s="3072"/>
      <c r="E2" s="3072"/>
      <c r="F2" s="307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18890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34"/>
      <c r="C2" s="2734"/>
      <c r="D2" s="2734"/>
      <c r="E2" s="2734"/>
    </row>
    <row r="3" spans="1:5" ht="13.5" customHeight="1">
      <c r="A3" s="1930"/>
      <c r="B3" s="1930"/>
      <c r="C3" s="1930"/>
      <c r="D3" s="1930"/>
      <c r="E3" s="1930"/>
    </row>
    <row r="4" spans="1:5" ht="19.5" thickBot="1">
      <c r="A4" s="2735" t="str">
        <f>IF(项目基本情况!D5="房地产市场价值","估价结果一览表（市场价值不需本页表格)","估价结果一览表")</f>
        <v>估价结果一览表（市场价值不需本页表格)</v>
      </c>
      <c r="B4" s="2735"/>
      <c r="C4" s="2735"/>
      <c r="D4" s="2735"/>
      <c r="E4" s="2735"/>
    </row>
    <row r="5" spans="1:5" ht="14.25" customHeight="1" thickTop="1">
      <c r="A5" s="1927"/>
      <c r="B5" s="1931" t="s">
        <v>742</v>
      </c>
      <c r="C5" s="2736" t="s">
        <v>783</v>
      </c>
      <c r="D5" s="2737"/>
      <c r="E5" s="1927"/>
    </row>
    <row r="6" spans="1:5" ht="14.25">
      <c r="A6" s="1927"/>
      <c r="B6" s="1932" t="str">
        <f>项目基本情况!I1</f>
        <v>北京市房地产</v>
      </c>
      <c r="C6" s="2738">
        <f>项目基本情况!C12</f>
        <v>91.5</v>
      </c>
      <c r="D6" s="2738"/>
      <c r="E6" s="1927"/>
    </row>
    <row r="7" spans="1:5" ht="14.25">
      <c r="A7" s="1927"/>
      <c r="B7" s="2732" t="s">
        <v>784</v>
      </c>
      <c r="C7" s="1933" t="str">
        <f>IF('数据-取费表'!B3="万元","总价（万元）","总价（元）")</f>
        <v>总价（元）</v>
      </c>
      <c r="D7" s="1934">
        <f ca="1">IF('数据-取费表'!E3="否",结果表!I102,'结果表 (1修多)'!I103)</f>
        <v>36839535</v>
      </c>
      <c r="E7" s="1927"/>
    </row>
    <row r="8" spans="1:5" ht="14.25">
      <c r="A8" s="1927"/>
      <c r="B8" s="2732"/>
      <c r="C8" s="1935" t="s">
        <v>1175</v>
      </c>
      <c r="D8" s="1936" t="str">
        <f ca="1">IF('数据-取费表'!B3="万元",NUMBERSTRING(INT(D7*10000),2)&amp;"元整",NUMBERSTRING(INT(D7),2)&amp;"元整")</f>
        <v>叁仟陆佰捌拾叁万玖仟伍佰叁拾伍元整</v>
      </c>
      <c r="E8" s="1927"/>
    </row>
    <row r="9" spans="1:5" ht="14.25">
      <c r="A9" s="1927"/>
      <c r="B9" s="2732"/>
      <c r="C9" s="1937" t="s">
        <v>1273</v>
      </c>
      <c r="D9" s="1934">
        <f ca="1">IF('数据-取费表'!E3="否",结果表!I103,'结果表 (1修多)'!I104)</f>
        <v>12769</v>
      </c>
      <c r="E9" s="1927"/>
    </row>
    <row r="10" spans="1:5" ht="14.25">
      <c r="A10" s="1927"/>
      <c r="B10" s="273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3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39" t="str">
        <f>IF('数据-取费表'!E3="否",结果表!F110,'结果表 (1修多)'!F111)</f>
        <v>3.房地产抵押价值</v>
      </c>
      <c r="C15" s="1928" t="str">
        <f>C7</f>
        <v>总价（元）</v>
      </c>
      <c r="D15" s="1934">
        <f ca="1">IF('数据-取费表'!E3="否",结果表!I110,'结果表 (1修多)'!I111)</f>
        <v>36839535</v>
      </c>
      <c r="E15" s="1927"/>
    </row>
    <row r="16" spans="1:5" ht="14.25">
      <c r="A16" s="1927"/>
      <c r="B16" s="2739"/>
      <c r="C16" s="1935" t="s">
        <v>1175</v>
      </c>
      <c r="D16" s="1934" t="str">
        <f ca="1">IF('数据-取费表'!B3="万元",NUMBERSTRING(INT(D15*10000),2)&amp;"元整",NUMBERSTRING(INT(D15),2)&amp;"元整")</f>
        <v>叁仟陆佰捌拾叁万玖仟伍佰叁拾伍元整</v>
      </c>
      <c r="E16" s="1927"/>
    </row>
    <row r="17" spans="1:5" ht="14.25">
      <c r="A17" s="1927"/>
      <c r="B17" s="2739"/>
      <c r="C17" s="1937" t="s">
        <v>1273</v>
      </c>
      <c r="D17" s="1934">
        <f ca="1">IF('数据-取费表'!E3="否",结果表!I111,'结果表 (1修多)'!I112)</f>
        <v>12769</v>
      </c>
      <c r="E17" s="1927"/>
    </row>
    <row r="18" spans="1:5" ht="14.25">
      <c r="A18" s="1927"/>
      <c r="B18" s="2739" t="str">
        <f>IF('数据-取费表'!E3="否",结果表!F112,'结果表 (1修多)'!F113)</f>
        <v>——</v>
      </c>
      <c r="C18" s="1928" t="str">
        <f>C7</f>
        <v>总价（元）</v>
      </c>
      <c r="D18" s="1934" t="str">
        <f>IF('数据-取费表'!E3="否",结果表!I112,'结果表 (1修多)'!I113)</f>
        <v>——</v>
      </c>
      <c r="E18" s="1927"/>
    </row>
    <row r="19" spans="1:5" ht="14.25">
      <c r="A19" s="1927"/>
      <c r="B19" s="2739"/>
      <c r="C19" s="1935" t="s">
        <v>1175</v>
      </c>
      <c r="D19" s="1934" t="e">
        <f>IF('数据-取费表'!B3="万元",NUMBERSTRING(INT(D18*10000),2)&amp;"元整",NUMBERSTRING(INT(D18),2)&amp;"元整")</f>
        <v>#VALUE!</v>
      </c>
      <c r="E19" s="1927"/>
    </row>
    <row r="20" spans="1:5" ht="14.25">
      <c r="A20" s="1927"/>
      <c r="B20" s="2739"/>
      <c r="C20" s="1937" t="s">
        <v>1273</v>
      </c>
      <c r="D20" s="1934" t="str">
        <f>IF('数据-取费表'!E3="否",结果表!I113,'结果表 (1修多)'!I114)</f>
        <v>——</v>
      </c>
      <c r="E20" s="1927"/>
    </row>
    <row r="21" spans="1:5" ht="14.25">
      <c r="A21" s="1927"/>
      <c r="B21" s="2732" t="str">
        <f>IF('数据-取费表'!E3="否",结果表!F114,'结果表 (1修多)'!F115)</f>
        <v>——</v>
      </c>
      <c r="C21" s="1933" t="str">
        <f>C7</f>
        <v>总价（元）</v>
      </c>
      <c r="D21" s="1934" t="str">
        <f>IF('数据-取费表'!E3="否",结果表!I114,'结果表 (1修多)'!I115)</f>
        <v>——</v>
      </c>
      <c r="E21" s="1927"/>
    </row>
    <row r="22" spans="1:5" ht="14.25">
      <c r="A22" s="1927"/>
      <c r="B22" s="2732"/>
      <c r="C22" s="1935" t="s">
        <v>1175</v>
      </c>
      <c r="D22" s="1936" t="e">
        <f>IF('数据-取费表'!B3="万元",NUMBERSTRING(INT(D21*10000),2)&amp;"元整",NUMBERSTRING(INT(D21),2)&amp;"元整")</f>
        <v>#VALUE!</v>
      </c>
      <c r="E22" s="1927"/>
    </row>
    <row r="23" spans="1:5" ht="15" thickBot="1">
      <c r="A23" s="1927"/>
      <c r="B23" s="273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7" t="s">
        <v>1274</v>
      </c>
      <c r="C25" s="2747"/>
      <c r="D25" s="2747"/>
      <c r="E25" s="1927"/>
    </row>
    <row r="26" spans="1:5" ht="18.75" customHeight="1" thickTop="1">
      <c r="A26" s="1927"/>
      <c r="B26" s="2750" t="s">
        <v>1174</v>
      </c>
      <c r="C26" s="2751"/>
      <c r="D26" s="2748" t="s">
        <v>1173</v>
      </c>
      <c r="E26" s="1927"/>
    </row>
    <row r="27" spans="1:5" ht="18.75" customHeight="1">
      <c r="A27" s="1927"/>
      <c r="B27" s="2752"/>
      <c r="C27" s="2753"/>
      <c r="D27" s="2749"/>
      <c r="E27" s="1927"/>
    </row>
    <row r="28" spans="1:5" ht="14.25">
      <c r="A28" s="1927"/>
      <c r="B28" s="2740" t="s">
        <v>784</v>
      </c>
      <c r="C28" s="1944" t="s">
        <v>1176</v>
      </c>
      <c r="D28" s="1945">
        <f ca="1">IF('数据-取费表'!E3="否",结果表!I102,'结果表 (1修多)'!I103)</f>
        <v>36839535</v>
      </c>
      <c r="E28" s="1927"/>
    </row>
    <row r="29" spans="1:5" ht="14.25">
      <c r="A29" s="1927"/>
      <c r="B29" s="2741"/>
      <c r="C29" s="1946" t="s">
        <v>1175</v>
      </c>
      <c r="D29" s="1947" t="str">
        <f ca="1">IF('数据-取费表'!B3="万元",NUMBERSTRING(INT(D28*10000),2)&amp;"元整",NUMBERSTRING(INT(D28),2)&amp;"元整")</f>
        <v>叁仟陆佰捌拾叁万玖仟伍佰叁拾伍元整</v>
      </c>
      <c r="E29" s="1927"/>
    </row>
    <row r="30" spans="1:5" ht="14.25">
      <c r="A30" s="1927"/>
      <c r="B30" s="2742"/>
      <c r="C30" s="1937" t="s">
        <v>1178</v>
      </c>
      <c r="D30" s="1948">
        <f ca="1">IF('数据-取费表'!E3="否",结果表!I103,'结果表 (1修多)'!I104)</f>
        <v>12769</v>
      </c>
      <c r="E30" s="1927"/>
    </row>
    <row r="31" spans="1:5" ht="14.25">
      <c r="A31" s="1927"/>
      <c r="B31" s="2745" t="str">
        <f>B10</f>
        <v>2.估价师所知悉的法定优先受偿款</v>
      </c>
      <c r="C31" s="1949" t="s">
        <v>1177</v>
      </c>
      <c r="D31" s="1950">
        <f>IF('数据-取费表'!E3="否",结果表!I105,'结果表 (1修多)'!I106)</f>
        <v>0</v>
      </c>
      <c r="E31" s="1927"/>
    </row>
    <row r="32" spans="1:5" ht="14.25">
      <c r="A32" s="1927"/>
      <c r="B32" s="275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3" t="str">
        <f>B15</f>
        <v>3.房地产抵押价值</v>
      </c>
      <c r="C36" s="1949" t="str">
        <f>C28</f>
        <v>总价</v>
      </c>
      <c r="D36" s="1950">
        <f ca="1">IF('数据-取费表'!E3="否",结果表!I110,'结果表 (1修多)'!I111)</f>
        <v>36839535</v>
      </c>
      <c r="E36" s="1927"/>
    </row>
    <row r="37" spans="1:5" ht="14.25">
      <c r="A37" s="1927"/>
      <c r="B37" s="2743"/>
      <c r="C37" s="1946" t="s">
        <v>1175</v>
      </c>
      <c r="D37" s="1951" t="str">
        <f ca="1">IF('数据-取费表'!B3="万元",NUMBERSTRING(INT(D36*10000),2)&amp;"元整",NUMBERSTRING(INT(D36),2)&amp;"元整")</f>
        <v>叁仟陆佰捌拾叁万玖仟伍佰叁拾伍元整</v>
      </c>
      <c r="E37" s="1927"/>
    </row>
    <row r="38" spans="1:5" ht="14.25">
      <c r="A38" s="1927"/>
      <c r="B38" s="2743"/>
      <c r="C38" s="1937" t="s">
        <v>1179</v>
      </c>
      <c r="D38" s="1948">
        <f ca="1">IF('数据-取费表'!E3="否",结果表!D113,'结果表 (1修多)'!D116)</f>
        <v>12769</v>
      </c>
      <c r="E38" s="1927"/>
    </row>
    <row r="39" spans="1:5" ht="14.25">
      <c r="A39" s="1927"/>
      <c r="B39" s="2744" t="str">
        <f>B18</f>
        <v>——</v>
      </c>
      <c r="C39" s="1949" t="str">
        <f>C28</f>
        <v>总价</v>
      </c>
      <c r="D39" s="1950" t="str">
        <f>IF('数据-取费表'!E3="否",结果表!I112,'结果表 (1修多)'!I113)</f>
        <v>——</v>
      </c>
      <c r="E39" s="1927"/>
    </row>
    <row r="40" spans="1:5" ht="14.25">
      <c r="A40" s="1927"/>
      <c r="B40" s="2744"/>
      <c r="C40" s="1946" t="s">
        <v>1175</v>
      </c>
      <c r="D40" s="1951" t="e">
        <f>IF('数据-取费表'!B3="万元",NUMBERSTRING(INT(D39*10000),2)&amp;"元整",NUMBERSTRING(INT(D39),2)&amp;"元整")</f>
        <v>#VALUE!</v>
      </c>
      <c r="E40" s="1927"/>
    </row>
    <row r="41" spans="1:5" ht="14.25">
      <c r="A41" s="1927"/>
      <c r="B41" s="2744"/>
      <c r="C41" s="1937" t="s">
        <v>1179</v>
      </c>
      <c r="D41" s="1948" t="str">
        <f>IF('数据-取费表'!E3="否",结果表!D115,'结果表 (1修多)'!D118)</f>
        <v>——</v>
      </c>
      <c r="E41" s="1927"/>
    </row>
    <row r="42" spans="1:5" ht="14.25">
      <c r="A42" s="1927"/>
      <c r="B42" s="2743" t="str">
        <f>B21</f>
        <v>——</v>
      </c>
      <c r="C42" s="1949" t="str">
        <f>C28</f>
        <v>总价</v>
      </c>
      <c r="D42" s="1950" t="str">
        <f>IF('数据-取费表'!E3="否",结果表!I114,'结果表 (1修多)'!I115)</f>
        <v>——</v>
      </c>
      <c r="E42" s="1927"/>
    </row>
    <row r="43" spans="1:5" ht="14.25">
      <c r="A43" s="1927"/>
      <c r="B43" s="2745"/>
      <c r="C43" s="1946" t="s">
        <v>1175</v>
      </c>
      <c r="D43" s="1952" t="e">
        <f>IF('数据-取费表'!B3="万元",NUMBERSTRING(INT(D42*10000),2)&amp;"元整",NUMBERSTRING(INT(D42),2)&amp;"元整")</f>
        <v>#VALUE!</v>
      </c>
      <c r="E43" s="1927"/>
    </row>
    <row r="44" spans="1:5" ht="15" thickBot="1">
      <c r="A44" s="1927"/>
      <c r="B44" s="274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5" t="s">
        <v>132</v>
      </c>
      <c r="B18" s="907" t="s">
        <v>517</v>
      </c>
      <c r="C18" s="908" t="s">
        <v>518</v>
      </c>
      <c r="D18" s="909"/>
      <c r="E18" s="907">
        <v>1</v>
      </c>
      <c r="F18" s="910" t="s">
        <v>519</v>
      </c>
      <c r="G18" s="911"/>
      <c r="H18" s="903"/>
      <c r="I18" s="903"/>
    </row>
    <row r="19" spans="1:9" s="912" customFormat="1" ht="19.5" customHeight="1">
      <c r="A19" s="3075"/>
      <c r="B19" s="3075" t="s">
        <v>520</v>
      </c>
      <c r="C19" s="908" t="s">
        <v>521</v>
      </c>
      <c r="D19" s="909"/>
      <c r="E19" s="907">
        <v>0.9</v>
      </c>
      <c r="F19" s="910" t="s">
        <v>522</v>
      </c>
      <c r="G19" s="911"/>
      <c r="H19" s="903"/>
      <c r="I19" s="903"/>
    </row>
    <row r="20" spans="1:9" s="912" customFormat="1" ht="19.5" customHeight="1">
      <c r="A20" s="3075"/>
      <c r="B20" s="3075"/>
      <c r="C20" s="908" t="s">
        <v>523</v>
      </c>
      <c r="D20" s="909"/>
      <c r="E20" s="907">
        <v>1.1000000000000001</v>
      </c>
      <c r="F20" s="910" t="s">
        <v>524</v>
      </c>
      <c r="G20" s="911"/>
      <c r="H20" s="903"/>
      <c r="I20" s="903"/>
    </row>
    <row r="21" spans="1:9" s="912" customFormat="1" ht="19.5" customHeight="1">
      <c r="A21" s="3075"/>
      <c r="B21" s="3075"/>
      <c r="C21" s="908" t="s">
        <v>525</v>
      </c>
      <c r="D21" s="909"/>
      <c r="E21" s="907">
        <v>0.8</v>
      </c>
      <c r="F21" s="910" t="s">
        <v>526</v>
      </c>
      <c r="G21" s="911"/>
      <c r="H21" s="903"/>
      <c r="I21" s="903"/>
    </row>
    <row r="22" spans="1:9" s="912" customFormat="1" ht="19.5" customHeight="1">
      <c r="A22" s="3075"/>
      <c r="B22" s="3075"/>
      <c r="C22" s="908" t="s">
        <v>527</v>
      </c>
      <c r="D22" s="909"/>
      <c r="E22" s="907">
        <v>0.5</v>
      </c>
      <c r="F22" s="910"/>
      <c r="G22" s="911"/>
      <c r="H22" s="903"/>
      <c r="I22" s="903"/>
    </row>
    <row r="23" spans="1:9" s="912" customFormat="1" ht="19.5" customHeight="1">
      <c r="A23" s="3075" t="s">
        <v>133</v>
      </c>
      <c r="B23" s="907" t="s">
        <v>517</v>
      </c>
      <c r="C23" s="908" t="s">
        <v>528</v>
      </c>
      <c r="D23" s="909"/>
      <c r="E23" s="907">
        <v>1</v>
      </c>
      <c r="F23" s="910" t="s">
        <v>529</v>
      </c>
      <c r="G23" s="911"/>
      <c r="H23" s="903"/>
      <c r="I23" s="903"/>
    </row>
    <row r="24" spans="1:9" s="912" customFormat="1" ht="19.5" customHeight="1">
      <c r="A24" s="3075"/>
      <c r="B24" s="3075" t="s">
        <v>520</v>
      </c>
      <c r="C24" s="908" t="s">
        <v>530</v>
      </c>
      <c r="D24" s="909"/>
      <c r="E24" s="907">
        <v>0.5</v>
      </c>
      <c r="F24" s="910"/>
      <c r="G24" s="911"/>
      <c r="H24" s="903"/>
      <c r="I24" s="903"/>
    </row>
    <row r="25" spans="1:9" s="912" customFormat="1" ht="19.5" customHeight="1">
      <c r="A25" s="3075"/>
      <c r="B25" s="3075"/>
      <c r="C25" s="908" t="s">
        <v>531</v>
      </c>
      <c r="D25" s="909"/>
      <c r="E25" s="907">
        <v>1.1000000000000001</v>
      </c>
      <c r="F25" s="910"/>
      <c r="G25" s="911"/>
      <c r="H25" s="903"/>
      <c r="I25" s="903"/>
    </row>
    <row r="26" spans="1:9" s="912" customFormat="1" ht="19.5" customHeight="1">
      <c r="A26" s="3075"/>
      <c r="B26" s="3075"/>
      <c r="C26" s="908" t="s">
        <v>532</v>
      </c>
      <c r="D26" s="909"/>
      <c r="E26" s="907">
        <v>1.1000000000000001</v>
      </c>
      <c r="F26" s="910"/>
      <c r="G26" s="911"/>
      <c r="H26" s="903"/>
      <c r="I26" s="903"/>
    </row>
    <row r="27" spans="1:9" s="912" customFormat="1" ht="19.5" customHeight="1">
      <c r="A27" s="3075"/>
      <c r="B27" s="3075"/>
      <c r="C27" s="908" t="s">
        <v>533</v>
      </c>
      <c r="D27" s="909"/>
      <c r="E27" s="907">
        <v>0.9</v>
      </c>
      <c r="F27" s="910" t="s">
        <v>534</v>
      </c>
      <c r="G27" s="911"/>
      <c r="H27" s="903"/>
      <c r="I27" s="903"/>
    </row>
    <row r="28" spans="1:9" s="912" customFormat="1" ht="19.5" customHeight="1">
      <c r="A28" s="3075"/>
      <c r="B28" s="3075"/>
      <c r="C28" s="908" t="s">
        <v>535</v>
      </c>
      <c r="D28" s="909"/>
      <c r="E28" s="907">
        <v>0.9</v>
      </c>
      <c r="F28" s="910" t="s">
        <v>536</v>
      </c>
      <c r="G28" s="911"/>
      <c r="H28" s="903"/>
      <c r="I28" s="903"/>
    </row>
    <row r="29" spans="1:9" s="912" customFormat="1" ht="19.5" customHeight="1">
      <c r="A29" s="3075"/>
      <c r="B29" s="3075"/>
      <c r="C29" s="908" t="s">
        <v>537</v>
      </c>
      <c r="D29" s="909"/>
      <c r="E29" s="907">
        <v>0.9</v>
      </c>
      <c r="F29" s="910" t="s">
        <v>538</v>
      </c>
      <c r="G29" s="911"/>
      <c r="H29" s="903"/>
      <c r="I29" s="903"/>
    </row>
    <row r="30" spans="1:9" s="912" customFormat="1" ht="19.5" customHeight="1">
      <c r="A30" s="3075"/>
      <c r="B30" s="3075"/>
      <c r="C30" s="908" t="s">
        <v>539</v>
      </c>
      <c r="D30" s="909"/>
      <c r="E30" s="907">
        <v>0.9</v>
      </c>
      <c r="F30" s="910" t="s">
        <v>540</v>
      </c>
      <c r="G30" s="911"/>
      <c r="H30" s="903"/>
      <c r="I30" s="903"/>
    </row>
    <row r="31" spans="1:9" s="912" customFormat="1" ht="19.5" customHeight="1">
      <c r="A31" s="3075"/>
      <c r="B31" s="3075"/>
      <c r="C31" s="908" t="s">
        <v>541</v>
      </c>
      <c r="D31" s="909"/>
      <c r="E31" s="907">
        <v>0.8</v>
      </c>
      <c r="F31" s="910" t="s">
        <v>542</v>
      </c>
      <c r="G31" s="911"/>
      <c r="H31" s="903"/>
      <c r="I31" s="903"/>
    </row>
    <row r="32" spans="1:9" s="912" customFormat="1" ht="19.5" customHeight="1">
      <c r="A32" s="3075"/>
      <c r="B32" s="3075"/>
      <c r="C32" s="908" t="s">
        <v>543</v>
      </c>
      <c r="D32" s="909"/>
      <c r="E32" s="907">
        <v>0.8</v>
      </c>
      <c r="F32" s="910" t="s">
        <v>544</v>
      </c>
      <c r="G32" s="911"/>
      <c r="H32" s="903"/>
      <c r="I32" s="903"/>
    </row>
    <row r="33" spans="1:9" s="912" customFormat="1" ht="19.5" customHeight="1">
      <c r="A33" s="3075" t="s">
        <v>134</v>
      </c>
      <c r="B33" s="907" t="s">
        <v>517</v>
      </c>
      <c r="C33" s="908" t="s">
        <v>545</v>
      </c>
      <c r="D33" s="909"/>
      <c r="E33" s="907">
        <v>1</v>
      </c>
      <c r="F33" s="910" t="s">
        <v>546</v>
      </c>
      <c r="G33" s="911"/>
      <c r="H33" s="903"/>
      <c r="I33" s="903"/>
    </row>
    <row r="34" spans="1:9" s="912" customFormat="1" ht="19.5" customHeight="1">
      <c r="A34" s="3075"/>
      <c r="B34" s="907" t="s">
        <v>520</v>
      </c>
      <c r="C34" s="908" t="s">
        <v>547</v>
      </c>
      <c r="D34" s="909"/>
      <c r="E34" s="907">
        <v>1.5</v>
      </c>
      <c r="F34" s="910" t="s">
        <v>548</v>
      </c>
      <c r="G34" s="911"/>
      <c r="H34" s="903"/>
      <c r="I34" s="903"/>
    </row>
    <row r="35" spans="1:9" s="912" customFormat="1" ht="19.5" customHeight="1">
      <c r="A35" s="3075" t="s">
        <v>135</v>
      </c>
      <c r="B35" s="907" t="s">
        <v>517</v>
      </c>
      <c r="C35" s="908" t="s">
        <v>549</v>
      </c>
      <c r="D35" s="909"/>
      <c r="E35" s="907">
        <v>1</v>
      </c>
      <c r="F35" s="910" t="s">
        <v>550</v>
      </c>
      <c r="G35" s="911"/>
      <c r="H35" s="903"/>
      <c r="I35" s="903"/>
    </row>
    <row r="36" spans="1:9" s="912" customFormat="1" ht="19.5" customHeight="1">
      <c r="A36" s="3075"/>
      <c r="B36" s="3075" t="s">
        <v>520</v>
      </c>
      <c r="C36" s="908" t="s">
        <v>551</v>
      </c>
      <c r="D36" s="909"/>
      <c r="E36" s="907">
        <v>1</v>
      </c>
      <c r="F36" s="910" t="s">
        <v>552</v>
      </c>
      <c r="G36" s="911"/>
      <c r="H36" s="903"/>
      <c r="I36" s="903"/>
    </row>
    <row r="37" spans="1:9" s="912" customFormat="1" ht="19.5" customHeight="1">
      <c r="A37" s="3075"/>
      <c r="B37" s="3075"/>
      <c r="C37" s="908" t="s">
        <v>553</v>
      </c>
      <c r="D37" s="909"/>
      <c r="E37" s="907">
        <v>1.5</v>
      </c>
      <c r="F37" s="910" t="s">
        <v>554</v>
      </c>
      <c r="G37" s="911"/>
      <c r="H37" s="903"/>
      <c r="I37" s="903"/>
    </row>
    <row r="38" spans="1:9" s="912" customFormat="1" ht="19.5" customHeight="1">
      <c r="A38" s="3075"/>
      <c r="B38" s="3075"/>
      <c r="C38" s="908" t="s">
        <v>555</v>
      </c>
      <c r="D38" s="909"/>
      <c r="E38" s="907">
        <v>1</v>
      </c>
      <c r="F38" s="910" t="s">
        <v>556</v>
      </c>
      <c r="G38" s="911"/>
      <c r="H38" s="903"/>
      <c r="I38" s="903"/>
    </row>
    <row r="39" spans="1:9" s="912" customFormat="1" ht="19.5" customHeight="1">
      <c r="A39" s="3075"/>
      <c r="B39" s="307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5" t="s">
        <v>571</v>
      </c>
      <c r="C61" s="821" t="s">
        <v>572</v>
      </c>
      <c r="D61" s="821" t="s">
        <v>573</v>
      </c>
      <c r="E61" s="920">
        <v>0.5</v>
      </c>
      <c r="F61" s="907">
        <v>80</v>
      </c>
    </row>
    <row r="62" spans="1:8" s="903" customFormat="1" ht="24">
      <c r="A62" s="907">
        <v>2</v>
      </c>
      <c r="B62" s="3075"/>
      <c r="C62" s="821" t="s">
        <v>574</v>
      </c>
      <c r="D62" s="821" t="s">
        <v>575</v>
      </c>
      <c r="E62" s="920">
        <v>0.5</v>
      </c>
      <c r="F62" s="907">
        <v>80</v>
      </c>
    </row>
    <row r="63" spans="1:8" s="903" customFormat="1" ht="36">
      <c r="A63" s="907">
        <v>3</v>
      </c>
      <c r="B63" s="3075"/>
      <c r="C63" s="821" t="s">
        <v>576</v>
      </c>
      <c r="D63" s="821" t="s">
        <v>577</v>
      </c>
      <c r="E63" s="920">
        <v>0.5</v>
      </c>
      <c r="F63" s="907">
        <v>80</v>
      </c>
    </row>
    <row r="64" spans="1:8" s="903" customFormat="1" ht="36">
      <c r="A64" s="907">
        <v>4</v>
      </c>
      <c r="B64" s="3075"/>
      <c r="C64" s="821" t="s">
        <v>578</v>
      </c>
      <c r="D64" s="821" t="s">
        <v>579</v>
      </c>
      <c r="E64" s="920">
        <v>0.4</v>
      </c>
      <c r="F64" s="907">
        <v>60</v>
      </c>
    </row>
    <row r="65" spans="1:6" s="903" customFormat="1" ht="36">
      <c r="A65" s="907">
        <v>5</v>
      </c>
      <c r="B65" s="3075"/>
      <c r="C65" s="821" t="s">
        <v>580</v>
      </c>
      <c r="D65" s="821" t="s">
        <v>581</v>
      </c>
      <c r="E65" s="920">
        <v>0.2</v>
      </c>
      <c r="F65" s="907">
        <v>30</v>
      </c>
    </row>
    <row r="66" spans="1:6" s="903" customFormat="1" ht="36">
      <c r="A66" s="907">
        <v>6</v>
      </c>
      <c r="B66" s="3075"/>
      <c r="C66" s="821" t="s">
        <v>582</v>
      </c>
      <c r="D66" s="821" t="s">
        <v>583</v>
      </c>
      <c r="E66" s="920">
        <v>0.3</v>
      </c>
      <c r="F66" s="907">
        <v>50</v>
      </c>
    </row>
    <row r="67" spans="1:6" s="903" customFormat="1" ht="36">
      <c r="A67" s="907">
        <v>7</v>
      </c>
      <c r="B67" s="3075"/>
      <c r="C67" s="821" t="s">
        <v>584</v>
      </c>
      <c r="D67" s="821" t="s">
        <v>585</v>
      </c>
      <c r="E67" s="920">
        <v>0.2</v>
      </c>
      <c r="F67" s="907">
        <v>30</v>
      </c>
    </row>
    <row r="68" spans="1:6" s="903" customFormat="1" ht="36">
      <c r="A68" s="907">
        <v>8</v>
      </c>
      <c r="B68" s="3075"/>
      <c r="C68" s="821" t="s">
        <v>586</v>
      </c>
      <c r="D68" s="821" t="s">
        <v>587</v>
      </c>
      <c r="E68" s="920">
        <v>0.2</v>
      </c>
      <c r="F68" s="907">
        <v>30</v>
      </c>
    </row>
    <row r="69" spans="1:6" s="903" customFormat="1" ht="36">
      <c r="A69" s="907">
        <v>9</v>
      </c>
      <c r="B69" s="3075"/>
      <c r="C69" s="821" t="s">
        <v>588</v>
      </c>
      <c r="D69" s="821" t="s">
        <v>589</v>
      </c>
      <c r="E69" s="920">
        <v>0.2</v>
      </c>
      <c r="F69" s="907">
        <v>30</v>
      </c>
    </row>
    <row r="70" spans="1:6" s="903" customFormat="1" ht="48">
      <c r="A70" s="907">
        <v>10</v>
      </c>
      <c r="B70" s="3075"/>
      <c r="C70" s="821" t="s">
        <v>590</v>
      </c>
      <c r="D70" s="821" t="s">
        <v>591</v>
      </c>
      <c r="E70" s="920">
        <v>0.2</v>
      </c>
      <c r="F70" s="907">
        <v>30</v>
      </c>
    </row>
    <row r="71" spans="1:6" s="903" customFormat="1" ht="48">
      <c r="A71" s="907">
        <v>11</v>
      </c>
      <c r="B71" s="3075"/>
      <c r="C71" s="821" t="s">
        <v>592</v>
      </c>
      <c r="D71" s="821" t="s">
        <v>593</v>
      </c>
      <c r="E71" s="920">
        <v>0.2</v>
      </c>
      <c r="F71" s="907">
        <v>30</v>
      </c>
    </row>
    <row r="72" spans="1:6" s="903" customFormat="1" ht="36">
      <c r="A72" s="907">
        <v>12</v>
      </c>
      <c r="B72" s="3075"/>
      <c r="C72" s="821" t="s">
        <v>594</v>
      </c>
      <c r="D72" s="821" t="s">
        <v>595</v>
      </c>
      <c r="E72" s="920">
        <v>0.5</v>
      </c>
      <c r="F72" s="907">
        <v>80</v>
      </c>
    </row>
    <row r="73" spans="1:6" s="903" customFormat="1" ht="24">
      <c r="A73" s="907">
        <v>13</v>
      </c>
      <c r="B73" s="3075"/>
      <c r="C73" s="821" t="s">
        <v>596</v>
      </c>
      <c r="D73" s="821" t="s">
        <v>597</v>
      </c>
      <c r="E73" s="920">
        <v>0.4</v>
      </c>
      <c r="F73" s="907">
        <v>60</v>
      </c>
    </row>
    <row r="74" spans="1:6" s="903" customFormat="1" ht="24">
      <c r="A74" s="907">
        <v>14</v>
      </c>
      <c r="B74" s="3075"/>
      <c r="C74" s="821" t="s">
        <v>598</v>
      </c>
      <c r="D74" s="821" t="s">
        <v>599</v>
      </c>
      <c r="E74" s="920">
        <v>0.2</v>
      </c>
      <c r="F74" s="907">
        <v>30</v>
      </c>
    </row>
    <row r="75" spans="1:6" s="903" customFormat="1" ht="24">
      <c r="A75" s="907">
        <v>15</v>
      </c>
      <c r="B75" s="3075"/>
      <c r="C75" s="821" t="s">
        <v>600</v>
      </c>
      <c r="D75" s="821" t="s">
        <v>601</v>
      </c>
      <c r="E75" s="920">
        <v>0.2</v>
      </c>
      <c r="F75" s="907">
        <v>30</v>
      </c>
    </row>
    <row r="76" spans="1:6" s="903" customFormat="1" ht="24">
      <c r="A76" s="907">
        <v>16</v>
      </c>
      <c r="B76" s="3075" t="s">
        <v>602</v>
      </c>
      <c r="C76" s="821" t="s">
        <v>603</v>
      </c>
      <c r="D76" s="821" t="s">
        <v>604</v>
      </c>
      <c r="E76" s="920">
        <v>0.5</v>
      </c>
      <c r="F76" s="907">
        <v>80</v>
      </c>
    </row>
    <row r="77" spans="1:6" s="903" customFormat="1" ht="24">
      <c r="A77" s="907">
        <v>17</v>
      </c>
      <c r="B77" s="3075"/>
      <c r="C77" s="821" t="s">
        <v>605</v>
      </c>
      <c r="D77" s="821" t="s">
        <v>606</v>
      </c>
      <c r="E77" s="920">
        <v>0.5</v>
      </c>
      <c r="F77" s="907">
        <v>80</v>
      </c>
    </row>
    <row r="78" spans="1:6" s="903" customFormat="1" ht="24">
      <c r="A78" s="907">
        <v>18</v>
      </c>
      <c r="B78" s="3075"/>
      <c r="C78" s="821" t="s">
        <v>607</v>
      </c>
      <c r="D78" s="821" t="s">
        <v>608</v>
      </c>
      <c r="E78" s="920">
        <v>0.2</v>
      </c>
      <c r="F78" s="907">
        <v>30</v>
      </c>
    </row>
    <row r="79" spans="1:6" s="903" customFormat="1" ht="24">
      <c r="A79" s="907">
        <v>19</v>
      </c>
      <c r="B79" s="3075"/>
      <c r="C79" s="821" t="s">
        <v>609</v>
      </c>
      <c r="D79" s="821" t="s">
        <v>610</v>
      </c>
      <c r="E79" s="920">
        <v>0.5</v>
      </c>
      <c r="F79" s="907">
        <v>80</v>
      </c>
    </row>
    <row r="80" spans="1:6" s="903" customFormat="1" ht="36">
      <c r="A80" s="907">
        <v>20</v>
      </c>
      <c r="B80" s="3075"/>
      <c r="C80" s="821" t="s">
        <v>611</v>
      </c>
      <c r="D80" s="821" t="s">
        <v>612</v>
      </c>
      <c r="E80" s="920">
        <v>0.2</v>
      </c>
      <c r="F80" s="907">
        <v>30</v>
      </c>
    </row>
    <row r="81" spans="1:6" s="903" customFormat="1" ht="36">
      <c r="A81" s="907">
        <v>21</v>
      </c>
      <c r="B81" s="3075"/>
      <c r="C81" s="821" t="s">
        <v>613</v>
      </c>
      <c r="D81" s="821" t="s">
        <v>614</v>
      </c>
      <c r="E81" s="920">
        <v>0.2</v>
      </c>
      <c r="F81" s="907">
        <v>30</v>
      </c>
    </row>
    <row r="82" spans="1:6" s="903" customFormat="1" ht="48">
      <c r="A82" s="907">
        <v>22</v>
      </c>
      <c r="B82" s="3075"/>
      <c r="C82" s="821" t="s">
        <v>615</v>
      </c>
      <c r="D82" s="821" t="s">
        <v>616</v>
      </c>
      <c r="E82" s="920">
        <v>0.2</v>
      </c>
      <c r="F82" s="907">
        <v>30</v>
      </c>
    </row>
    <row r="83" spans="1:6" s="903" customFormat="1" ht="48">
      <c r="A83" s="907">
        <v>23</v>
      </c>
      <c r="B83" s="3075"/>
      <c r="C83" s="821" t="s">
        <v>617</v>
      </c>
      <c r="D83" s="821" t="s">
        <v>618</v>
      </c>
      <c r="E83" s="920">
        <v>0.2</v>
      </c>
      <c r="F83" s="907">
        <v>30</v>
      </c>
    </row>
    <row r="84" spans="1:6" s="903" customFormat="1" ht="36">
      <c r="A84" s="907">
        <v>24</v>
      </c>
      <c r="B84" s="3075"/>
      <c r="C84" s="821" t="s">
        <v>619</v>
      </c>
      <c r="D84" s="821" t="s">
        <v>620</v>
      </c>
      <c r="E84" s="920">
        <v>0.2</v>
      </c>
      <c r="F84" s="907">
        <v>30</v>
      </c>
    </row>
    <row r="85" spans="1:6" s="903" customFormat="1" ht="36">
      <c r="A85" s="907">
        <v>25</v>
      </c>
      <c r="B85" s="3075"/>
      <c r="C85" s="821" t="s">
        <v>621</v>
      </c>
      <c r="D85" s="821" t="s">
        <v>622</v>
      </c>
      <c r="E85" s="920">
        <v>0.5</v>
      </c>
      <c r="F85" s="907">
        <v>80</v>
      </c>
    </row>
    <row r="86" spans="1:6" s="903" customFormat="1" ht="36">
      <c r="A86" s="907">
        <v>26</v>
      </c>
      <c r="B86" s="3075"/>
      <c r="C86" s="821" t="s">
        <v>623</v>
      </c>
      <c r="D86" s="821" t="s">
        <v>624</v>
      </c>
      <c r="E86" s="920">
        <v>0.2</v>
      </c>
      <c r="F86" s="907">
        <v>30</v>
      </c>
    </row>
    <row r="87" spans="1:6" s="903" customFormat="1" ht="36">
      <c r="A87" s="907">
        <v>27</v>
      </c>
      <c r="B87" s="3075"/>
      <c r="C87" s="821" t="s">
        <v>625</v>
      </c>
      <c r="D87" s="821" t="s">
        <v>626</v>
      </c>
      <c r="E87" s="920">
        <v>0.2</v>
      </c>
      <c r="F87" s="907">
        <v>30</v>
      </c>
    </row>
    <row r="88" spans="1:6" s="903" customFormat="1" ht="36">
      <c r="A88" s="907">
        <v>28</v>
      </c>
      <c r="B88" s="3075"/>
      <c r="C88" s="821" t="s">
        <v>627</v>
      </c>
      <c r="D88" s="821" t="s">
        <v>628</v>
      </c>
      <c r="E88" s="920">
        <v>0.2</v>
      </c>
      <c r="F88" s="907">
        <v>30</v>
      </c>
    </row>
    <row r="89" spans="1:6" s="903" customFormat="1" ht="24">
      <c r="A89" s="907">
        <v>29</v>
      </c>
      <c r="B89" s="3075"/>
      <c r="C89" s="821" t="s">
        <v>629</v>
      </c>
      <c r="D89" s="821" t="s">
        <v>630</v>
      </c>
      <c r="E89" s="920">
        <v>0.2</v>
      </c>
      <c r="F89" s="907">
        <v>30</v>
      </c>
    </row>
    <row r="90" spans="1:6" s="903" customFormat="1" ht="24">
      <c r="A90" s="907">
        <v>30</v>
      </c>
      <c r="B90" s="3075"/>
      <c r="C90" s="821" t="s">
        <v>631</v>
      </c>
      <c r="D90" s="821" t="s">
        <v>632</v>
      </c>
      <c r="E90" s="920">
        <v>0.2</v>
      </c>
      <c r="F90" s="907">
        <v>30</v>
      </c>
    </row>
    <row r="91" spans="1:6" s="903" customFormat="1" ht="36">
      <c r="A91" s="907">
        <v>31</v>
      </c>
      <c r="B91" s="3075"/>
      <c r="C91" s="821" t="s">
        <v>633</v>
      </c>
      <c r="D91" s="821" t="s">
        <v>634</v>
      </c>
      <c r="E91" s="920">
        <v>0.2</v>
      </c>
      <c r="F91" s="907">
        <v>30</v>
      </c>
    </row>
    <row r="92" spans="1:6" s="903" customFormat="1" ht="24">
      <c r="A92" s="907">
        <v>32</v>
      </c>
      <c r="B92" s="3075" t="s">
        <v>635</v>
      </c>
      <c r="C92" s="907" t="s">
        <v>636</v>
      </c>
      <c r="D92" s="821" t="s">
        <v>637</v>
      </c>
      <c r="E92" s="920">
        <v>0.2</v>
      </c>
      <c r="F92" s="907">
        <v>30</v>
      </c>
    </row>
    <row r="93" spans="1:6" s="903" customFormat="1" ht="36">
      <c r="A93" s="907">
        <v>33</v>
      </c>
      <c r="B93" s="3075"/>
      <c r="C93" s="907" t="s">
        <v>638</v>
      </c>
      <c r="D93" s="821" t="s">
        <v>639</v>
      </c>
      <c r="E93" s="920">
        <v>0.2</v>
      </c>
      <c r="F93" s="907">
        <v>30</v>
      </c>
    </row>
    <row r="94" spans="1:6" s="903" customFormat="1" ht="48">
      <c r="A94" s="907">
        <v>34</v>
      </c>
      <c r="B94" s="3075"/>
      <c r="C94" s="907" t="s">
        <v>640</v>
      </c>
      <c r="D94" s="821" t="s">
        <v>641</v>
      </c>
      <c r="E94" s="920">
        <v>0.2</v>
      </c>
      <c r="F94" s="907">
        <v>30</v>
      </c>
    </row>
    <row r="95" spans="1:6" s="903" customFormat="1" ht="36">
      <c r="A95" s="907">
        <v>35</v>
      </c>
      <c r="B95" s="3075"/>
      <c r="C95" s="907" t="s">
        <v>642</v>
      </c>
      <c r="D95" s="821" t="s">
        <v>643</v>
      </c>
      <c r="E95" s="920">
        <v>0.2</v>
      </c>
      <c r="F95" s="907">
        <v>30</v>
      </c>
    </row>
    <row r="96" spans="1:6" s="903" customFormat="1" ht="48">
      <c r="A96" s="907">
        <v>36</v>
      </c>
      <c r="B96" s="3075"/>
      <c r="C96" s="821" t="s">
        <v>644</v>
      </c>
      <c r="D96" s="821" t="s">
        <v>645</v>
      </c>
      <c r="E96" s="920">
        <v>0.2</v>
      </c>
      <c r="F96" s="907">
        <v>30</v>
      </c>
    </row>
    <row r="97" spans="1:6" s="903" customFormat="1" ht="36">
      <c r="A97" s="907">
        <v>37</v>
      </c>
      <c r="B97" s="3075"/>
      <c r="C97" s="907" t="s">
        <v>646</v>
      </c>
      <c r="D97" s="821" t="s">
        <v>647</v>
      </c>
      <c r="E97" s="920">
        <v>0.2</v>
      </c>
      <c r="F97" s="907">
        <v>30</v>
      </c>
    </row>
    <row r="98" spans="1:6" s="903" customFormat="1" ht="36">
      <c r="A98" s="907">
        <v>38</v>
      </c>
      <c r="B98" s="3075"/>
      <c r="C98" s="907" t="s">
        <v>648</v>
      </c>
      <c r="D98" s="821" t="s">
        <v>649</v>
      </c>
      <c r="E98" s="920">
        <v>0.2</v>
      </c>
      <c r="F98" s="907">
        <v>30</v>
      </c>
    </row>
    <row r="99" spans="1:6" s="903" customFormat="1" ht="36">
      <c r="A99" s="907">
        <v>39</v>
      </c>
      <c r="B99" s="3075" t="s">
        <v>650</v>
      </c>
      <c r="C99" s="907" t="s">
        <v>651</v>
      </c>
      <c r="D99" s="821" t="s">
        <v>652</v>
      </c>
      <c r="E99" s="920">
        <v>0.3</v>
      </c>
      <c r="F99" s="907">
        <v>50</v>
      </c>
    </row>
    <row r="100" spans="1:6" s="903" customFormat="1" ht="24">
      <c r="A100" s="907">
        <v>40</v>
      </c>
      <c r="B100" s="3075"/>
      <c r="C100" s="907" t="s">
        <v>653</v>
      </c>
      <c r="D100" s="821" t="s">
        <v>654</v>
      </c>
      <c r="E100" s="920">
        <v>0.2</v>
      </c>
      <c r="F100" s="907">
        <v>30</v>
      </c>
    </row>
    <row r="101" spans="1:6" s="903" customFormat="1" ht="36">
      <c r="A101" s="907">
        <v>41</v>
      </c>
      <c r="B101" s="307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5" t="s">
        <v>665</v>
      </c>
      <c r="C105" s="907" t="s">
        <v>666</v>
      </c>
      <c r="D105" s="821" t="s">
        <v>667</v>
      </c>
      <c r="E105" s="920">
        <v>0.2</v>
      </c>
      <c r="F105" s="907">
        <v>30</v>
      </c>
    </row>
    <row r="106" spans="1:6" s="903" customFormat="1" ht="36">
      <c r="A106" s="907">
        <v>46</v>
      </c>
      <c r="B106" s="3075"/>
      <c r="C106" s="907" t="s">
        <v>668</v>
      </c>
      <c r="D106" s="821" t="s">
        <v>669</v>
      </c>
      <c r="E106" s="920">
        <v>0.2</v>
      </c>
      <c r="F106" s="907">
        <v>30</v>
      </c>
    </row>
    <row r="107" spans="1:6" s="903" customFormat="1" ht="36">
      <c r="A107" s="907">
        <v>47</v>
      </c>
      <c r="B107" s="3075" t="s">
        <v>670</v>
      </c>
      <c r="C107" s="907" t="s">
        <v>671</v>
      </c>
      <c r="D107" s="821" t="s">
        <v>672</v>
      </c>
      <c r="E107" s="920">
        <v>0.3</v>
      </c>
      <c r="F107" s="907">
        <v>50</v>
      </c>
    </row>
    <row r="108" spans="1:6" s="903" customFormat="1" ht="36">
      <c r="A108" s="907">
        <v>48</v>
      </c>
      <c r="B108" s="307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5" t="s">
        <v>681</v>
      </c>
      <c r="C111" s="907" t="s">
        <v>682</v>
      </c>
      <c r="D111" s="821" t="s">
        <v>683</v>
      </c>
      <c r="E111" s="920">
        <v>0.2</v>
      </c>
      <c r="F111" s="907">
        <v>30</v>
      </c>
    </row>
    <row r="112" spans="1:6" s="903" customFormat="1" ht="24">
      <c r="A112" s="907">
        <v>52</v>
      </c>
      <c r="B112" s="3075"/>
      <c r="C112" s="907" t="s">
        <v>684</v>
      </c>
      <c r="D112" s="821" t="s">
        <v>685</v>
      </c>
      <c r="E112" s="920">
        <v>0.2</v>
      </c>
      <c r="F112" s="907">
        <v>30</v>
      </c>
    </row>
    <row r="113" spans="1:6" s="903" customFormat="1" ht="24">
      <c r="A113" s="907">
        <v>53</v>
      </c>
      <c r="B113" s="307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5" t="s">
        <v>694</v>
      </c>
      <c r="C116" s="907" t="s">
        <v>695</v>
      </c>
      <c r="D116" s="821" t="s">
        <v>696</v>
      </c>
      <c r="E116" s="920">
        <v>0.2</v>
      </c>
      <c r="F116" s="907">
        <v>30</v>
      </c>
    </row>
    <row r="117" spans="1:6" ht="36">
      <c r="A117" s="907">
        <v>57</v>
      </c>
      <c r="B117" s="307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0.78339999999999999</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1" t="s">
        <v>1033</v>
      </c>
      <c r="C1" s="3081"/>
      <c r="D1" s="3081"/>
      <c r="E1" s="3081"/>
      <c r="F1" s="3081"/>
      <c r="G1" s="3080" t="s">
        <v>1034</v>
      </c>
      <c r="H1" s="3080"/>
      <c r="I1" s="3080"/>
      <c r="J1" s="3080"/>
      <c r="K1" s="3080"/>
      <c r="L1" s="3080"/>
      <c r="N1" s="3080" t="s">
        <v>1035</v>
      </c>
      <c r="O1" s="3080"/>
      <c r="P1" s="3080"/>
      <c r="Q1" s="3080"/>
      <c r="R1" s="1548"/>
      <c r="S1" s="3080" t="s">
        <v>1036</v>
      </c>
      <c r="T1" s="3080"/>
      <c r="U1" s="3080"/>
      <c r="V1" s="3080"/>
      <c r="X1" s="3079" t="s">
        <v>1037</v>
      </c>
      <c r="Y1" s="3080"/>
      <c r="Z1" s="3080"/>
      <c r="AA1" s="3080"/>
      <c r="AB1" s="3080"/>
      <c r="AD1" s="3079" t="s">
        <v>1038</v>
      </c>
      <c r="AE1" s="3080"/>
      <c r="AF1" s="3080"/>
      <c r="AG1" s="3080"/>
      <c r="AH1" s="3080"/>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2804</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2808</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0">
        <v>2018</v>
      </c>
      <c r="H5" s="1821">
        <v>2</v>
      </c>
      <c r="I5" s="2711">
        <v>0</v>
      </c>
      <c r="J5" s="2711">
        <v>0</v>
      </c>
      <c r="K5" s="2711">
        <v>0</v>
      </c>
      <c r="L5" s="2712">
        <v>0</v>
      </c>
      <c r="N5" s="1570">
        <f t="shared" ref="N5" si="7">I5/100</f>
        <v>0</v>
      </c>
      <c r="O5" s="1570">
        <f t="shared" ref="O5" si="8">J5/100</f>
        <v>0</v>
      </c>
      <c r="P5" s="1570">
        <f t="shared" ref="P5" si="9">K5/100</f>
        <v>0</v>
      </c>
      <c r="Q5" s="1570">
        <f t="shared" ref="Q5" si="10">L5/100</f>
        <v>0</v>
      </c>
      <c r="R5" s="1823"/>
      <c r="S5" s="1824"/>
      <c r="T5" s="1823"/>
      <c r="U5" s="1823"/>
      <c r="V5" s="1823"/>
      <c r="W5" s="2717" t="s">
        <v>2803</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2809</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09">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2805</v>
      </c>
      <c r="B7" s="1572">
        <v>439</v>
      </c>
      <c r="C7" s="1572">
        <v>327</v>
      </c>
      <c r="D7" s="1572">
        <f t="shared" si="14"/>
        <v>327</v>
      </c>
      <c r="E7" s="1572">
        <v>627</v>
      </c>
      <c r="F7" s="1573">
        <v>283</v>
      </c>
      <c r="G7" s="2716">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2800</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09"/>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08"/>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09"/>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8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77"/>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77"/>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78"/>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76">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77"/>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77"/>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78"/>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76">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77"/>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77"/>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78"/>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8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8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8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8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76">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77"/>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77"/>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78"/>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76">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77">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77">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78">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76">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77">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77">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78">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76">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77">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77">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78">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76">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77">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77">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78">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76">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77">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77">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78">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76">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77">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77">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78">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76">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77">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77">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78">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76">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77">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77">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78">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76">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77">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77">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78">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76">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77">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77">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78">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39990</v>
      </c>
      <c r="D1" s="1802" t="s">
        <v>1186</v>
      </c>
      <c r="E1" s="1808">
        <f>'数据-取费表'!B23</f>
        <v>2</v>
      </c>
      <c r="F1" s="1802" t="s">
        <v>1187</v>
      </c>
      <c r="G1" s="1809">
        <f ca="1">INDIRECT("d"&amp;$K$1)/100</f>
        <v>5.4000000000000006E-2</v>
      </c>
      <c r="H1" s="1802" t="s">
        <v>1217</v>
      </c>
      <c r="I1" s="1809">
        <f ca="1">F4/100</f>
        <v>2.2499999999999999E-2</v>
      </c>
      <c r="J1" s="1803">
        <f>IF(C1&gt;C13,0,MATCH(C1,C$13:C$100,-1))+IF(SUMIF(C13:C100,C1,D13:D100)=0,13,12)</f>
        <v>26</v>
      </c>
      <c r="K1" s="1803">
        <f>MATCH(E1,C3:C7,1)+IF(SUMIF(C3:C7,E1,D3:D7)=0,2,1)</f>
        <v>5</v>
      </c>
      <c r="L1" s="1803">
        <f>IF(C1&gt;M13,0,MATCH(C1,M$13:M$100,-1))+IF(SUMIF(M13:M100,C1,N13:N100)=0,13,12)</f>
        <v>26</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4.8600000000000003</v>
      </c>
      <c r="E3" s="1750">
        <v>0.5</v>
      </c>
      <c r="F3" s="1751">
        <f ca="1">INDIRECT("p"&amp;$L$1)</f>
        <v>1.98</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5.31</v>
      </c>
      <c r="E4" s="1756">
        <v>1</v>
      </c>
      <c r="F4" s="1757">
        <f ca="1">INDIRECT("q"&amp;$L$1)</f>
        <v>2.25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5.4</v>
      </c>
      <c r="E5" s="1756">
        <v>2</v>
      </c>
      <c r="F5" s="1757">
        <f ca="1">INDIRECT("r"&amp;$L$1)</f>
        <v>2.79</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5.76</v>
      </c>
      <c r="E6" s="1756">
        <v>3</v>
      </c>
      <c r="F6" s="1757">
        <f ca="1">INDIRECT("s"&amp;$L$1)</f>
        <v>3.33</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5.94</v>
      </c>
      <c r="E7" s="1761">
        <v>5</v>
      </c>
      <c r="F7" s="1762">
        <f ca="1">INDIRECT("t"&amp;$L$1)</f>
        <v>3.6</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8"/>
  <sheetViews>
    <sheetView topLeftCell="AB1" workbookViewId="0">
      <selection activeCell="AP28" sqref="AP28"/>
    </sheetView>
  </sheetViews>
  <sheetFormatPr defaultRowHeight="13.5"/>
  <cols>
    <col min="1" max="1" width="18.625" customWidth="1"/>
    <col min="2" max="2" width="16.625" customWidth="1"/>
    <col min="12" max="12" width="9.125" bestFit="1" customWidth="1"/>
    <col min="15" max="15" width="9.125" bestFit="1" customWidth="1"/>
    <col min="17" max="19" width="9.125" bestFit="1" customWidth="1"/>
    <col min="20" max="20" width="18.625" bestFit="1" customWidth="1"/>
    <col min="21" max="23" width="9.125" bestFit="1" customWidth="1"/>
    <col min="24" max="24" width="16.75" bestFit="1" customWidth="1"/>
    <col min="25" max="28" width="9.125" bestFit="1" customWidth="1"/>
    <col min="38" max="38" width="9.125" bestFit="1" customWidth="1"/>
    <col min="59" max="59" width="12.75" bestFit="1" customWidth="1"/>
    <col min="62" max="62" width="12.75" bestFit="1" customWidth="1"/>
    <col min="69" max="70" width="9.125" bestFit="1" customWidth="1"/>
  </cols>
  <sheetData>
    <row r="1" spans="1:74" s="3108" customFormat="1" ht="14.25" customHeight="1">
      <c r="A1" s="3086"/>
      <c r="B1" s="3087"/>
      <c r="C1" s="3088"/>
      <c r="D1" s="3088"/>
      <c r="E1" s="3088"/>
      <c r="F1" s="3088"/>
      <c r="G1" s="3088"/>
      <c r="H1" s="3088"/>
      <c r="I1" s="3088"/>
      <c r="J1" s="3088"/>
      <c r="K1" s="3089"/>
      <c r="L1" s="3090"/>
      <c r="M1" s="3091"/>
      <c r="N1" s="3090"/>
      <c r="O1" s="3091"/>
      <c r="P1" s="3090"/>
      <c r="Q1" s="3091"/>
      <c r="R1" s="3091"/>
      <c r="S1" s="3090"/>
      <c r="T1" s="3092"/>
      <c r="U1" s="3090"/>
      <c r="V1" s="3089" t="s">
        <v>2815</v>
      </c>
      <c r="W1" s="3089"/>
      <c r="X1" s="3093"/>
      <c r="Y1" s="3090"/>
      <c r="Z1" s="3091" t="s">
        <v>2816</v>
      </c>
      <c r="AA1" s="3090"/>
      <c r="AB1" s="3090"/>
      <c r="AC1" s="3090"/>
      <c r="AD1" s="3094"/>
      <c r="AE1" s="3088"/>
      <c r="AF1" s="3087"/>
      <c r="AG1" s="3087"/>
      <c r="AH1" s="3095"/>
      <c r="AI1" s="3087"/>
      <c r="AJ1" s="3096"/>
      <c r="AK1" s="3087"/>
      <c r="AL1" s="3097"/>
      <c r="AM1" s="3097"/>
      <c r="AN1" s="3098" t="s">
        <v>2817</v>
      </c>
      <c r="AO1" s="3098" t="s">
        <v>2818</v>
      </c>
      <c r="AP1" s="3098"/>
      <c r="AQ1" s="3098"/>
      <c r="AR1" s="3099"/>
      <c r="AS1" s="3099" t="s">
        <v>2819</v>
      </c>
      <c r="AT1" s="3099"/>
      <c r="AU1" s="3099"/>
      <c r="AV1" s="3098"/>
      <c r="AW1" s="3100"/>
      <c r="AX1" s="3100"/>
      <c r="AY1" s="3101"/>
      <c r="AZ1" s="3100"/>
      <c r="BA1" s="3100"/>
      <c r="BB1" s="3101"/>
      <c r="BC1" s="3100"/>
      <c r="BD1" s="3102"/>
      <c r="BE1" s="3100"/>
      <c r="BF1" s="3103"/>
      <c r="BG1" s="3104"/>
      <c r="BH1" s="3100"/>
      <c r="BI1" s="3100"/>
      <c r="BJ1" s="3105" t="s">
        <v>2820</v>
      </c>
      <c r="BK1" s="3106" t="s">
        <v>2821</v>
      </c>
      <c r="BL1" s="3089"/>
      <c r="BM1" s="3107"/>
      <c r="BN1" s="3107"/>
      <c r="BO1" s="3107"/>
      <c r="BP1" s="3107"/>
      <c r="BQ1" s="3099"/>
      <c r="BR1" s="3099"/>
    </row>
    <row r="2" spans="1:74" s="3120" customFormat="1" ht="15.75">
      <c r="A2" s="3109" t="s">
        <v>2822</v>
      </c>
      <c r="B2" s="3098" t="s">
        <v>2823</v>
      </c>
      <c r="C2" s="3110" t="s">
        <v>2824</v>
      </c>
      <c r="D2" s="3110" t="s">
        <v>2825</v>
      </c>
      <c r="E2" s="3110" t="s">
        <v>2826</v>
      </c>
      <c r="F2" s="3110" t="s">
        <v>2827</v>
      </c>
      <c r="G2" s="3110" t="s">
        <v>2828</v>
      </c>
      <c r="H2" s="3110" t="s">
        <v>2829</v>
      </c>
      <c r="I2" s="3110" t="s">
        <v>2830</v>
      </c>
      <c r="J2" s="3110" t="s">
        <v>2831</v>
      </c>
      <c r="K2" s="3098" t="s">
        <v>2832</v>
      </c>
      <c r="L2" s="3098" t="s">
        <v>2833</v>
      </c>
      <c r="M2" s="3098" t="s">
        <v>2834</v>
      </c>
      <c r="N2" s="3098" t="s">
        <v>2835</v>
      </c>
      <c r="O2" s="3098" t="s">
        <v>2836</v>
      </c>
      <c r="P2" s="3098" t="s">
        <v>2837</v>
      </c>
      <c r="Q2" s="3098" t="s">
        <v>2838</v>
      </c>
      <c r="R2" s="3098" t="s">
        <v>2839</v>
      </c>
      <c r="S2" s="3098" t="s">
        <v>2840</v>
      </c>
      <c r="T2" s="3111" t="s">
        <v>2841</v>
      </c>
      <c r="U2" s="3098" t="s">
        <v>2842</v>
      </c>
      <c r="V2" s="3098" t="s">
        <v>2843</v>
      </c>
      <c r="W2" s="3098" t="s">
        <v>2844</v>
      </c>
      <c r="X2" s="3111" t="s">
        <v>2845</v>
      </c>
      <c r="Y2" s="3098" t="s">
        <v>2846</v>
      </c>
      <c r="Z2" s="3098" t="s">
        <v>2847</v>
      </c>
      <c r="AA2" s="3098" t="s">
        <v>2848</v>
      </c>
      <c r="AB2" s="3098" t="s">
        <v>2849</v>
      </c>
      <c r="AC2" s="3098" t="s">
        <v>2850</v>
      </c>
      <c r="AD2" s="3112" t="s">
        <v>2851</v>
      </c>
      <c r="AE2" s="3110" t="s">
        <v>2852</v>
      </c>
      <c r="AF2" s="3098" t="s">
        <v>2853</v>
      </c>
      <c r="AG2" s="3098" t="s">
        <v>2854</v>
      </c>
      <c r="AH2" s="3098" t="s">
        <v>2855</v>
      </c>
      <c r="AI2" s="3098" t="s">
        <v>2856</v>
      </c>
      <c r="AJ2" s="3113" t="s">
        <v>2857</v>
      </c>
      <c r="AK2" s="3098" t="s">
        <v>2858</v>
      </c>
      <c r="AL2" s="3097" t="s">
        <v>2859</v>
      </c>
      <c r="AM2" s="3097" t="s">
        <v>2860</v>
      </c>
      <c r="AN2" s="3098" t="s">
        <v>2861</v>
      </c>
      <c r="AO2" s="3098" t="s">
        <v>2862</v>
      </c>
      <c r="AP2" s="3098" t="s">
        <v>2863</v>
      </c>
      <c r="AQ2" s="3098" t="s">
        <v>2864</v>
      </c>
      <c r="AR2" s="3099" t="s">
        <v>2865</v>
      </c>
      <c r="AS2" s="3099" t="s">
        <v>2847</v>
      </c>
      <c r="AT2" s="3099" t="s">
        <v>2848</v>
      </c>
      <c r="AU2" s="3099" t="s">
        <v>2866</v>
      </c>
      <c r="AV2" s="3097" t="s">
        <v>2867</v>
      </c>
      <c r="AW2" s="3114" t="s">
        <v>2868</v>
      </c>
      <c r="AX2" s="3115" t="s">
        <v>2869</v>
      </c>
      <c r="AY2" s="3116" t="s">
        <v>2870</v>
      </c>
      <c r="AZ2" s="3114" t="s">
        <v>2871</v>
      </c>
      <c r="BA2" s="3114" t="s">
        <v>2872</v>
      </c>
      <c r="BB2" s="3116" t="s">
        <v>2873</v>
      </c>
      <c r="BC2" s="3114" t="s">
        <v>2874</v>
      </c>
      <c r="BD2" s="3117" t="s">
        <v>2875</v>
      </c>
      <c r="BE2" s="3114" t="s">
        <v>2876</v>
      </c>
      <c r="BF2" s="3118" t="s">
        <v>2877</v>
      </c>
      <c r="BG2" s="3119" t="s">
        <v>2878</v>
      </c>
      <c r="BH2" s="3119" t="s">
        <v>2879</v>
      </c>
      <c r="BI2" s="3119" t="s">
        <v>2880</v>
      </c>
      <c r="BJ2" s="3105" t="s">
        <v>2881</v>
      </c>
      <c r="BK2" s="3106" t="s">
        <v>2882</v>
      </c>
      <c r="BL2" s="3099" t="s">
        <v>2883</v>
      </c>
      <c r="BM2" s="3107" t="s">
        <v>2884</v>
      </c>
      <c r="BN2" s="3107" t="s">
        <v>2885</v>
      </c>
      <c r="BO2" s="3107" t="s">
        <v>2886</v>
      </c>
      <c r="BP2" s="3107"/>
      <c r="BQ2" s="3099" t="s">
        <v>2887</v>
      </c>
      <c r="BR2" s="3099" t="s">
        <v>2888</v>
      </c>
    </row>
    <row r="3" spans="1:74" s="3144" customFormat="1" ht="12" customHeight="1">
      <c r="A3" s="3121" t="s">
        <v>2889</v>
      </c>
      <c r="B3" s="3122" t="s">
        <v>2890</v>
      </c>
      <c r="C3" s="3123" t="s">
        <v>2891</v>
      </c>
      <c r="D3" s="3123" t="s">
        <v>2892</v>
      </c>
      <c r="E3" s="3122" t="s">
        <v>635</v>
      </c>
      <c r="F3" s="3122" t="s">
        <v>2893</v>
      </c>
      <c r="G3" s="3122"/>
      <c r="H3" s="3122" t="s">
        <v>2894</v>
      </c>
      <c r="I3" s="3122" t="s">
        <v>2895</v>
      </c>
      <c r="J3" s="3123" t="s">
        <v>2896</v>
      </c>
      <c r="K3" s="3122" t="s">
        <v>2897</v>
      </c>
      <c r="L3" s="3124">
        <v>76.010000000000005</v>
      </c>
      <c r="M3" s="3123" t="s">
        <v>2898</v>
      </c>
      <c r="N3" s="3122" t="s">
        <v>2899</v>
      </c>
      <c r="O3" s="3122"/>
      <c r="P3" s="3122" t="s">
        <v>2900</v>
      </c>
      <c r="Q3" s="3125">
        <v>650000</v>
      </c>
      <c r="R3" s="3122">
        <v>8552</v>
      </c>
      <c r="S3" s="3126">
        <v>83.8</v>
      </c>
      <c r="T3" s="3127">
        <v>838000</v>
      </c>
      <c r="U3" s="3122">
        <v>11026</v>
      </c>
      <c r="V3" s="3128">
        <v>0.2</v>
      </c>
      <c r="W3" s="3129">
        <v>67.040000000000006</v>
      </c>
      <c r="X3" s="3130">
        <v>670400.00000000012</v>
      </c>
      <c r="Y3" s="3131">
        <v>2009</v>
      </c>
      <c r="Z3" s="3131">
        <v>1</v>
      </c>
      <c r="AA3" s="3131">
        <v>14</v>
      </c>
      <c r="AB3" s="3122">
        <v>1500</v>
      </c>
      <c r="AC3" s="3122" t="s">
        <v>2901</v>
      </c>
      <c r="AD3" s="3132" t="s">
        <v>2902</v>
      </c>
      <c r="AE3" s="3122" t="s">
        <v>2903</v>
      </c>
      <c r="AF3" s="3122" t="s">
        <v>2904</v>
      </c>
      <c r="AG3" s="3133" t="s">
        <v>2905</v>
      </c>
      <c r="AH3" s="3121"/>
      <c r="AI3" s="3122" t="s">
        <v>2906</v>
      </c>
      <c r="AJ3" s="3134"/>
      <c r="AK3" s="3135" t="s">
        <v>2907</v>
      </c>
      <c r="AL3" s="3131">
        <v>24</v>
      </c>
      <c r="AM3" s="3122"/>
      <c r="AN3" s="3136" t="s">
        <v>2908</v>
      </c>
      <c r="AO3" s="3122"/>
      <c r="AP3" s="3131" t="s">
        <v>2909</v>
      </c>
      <c r="AQ3" s="3131" t="s">
        <v>2910</v>
      </c>
      <c r="AR3" s="3131"/>
      <c r="AS3" s="3131"/>
      <c r="AT3" s="3131"/>
      <c r="AU3" s="3131"/>
      <c r="AV3" s="3131"/>
      <c r="AW3" s="3131" t="s">
        <v>2911</v>
      </c>
      <c r="AX3" s="3131"/>
      <c r="AY3" s="3137"/>
      <c r="AZ3" s="3122" t="s">
        <v>2897</v>
      </c>
      <c r="BA3" s="3131"/>
      <c r="BB3" s="3137"/>
      <c r="BC3" s="3131"/>
      <c r="BD3" s="3138"/>
      <c r="BE3" s="3131">
        <v>13701113392</v>
      </c>
      <c r="BF3" s="3139"/>
      <c r="BG3" s="3140">
        <v>39826</v>
      </c>
      <c r="BH3" s="3122" t="s">
        <v>2912</v>
      </c>
      <c r="BI3" s="3131" t="s">
        <v>2909</v>
      </c>
      <c r="BJ3" s="3140">
        <v>39826</v>
      </c>
      <c r="BK3" s="3141"/>
      <c r="BL3" s="3122" t="s">
        <v>2912</v>
      </c>
      <c r="BM3" s="3122" t="s">
        <v>2913</v>
      </c>
      <c r="BN3" s="3122" t="s">
        <v>2914</v>
      </c>
      <c r="BO3" s="3131" t="s">
        <v>2915</v>
      </c>
      <c r="BP3" s="3131"/>
      <c r="BQ3" s="3131" t="e">
        <v>#DIV/0!</v>
      </c>
      <c r="BR3" s="3131" t="e">
        <v>#DIV/0!</v>
      </c>
      <c r="BS3" s="3142"/>
      <c r="BT3" s="3142"/>
      <c r="BU3" s="3143"/>
    </row>
    <row r="4" spans="1:74" s="3144" customFormat="1" ht="12" customHeight="1">
      <c r="A4" s="3121" t="s">
        <v>2916</v>
      </c>
      <c r="B4" s="3122" t="s">
        <v>2917</v>
      </c>
      <c r="C4" s="3123" t="s">
        <v>2918</v>
      </c>
      <c r="D4" s="3145">
        <v>13601397953</v>
      </c>
      <c r="E4" s="3122" t="s">
        <v>635</v>
      </c>
      <c r="F4" s="3146" t="s">
        <v>2919</v>
      </c>
      <c r="G4" s="3122"/>
      <c r="H4" s="3122" t="s">
        <v>2920</v>
      </c>
      <c r="I4" s="3122" t="s">
        <v>2921</v>
      </c>
      <c r="J4" s="3123" t="s">
        <v>2922</v>
      </c>
      <c r="K4" s="3122" t="s">
        <v>2923</v>
      </c>
      <c r="L4" s="3147">
        <v>50.85</v>
      </c>
      <c r="M4" s="3122">
        <v>9</v>
      </c>
      <c r="N4" s="3122" t="s">
        <v>2924</v>
      </c>
      <c r="O4" s="3122"/>
      <c r="P4" s="3122" t="s">
        <v>2900</v>
      </c>
      <c r="Q4" s="3148">
        <v>450000</v>
      </c>
      <c r="R4" s="3122">
        <v>8850</v>
      </c>
      <c r="S4" s="3126">
        <v>56.42</v>
      </c>
      <c r="T4" s="3127">
        <v>564200</v>
      </c>
      <c r="U4" s="3148">
        <v>11096</v>
      </c>
      <c r="V4" s="3128">
        <v>0.2</v>
      </c>
      <c r="W4" s="3129">
        <v>45.13</v>
      </c>
      <c r="X4" s="3130">
        <v>451300</v>
      </c>
      <c r="Y4" s="3131">
        <v>2009</v>
      </c>
      <c r="Z4" s="3131">
        <v>2</v>
      </c>
      <c r="AA4" s="3131">
        <v>24</v>
      </c>
      <c r="AB4" s="3122">
        <v>1500</v>
      </c>
      <c r="AC4" s="3122" t="s">
        <v>2901</v>
      </c>
      <c r="AD4" s="3132" t="s">
        <v>2925</v>
      </c>
      <c r="AE4" s="3122" t="s">
        <v>2926</v>
      </c>
      <c r="AF4" s="3122" t="s">
        <v>2912</v>
      </c>
      <c r="AG4" s="3122" t="s">
        <v>2905</v>
      </c>
      <c r="AH4" s="3121" t="s">
        <v>2927</v>
      </c>
      <c r="AI4" s="3133" t="s">
        <v>2906</v>
      </c>
      <c r="AJ4" s="3149"/>
      <c r="AK4" s="3150" t="s">
        <v>2908</v>
      </c>
      <c r="AL4" s="3131">
        <v>36</v>
      </c>
      <c r="AM4" s="3122" t="s">
        <v>2928</v>
      </c>
      <c r="AN4" s="3131" t="s">
        <v>2929</v>
      </c>
      <c r="AO4" s="3122" t="s">
        <v>2927</v>
      </c>
      <c r="AP4" s="3133" t="s">
        <v>2909</v>
      </c>
      <c r="AQ4" s="3133" t="s">
        <v>2910</v>
      </c>
      <c r="AR4" s="3131">
        <v>2009</v>
      </c>
      <c r="AS4" s="3131">
        <v>2</v>
      </c>
      <c r="AT4" s="3131">
        <v>24</v>
      </c>
      <c r="AU4" s="3122"/>
      <c r="AV4" s="3122"/>
      <c r="AW4" s="3131" t="s">
        <v>2911</v>
      </c>
      <c r="AX4" s="3122"/>
      <c r="AY4" s="3122"/>
      <c r="AZ4" s="3122" t="s">
        <v>2923</v>
      </c>
      <c r="BA4" s="3122"/>
      <c r="BB4" s="3122"/>
      <c r="BC4" s="3122"/>
      <c r="BD4" s="3122"/>
      <c r="BE4" s="3122">
        <v>13552771633</v>
      </c>
      <c r="BF4" s="3122"/>
      <c r="BG4" s="3151">
        <v>39853</v>
      </c>
      <c r="BH4" s="3122"/>
      <c r="BI4" s="3131" t="s">
        <v>2909</v>
      </c>
      <c r="BJ4" s="3151">
        <v>39854</v>
      </c>
      <c r="BK4" s="3141"/>
      <c r="BL4" s="3122" t="s">
        <v>2912</v>
      </c>
      <c r="BM4" s="3122" t="s">
        <v>2913</v>
      </c>
      <c r="BN4" s="3122" t="s">
        <v>2914</v>
      </c>
      <c r="BO4" s="3131" t="s">
        <v>2915</v>
      </c>
      <c r="BP4" s="3122"/>
      <c r="BQ4" s="3131" t="e">
        <v>#DIV/0!</v>
      </c>
      <c r="BR4" s="3131" t="e">
        <v>#DIV/0!</v>
      </c>
      <c r="BS4" s="3142"/>
      <c r="BT4" s="3142"/>
      <c r="BU4" s="3143"/>
    </row>
    <row r="5" spans="1:74" s="3144" customFormat="1" ht="12" customHeight="1">
      <c r="A5" s="3122" t="s">
        <v>2930</v>
      </c>
      <c r="B5" s="3122" t="s">
        <v>2931</v>
      </c>
      <c r="C5" s="3152" t="s">
        <v>2932</v>
      </c>
      <c r="D5" s="3122">
        <v>13681295847</v>
      </c>
      <c r="E5" s="3146" t="s">
        <v>635</v>
      </c>
      <c r="F5" s="3122" t="s">
        <v>2933</v>
      </c>
      <c r="G5" s="3122"/>
      <c r="H5" s="3122" t="s">
        <v>2920</v>
      </c>
      <c r="I5" s="3122" t="s">
        <v>2934</v>
      </c>
      <c r="J5" s="3122" t="s">
        <v>2935</v>
      </c>
      <c r="K5" s="3122" t="s">
        <v>2936</v>
      </c>
      <c r="L5" s="3122">
        <v>50.86</v>
      </c>
      <c r="M5" s="3123" t="s">
        <v>2937</v>
      </c>
      <c r="N5" s="3122" t="s">
        <v>2938</v>
      </c>
      <c r="O5" s="3122"/>
      <c r="P5" s="3122" t="s">
        <v>2900</v>
      </c>
      <c r="Q5" s="3153">
        <v>560000</v>
      </c>
      <c r="R5" s="3122">
        <v>11011</v>
      </c>
      <c r="S5" s="3126">
        <v>56.21</v>
      </c>
      <c r="T5" s="3127">
        <v>562100</v>
      </c>
      <c r="U5" s="3122">
        <v>11052</v>
      </c>
      <c r="V5" s="3128">
        <v>0.2</v>
      </c>
      <c r="W5" s="3129">
        <v>44.96</v>
      </c>
      <c r="X5" s="3130">
        <v>449600</v>
      </c>
      <c r="Y5" s="3131">
        <v>2009</v>
      </c>
      <c r="Z5" s="3131">
        <v>3</v>
      </c>
      <c r="AA5" s="3122">
        <v>13</v>
      </c>
      <c r="AB5" s="3122">
        <v>1500</v>
      </c>
      <c r="AC5" s="3122" t="s">
        <v>2939</v>
      </c>
      <c r="AD5" s="3154" t="s">
        <v>2940</v>
      </c>
      <c r="AE5" s="3122" t="s">
        <v>2926</v>
      </c>
      <c r="AF5" s="3122" t="s">
        <v>2904</v>
      </c>
      <c r="AG5" s="3133" t="s">
        <v>2905</v>
      </c>
      <c r="AH5" s="3122"/>
      <c r="AI5" s="3122" t="s">
        <v>2906</v>
      </c>
      <c r="AJ5" s="3151"/>
      <c r="AK5" s="3135" t="s">
        <v>2941</v>
      </c>
      <c r="AL5" s="3122">
        <v>30</v>
      </c>
      <c r="AM5" s="3122" t="s">
        <v>2942</v>
      </c>
      <c r="AN5" s="3133" t="s">
        <v>2908</v>
      </c>
      <c r="AO5" s="3122"/>
      <c r="AP5" s="3131" t="s">
        <v>2909</v>
      </c>
      <c r="AQ5" s="3122" t="s">
        <v>2910</v>
      </c>
      <c r="AR5" s="3122">
        <v>2009</v>
      </c>
      <c r="AS5" s="3122">
        <v>3</v>
      </c>
      <c r="AT5" s="3122">
        <v>13</v>
      </c>
      <c r="AU5" s="3122"/>
      <c r="AV5" s="3122"/>
      <c r="AW5" s="3122" t="s">
        <v>2911</v>
      </c>
      <c r="AX5" s="3122"/>
      <c r="AY5" s="3123"/>
      <c r="AZ5" s="3131" t="s">
        <v>2936</v>
      </c>
      <c r="BA5" s="3122"/>
      <c r="BB5" s="3123"/>
      <c r="BC5" s="3122"/>
      <c r="BD5" s="3155"/>
      <c r="BE5" s="3122">
        <v>67745042</v>
      </c>
      <c r="BF5" s="3156"/>
      <c r="BG5" s="3140">
        <v>39874</v>
      </c>
      <c r="BH5" s="3122"/>
      <c r="BI5" s="3131" t="s">
        <v>2909</v>
      </c>
      <c r="BJ5" s="3140">
        <v>39878</v>
      </c>
      <c r="BK5" s="3151"/>
      <c r="BL5" s="3122" t="s">
        <v>2912</v>
      </c>
      <c r="BM5" s="3131" t="s">
        <v>2913</v>
      </c>
      <c r="BN5" s="3131" t="s">
        <v>2914</v>
      </c>
      <c r="BO5" s="3122" t="s">
        <v>2915</v>
      </c>
      <c r="BP5" s="3122"/>
      <c r="BQ5" s="3131" t="e">
        <v>#DIV/0!</v>
      </c>
      <c r="BR5" s="3131" t="e">
        <v>#DIV/0!</v>
      </c>
      <c r="BS5" s="3142"/>
      <c r="BT5" s="3142"/>
      <c r="BU5" s="3143"/>
    </row>
    <row r="6" spans="1:74" s="3143" customFormat="1" ht="12" customHeight="1">
      <c r="A6" s="3145" t="s">
        <v>2943</v>
      </c>
      <c r="B6" s="3122" t="s">
        <v>2944</v>
      </c>
      <c r="C6" s="3123" t="s">
        <v>2945</v>
      </c>
      <c r="D6" s="3157" t="s">
        <v>2946</v>
      </c>
      <c r="E6" s="3122" t="s">
        <v>635</v>
      </c>
      <c r="F6" s="3122" t="s">
        <v>2947</v>
      </c>
      <c r="G6" s="3122"/>
      <c r="H6" s="3122" t="s">
        <v>2948</v>
      </c>
      <c r="I6" s="3131" t="s">
        <v>2949</v>
      </c>
      <c r="J6" s="3122" t="s">
        <v>2950</v>
      </c>
      <c r="K6" s="3122" t="s">
        <v>2951</v>
      </c>
      <c r="L6" s="3122">
        <v>47.89</v>
      </c>
      <c r="M6" s="3157" t="s">
        <v>2898</v>
      </c>
      <c r="N6" s="3122" t="s">
        <v>2952</v>
      </c>
      <c r="O6" s="3122"/>
      <c r="P6" s="3122" t="s">
        <v>2900</v>
      </c>
      <c r="Q6" s="3153">
        <v>550000</v>
      </c>
      <c r="R6" s="3122">
        <v>11485</v>
      </c>
      <c r="S6" s="3126">
        <v>49.34</v>
      </c>
      <c r="T6" s="3127">
        <v>493400.00000000006</v>
      </c>
      <c r="U6" s="3122">
        <v>10303</v>
      </c>
      <c r="V6" s="3128">
        <v>0.2</v>
      </c>
      <c r="W6" s="3129">
        <v>39.47</v>
      </c>
      <c r="X6" s="3130">
        <v>394700</v>
      </c>
      <c r="Y6" s="3131">
        <v>2009</v>
      </c>
      <c r="Z6" s="3131">
        <v>3</v>
      </c>
      <c r="AA6" s="3131">
        <v>12</v>
      </c>
      <c r="AB6" s="3122">
        <v>1480</v>
      </c>
      <c r="AC6" s="3122" t="s">
        <v>2901</v>
      </c>
      <c r="AD6" s="3158">
        <v>91302009031003</v>
      </c>
      <c r="AE6" s="3131" t="s">
        <v>2903</v>
      </c>
      <c r="AF6" s="3122" t="s">
        <v>2904</v>
      </c>
      <c r="AG6" s="3122" t="s">
        <v>2905</v>
      </c>
      <c r="AH6" s="3121"/>
      <c r="AI6" s="3122" t="s">
        <v>2906</v>
      </c>
      <c r="AJ6" s="3134"/>
      <c r="AK6" s="3135" t="s">
        <v>2941</v>
      </c>
      <c r="AL6" s="3131">
        <v>20</v>
      </c>
      <c r="AM6" s="3122" t="s">
        <v>2953</v>
      </c>
      <c r="AN6" s="3133" t="s">
        <v>2908</v>
      </c>
      <c r="AO6" s="3131"/>
      <c r="AP6" s="3133" t="s">
        <v>2954</v>
      </c>
      <c r="AQ6" s="3122" t="s">
        <v>2910</v>
      </c>
      <c r="AR6" s="3131"/>
      <c r="AS6" s="3131"/>
      <c r="AT6" s="3131"/>
      <c r="AU6" s="3131"/>
      <c r="AV6" s="3131"/>
      <c r="AW6" s="3122" t="s">
        <v>2955</v>
      </c>
      <c r="AX6" s="3131" t="s">
        <v>2956</v>
      </c>
      <c r="AY6" s="3137" t="s">
        <v>2957</v>
      </c>
      <c r="AZ6" s="3131" t="s">
        <v>2951</v>
      </c>
      <c r="BA6" s="3131"/>
      <c r="BB6" s="3137"/>
      <c r="BC6" s="3131"/>
      <c r="BD6" s="3138"/>
      <c r="BE6" s="3131"/>
      <c r="BF6" s="3139"/>
      <c r="BG6" s="3140">
        <v>39874</v>
      </c>
      <c r="BH6" s="3131"/>
      <c r="BI6" s="3136" t="s">
        <v>2954</v>
      </c>
      <c r="BJ6" s="3141">
        <v>39883</v>
      </c>
      <c r="BK6" s="3141"/>
      <c r="BL6" s="3122" t="s">
        <v>2912</v>
      </c>
      <c r="BM6" s="3131" t="s">
        <v>2913</v>
      </c>
      <c r="BN6" s="3131" t="s">
        <v>2914</v>
      </c>
      <c r="BO6" s="3131" t="s">
        <v>2915</v>
      </c>
      <c r="BP6" s="3131"/>
      <c r="BQ6" s="3131" t="e">
        <v>#DIV/0!</v>
      </c>
      <c r="BR6" s="3131" t="e">
        <v>#DIV/0!</v>
      </c>
      <c r="BS6" s="3142"/>
      <c r="BT6" s="3142"/>
      <c r="BV6" s="3144"/>
    </row>
    <row r="7" spans="1:74" s="3173" customFormat="1" ht="12" customHeight="1">
      <c r="A7" s="3159" t="s">
        <v>3092</v>
      </c>
      <c r="B7" s="3159" t="s">
        <v>2959</v>
      </c>
      <c r="C7" s="3160" t="s">
        <v>2960</v>
      </c>
      <c r="D7" s="3159">
        <v>15910276263</v>
      </c>
      <c r="E7" s="3159" t="s">
        <v>635</v>
      </c>
      <c r="F7" s="3159" t="s">
        <v>2961</v>
      </c>
      <c r="G7" s="3159"/>
      <c r="H7" s="3159" t="s">
        <v>2894</v>
      </c>
      <c r="I7" s="3159" t="s">
        <v>2949</v>
      </c>
      <c r="J7" s="3159" t="s">
        <v>2962</v>
      </c>
      <c r="K7" s="3159" t="s">
        <v>2963</v>
      </c>
      <c r="L7" s="3159">
        <v>57.02</v>
      </c>
      <c r="M7" s="3159">
        <v>3</v>
      </c>
      <c r="N7" s="3159" t="s">
        <v>2964</v>
      </c>
      <c r="O7" s="3159"/>
      <c r="P7" s="3159" t="s">
        <v>2900</v>
      </c>
      <c r="Q7" s="3159">
        <v>650000</v>
      </c>
      <c r="R7" s="3159">
        <v>11400</v>
      </c>
      <c r="S7" s="3161">
        <v>62.02</v>
      </c>
      <c r="T7" s="3162">
        <v>620200</v>
      </c>
      <c r="U7" s="3159">
        <v>10877</v>
      </c>
      <c r="V7" s="3163">
        <v>0.2</v>
      </c>
      <c r="W7" s="3164">
        <v>49.61</v>
      </c>
      <c r="X7" s="3165">
        <v>496100</v>
      </c>
      <c r="Y7" s="3159">
        <v>2009</v>
      </c>
      <c r="Z7" s="3159">
        <v>3</v>
      </c>
      <c r="AA7" s="3159">
        <v>13</v>
      </c>
      <c r="AB7" s="3159">
        <v>1500</v>
      </c>
      <c r="AC7" s="3159" t="s">
        <v>2939</v>
      </c>
      <c r="AD7" s="3160" t="s">
        <v>2965</v>
      </c>
      <c r="AE7" s="3159" t="s">
        <v>2926</v>
      </c>
      <c r="AF7" s="3159" t="s">
        <v>2966</v>
      </c>
      <c r="AG7" s="3159" t="s">
        <v>2905</v>
      </c>
      <c r="AH7" s="3159"/>
      <c r="AI7" s="3166"/>
      <c r="AJ7" s="3159"/>
      <c r="AK7" s="3167" t="s">
        <v>2941</v>
      </c>
      <c r="AL7" s="3159">
        <v>24</v>
      </c>
      <c r="AM7" s="3159" t="s">
        <v>2967</v>
      </c>
      <c r="AN7" s="3168" t="s">
        <v>2908</v>
      </c>
      <c r="AO7" s="3159"/>
      <c r="AP7" s="3168" t="s">
        <v>2968</v>
      </c>
      <c r="AQ7" s="3159" t="s">
        <v>2910</v>
      </c>
      <c r="AR7" s="3159">
        <v>2009</v>
      </c>
      <c r="AS7" s="3159">
        <v>3</v>
      </c>
      <c r="AT7" s="3159">
        <v>13</v>
      </c>
      <c r="AU7" s="3159"/>
      <c r="AV7" s="3159"/>
      <c r="AW7" s="3168" t="s">
        <v>2911</v>
      </c>
      <c r="AX7" s="3159"/>
      <c r="AY7" s="3159"/>
      <c r="AZ7" s="3159" t="s">
        <v>2963</v>
      </c>
      <c r="BA7" s="3159"/>
      <c r="BB7" s="3159"/>
      <c r="BC7" s="3159"/>
      <c r="BD7" s="3159"/>
      <c r="BE7" s="3159"/>
      <c r="BF7" s="3159"/>
      <c r="BG7" s="3169">
        <v>39871</v>
      </c>
      <c r="BH7" s="3159"/>
      <c r="BI7" s="3168" t="s">
        <v>2968</v>
      </c>
      <c r="BJ7" s="3170">
        <v>39875</v>
      </c>
      <c r="BK7" s="3159"/>
      <c r="BL7" s="3159" t="s">
        <v>2912</v>
      </c>
      <c r="BM7" s="3159" t="s">
        <v>2913</v>
      </c>
      <c r="BN7" s="3159" t="s">
        <v>2914</v>
      </c>
      <c r="BO7" s="3159" t="s">
        <v>2915</v>
      </c>
      <c r="BP7" s="3159"/>
      <c r="BQ7" s="3168" t="e">
        <v>#DIV/0!</v>
      </c>
      <c r="BR7" s="3168" t="e">
        <v>#DIV/0!</v>
      </c>
      <c r="BS7" s="3171"/>
      <c r="BT7" s="3171"/>
      <c r="BU7" s="3172"/>
    </row>
    <row r="8" spans="1:74" s="3173" customFormat="1" ht="12" customHeight="1">
      <c r="A8" s="3174" t="s">
        <v>2969</v>
      </c>
      <c r="B8" s="3159" t="s">
        <v>2970</v>
      </c>
      <c r="C8" s="3160" t="s">
        <v>2971</v>
      </c>
      <c r="D8" s="3160" t="s">
        <v>2972</v>
      </c>
      <c r="E8" s="3175" t="s">
        <v>635</v>
      </c>
      <c r="F8" s="3175" t="s">
        <v>2973</v>
      </c>
      <c r="G8" s="3159"/>
      <c r="H8" s="3176" t="s">
        <v>2974</v>
      </c>
      <c r="I8" s="3159"/>
      <c r="J8" s="3159" t="s">
        <v>2975</v>
      </c>
      <c r="K8" s="3174" t="s">
        <v>2976</v>
      </c>
      <c r="L8" s="3159">
        <v>61.59</v>
      </c>
      <c r="M8" s="3159">
        <v>14</v>
      </c>
      <c r="N8" s="3159" t="s">
        <v>2952</v>
      </c>
      <c r="O8" s="3159"/>
      <c r="P8" s="3159" t="s">
        <v>2900</v>
      </c>
      <c r="Q8" s="3177">
        <v>740000</v>
      </c>
      <c r="R8" s="3159">
        <v>12015</v>
      </c>
      <c r="S8" s="3161">
        <v>68.83</v>
      </c>
      <c r="T8" s="3162">
        <v>688300</v>
      </c>
      <c r="U8" s="3159">
        <v>11176</v>
      </c>
      <c r="V8" s="3163">
        <v>0.2</v>
      </c>
      <c r="W8" s="3164">
        <v>55.06</v>
      </c>
      <c r="X8" s="3165">
        <v>550600</v>
      </c>
      <c r="Y8" s="3168">
        <v>2009</v>
      </c>
      <c r="Z8" s="3168">
        <v>4</v>
      </c>
      <c r="AA8" s="3159">
        <v>30</v>
      </c>
      <c r="AB8" s="3159">
        <v>1500</v>
      </c>
      <c r="AC8" s="3159" t="s">
        <v>2901</v>
      </c>
      <c r="AD8" s="3160" t="s">
        <v>2977</v>
      </c>
      <c r="AE8" s="3159" t="s">
        <v>2926</v>
      </c>
      <c r="AF8" s="3159" t="s">
        <v>2912</v>
      </c>
      <c r="AG8" s="3178" t="s">
        <v>2905</v>
      </c>
      <c r="AH8" s="3176"/>
      <c r="AI8" s="3166" t="s">
        <v>2906</v>
      </c>
      <c r="AJ8" s="3179"/>
      <c r="AK8" s="3167" t="s">
        <v>2929</v>
      </c>
      <c r="AL8" s="3159">
        <v>41</v>
      </c>
      <c r="AM8" s="3159" t="s">
        <v>2978</v>
      </c>
      <c r="AN8" s="3166" t="s">
        <v>2929</v>
      </c>
      <c r="AO8" s="3159"/>
      <c r="AP8" s="3174" t="s">
        <v>2968</v>
      </c>
      <c r="AQ8" s="3159" t="s">
        <v>2979</v>
      </c>
      <c r="AR8" s="3168">
        <v>2009</v>
      </c>
      <c r="AS8" s="3168">
        <v>4</v>
      </c>
      <c r="AT8" s="3168">
        <v>30</v>
      </c>
      <c r="AU8" s="3168" t="s">
        <v>2980</v>
      </c>
      <c r="AV8" s="3168"/>
      <c r="AW8" s="3168" t="s">
        <v>2911</v>
      </c>
      <c r="AX8" s="3168"/>
      <c r="AY8" s="3180"/>
      <c r="AZ8" s="3159" t="s">
        <v>2976</v>
      </c>
      <c r="BA8" s="3181"/>
      <c r="BB8" s="3182"/>
      <c r="BC8" s="3181"/>
      <c r="BD8" s="3183"/>
      <c r="BE8" s="3168"/>
      <c r="BF8" s="3184"/>
      <c r="BG8" s="3185">
        <v>39903</v>
      </c>
      <c r="BH8" s="3159"/>
      <c r="BI8" s="3181" t="s">
        <v>2968</v>
      </c>
      <c r="BJ8" s="3169">
        <v>39920</v>
      </c>
      <c r="BK8" s="3170"/>
      <c r="BL8" s="3159" t="s">
        <v>2912</v>
      </c>
      <c r="BM8" s="3168" t="s">
        <v>2913</v>
      </c>
      <c r="BN8" s="3168" t="s">
        <v>2914</v>
      </c>
      <c r="BO8" s="3168" t="s">
        <v>2915</v>
      </c>
      <c r="BP8" s="3168"/>
      <c r="BQ8" s="3168" t="e">
        <v>#DIV/0!</v>
      </c>
      <c r="BR8" s="3168" t="e">
        <v>#DIV/0!</v>
      </c>
      <c r="BS8" s="3171"/>
      <c r="BT8" s="3171"/>
      <c r="BU8" s="3172"/>
    </row>
    <row r="9" spans="1:74" s="3189" customFormat="1" ht="12" customHeight="1">
      <c r="A9" s="3159" t="s">
        <v>2981</v>
      </c>
      <c r="B9" s="3159" t="s">
        <v>2982</v>
      </c>
      <c r="C9" s="3186" t="s">
        <v>2983</v>
      </c>
      <c r="D9" s="3186" t="s">
        <v>2984</v>
      </c>
      <c r="E9" s="3159" t="s">
        <v>635</v>
      </c>
      <c r="F9" s="3159" t="s">
        <v>3291</v>
      </c>
      <c r="G9" s="3159"/>
      <c r="H9" s="3159" t="s">
        <v>2985</v>
      </c>
      <c r="I9" s="3159" t="s">
        <v>2949</v>
      </c>
      <c r="J9" s="3159" t="s">
        <v>2986</v>
      </c>
      <c r="K9" s="3159" t="s">
        <v>2987</v>
      </c>
      <c r="L9" s="3159">
        <v>60.69</v>
      </c>
      <c r="M9" s="3159">
        <v>6</v>
      </c>
      <c r="N9" s="3159" t="s">
        <v>2899</v>
      </c>
      <c r="O9" s="3159"/>
      <c r="P9" s="3159" t="s">
        <v>2900</v>
      </c>
      <c r="Q9" s="3177">
        <v>700000</v>
      </c>
      <c r="R9" s="3159">
        <v>11534</v>
      </c>
      <c r="S9" s="3161">
        <v>63.51</v>
      </c>
      <c r="T9" s="3162">
        <v>635100</v>
      </c>
      <c r="U9" s="3159">
        <v>10466</v>
      </c>
      <c r="V9" s="3163">
        <v>0.2</v>
      </c>
      <c r="W9" s="3164">
        <v>50.8</v>
      </c>
      <c r="X9" s="3165">
        <v>508000</v>
      </c>
      <c r="Y9" s="3168">
        <v>2009</v>
      </c>
      <c r="Z9" s="3168">
        <v>6</v>
      </c>
      <c r="AA9" s="3159">
        <v>29</v>
      </c>
      <c r="AB9" s="3159">
        <v>1500</v>
      </c>
      <c r="AC9" s="3159" t="s">
        <v>2901</v>
      </c>
      <c r="AD9" s="3186" t="s">
        <v>2988</v>
      </c>
      <c r="AE9" s="3159" t="s">
        <v>2989</v>
      </c>
      <c r="AF9" s="3159" t="s">
        <v>2990</v>
      </c>
      <c r="AG9" s="3159" t="s">
        <v>2905</v>
      </c>
      <c r="AH9" s="3159"/>
      <c r="AI9" s="3159" t="s">
        <v>2991</v>
      </c>
      <c r="AJ9" s="3169"/>
      <c r="AK9" s="3167" t="s">
        <v>2992</v>
      </c>
      <c r="AL9" s="3159">
        <v>23</v>
      </c>
      <c r="AM9" s="3159"/>
      <c r="AN9" s="3166" t="s">
        <v>2993</v>
      </c>
      <c r="AO9" s="3159"/>
      <c r="AP9" s="3159" t="s">
        <v>2968</v>
      </c>
      <c r="AQ9" s="3168" t="s">
        <v>2979</v>
      </c>
      <c r="AR9" s="3159"/>
      <c r="AS9" s="3159"/>
      <c r="AT9" s="3159"/>
      <c r="AU9" s="3159"/>
      <c r="AV9" s="3159"/>
      <c r="AW9" s="3168" t="s">
        <v>2911</v>
      </c>
      <c r="AX9" s="3159"/>
      <c r="AY9" s="3160"/>
      <c r="AZ9" s="3159" t="s">
        <v>2987</v>
      </c>
      <c r="BA9" s="3159"/>
      <c r="BB9" s="3160" t="s">
        <v>2980</v>
      </c>
      <c r="BC9" s="3159" t="s">
        <v>2980</v>
      </c>
      <c r="BD9" s="3187"/>
      <c r="BE9" s="3159"/>
      <c r="BF9" s="3188"/>
      <c r="BG9" s="3169">
        <v>39972</v>
      </c>
      <c r="BH9" s="3159"/>
      <c r="BI9" s="3168" t="s">
        <v>2968</v>
      </c>
      <c r="BJ9" s="3170">
        <v>39976</v>
      </c>
      <c r="BK9" s="3169"/>
      <c r="BL9" s="3168" t="s">
        <v>2912</v>
      </c>
      <c r="BM9" s="3168"/>
      <c r="BN9" s="3168" t="s">
        <v>2914</v>
      </c>
      <c r="BO9" s="3159" t="s">
        <v>2915</v>
      </c>
      <c r="BP9" s="3159"/>
      <c r="BQ9" s="3168" t="e">
        <v>#DIV/0!</v>
      </c>
      <c r="BR9" s="3168" t="e">
        <v>#DIV/0!</v>
      </c>
      <c r="BS9" s="3171"/>
      <c r="BT9" s="3171"/>
      <c r="BU9" s="3172"/>
    </row>
    <row r="10" spans="1:74" s="3144" customFormat="1" ht="12.75">
      <c r="A10" s="3121" t="s">
        <v>2994</v>
      </c>
      <c r="B10" s="3122" t="s">
        <v>2995</v>
      </c>
      <c r="C10" s="3123" t="s">
        <v>2996</v>
      </c>
      <c r="D10" s="3123" t="s">
        <v>2997</v>
      </c>
      <c r="E10" s="3122" t="s">
        <v>2998</v>
      </c>
      <c r="F10" s="3122" t="s">
        <v>2999</v>
      </c>
      <c r="G10" s="3122"/>
      <c r="H10" s="3122" t="s">
        <v>3000</v>
      </c>
      <c r="I10" s="3122" t="s">
        <v>3001</v>
      </c>
      <c r="J10" s="3123" t="s">
        <v>3002</v>
      </c>
      <c r="K10" s="3122" t="s">
        <v>2995</v>
      </c>
      <c r="L10" s="3124">
        <v>84.55</v>
      </c>
      <c r="M10" s="3123" t="s">
        <v>3003</v>
      </c>
      <c r="N10" s="3122" t="s">
        <v>2964</v>
      </c>
      <c r="O10" s="3156">
        <v>69.5</v>
      </c>
      <c r="P10" s="3122" t="s">
        <v>3004</v>
      </c>
      <c r="Q10" s="3125">
        <v>980000</v>
      </c>
      <c r="R10" s="3122">
        <v>11591</v>
      </c>
      <c r="S10" s="3126">
        <v>99.98</v>
      </c>
      <c r="T10" s="3127">
        <v>999800</v>
      </c>
      <c r="U10" s="3122">
        <v>11825</v>
      </c>
      <c r="V10" s="3128">
        <v>0.2</v>
      </c>
      <c r="W10" s="3129">
        <v>79.98</v>
      </c>
      <c r="X10" s="3130">
        <v>799800</v>
      </c>
      <c r="Y10" s="3131">
        <v>2009</v>
      </c>
      <c r="Z10" s="3131">
        <v>2</v>
      </c>
      <c r="AA10" s="3131">
        <v>1</v>
      </c>
      <c r="AB10" s="3122">
        <v>1500</v>
      </c>
      <c r="AC10" s="3122" t="s">
        <v>3005</v>
      </c>
      <c r="AD10" s="3132" t="s">
        <v>3006</v>
      </c>
      <c r="AE10" s="3122" t="s">
        <v>3007</v>
      </c>
      <c r="AF10" s="3122" t="s">
        <v>3008</v>
      </c>
      <c r="AG10" s="3133" t="s">
        <v>2905</v>
      </c>
      <c r="AH10" s="3121"/>
      <c r="AI10" s="3122" t="s">
        <v>3009</v>
      </c>
      <c r="AJ10" s="3134"/>
      <c r="AK10" s="3135" t="s">
        <v>3010</v>
      </c>
      <c r="AL10" s="3131">
        <v>53</v>
      </c>
      <c r="AM10" s="3122" t="s">
        <v>3011</v>
      </c>
      <c r="AN10" s="3131" t="s">
        <v>3012</v>
      </c>
      <c r="AO10" s="3131"/>
      <c r="AP10" s="3131" t="s">
        <v>3013</v>
      </c>
      <c r="AQ10" s="3122" t="s">
        <v>3014</v>
      </c>
      <c r="AR10" s="3131">
        <v>2009</v>
      </c>
      <c r="AS10" s="3131">
        <v>2</v>
      </c>
      <c r="AT10" s="3131">
        <v>1</v>
      </c>
      <c r="AU10" s="3131"/>
      <c r="AV10" s="3131"/>
      <c r="AW10" s="3131" t="s">
        <v>3015</v>
      </c>
      <c r="AX10" s="3131"/>
      <c r="AY10" s="3137"/>
      <c r="AZ10" s="3122" t="s">
        <v>3016</v>
      </c>
      <c r="BA10" s="3131"/>
      <c r="BB10" s="3137"/>
      <c r="BC10" s="3131"/>
      <c r="BD10" s="3138"/>
      <c r="BE10" s="3131">
        <v>13801117122</v>
      </c>
      <c r="BF10" s="3139"/>
      <c r="BG10" s="3140">
        <v>39820</v>
      </c>
      <c r="BH10" s="3122" t="s">
        <v>3017</v>
      </c>
      <c r="BI10" s="3131" t="s">
        <v>3013</v>
      </c>
      <c r="BJ10" s="3140">
        <v>39820</v>
      </c>
      <c r="BK10" s="3141"/>
      <c r="BL10" s="3122" t="s">
        <v>3017</v>
      </c>
      <c r="BM10" s="3122" t="s">
        <v>3018</v>
      </c>
      <c r="BN10" s="3122" t="s">
        <v>3019</v>
      </c>
      <c r="BO10" s="3131" t="s">
        <v>3020</v>
      </c>
      <c r="BP10" s="3131"/>
      <c r="BQ10" s="3131">
        <v>14386</v>
      </c>
      <c r="BR10" s="3131">
        <v>14101</v>
      </c>
      <c r="BS10" s="3142"/>
      <c r="BT10" s="3142"/>
      <c r="BU10" s="3143"/>
    </row>
    <row r="11" spans="1:74" s="3143" customFormat="1" ht="12.75">
      <c r="A11" s="3121" t="s">
        <v>3021</v>
      </c>
      <c r="B11" s="3122" t="s">
        <v>3022</v>
      </c>
      <c r="C11" s="3123" t="s">
        <v>3023</v>
      </c>
      <c r="D11" s="3123" t="s">
        <v>3024</v>
      </c>
      <c r="E11" s="3122" t="s">
        <v>2998</v>
      </c>
      <c r="F11" s="3146" t="s">
        <v>3025</v>
      </c>
      <c r="G11" s="3122"/>
      <c r="H11" s="3122" t="s">
        <v>3026</v>
      </c>
      <c r="I11" s="3122"/>
      <c r="J11" s="3123" t="s">
        <v>3027</v>
      </c>
      <c r="K11" s="3122" t="s">
        <v>3028</v>
      </c>
      <c r="L11" s="3122">
        <v>70.010000000000005</v>
      </c>
      <c r="M11" s="3122">
        <v>4</v>
      </c>
      <c r="N11" s="3122" t="s">
        <v>3029</v>
      </c>
      <c r="O11" s="3122"/>
      <c r="P11" s="3122" t="s">
        <v>3004</v>
      </c>
      <c r="Q11" s="3153">
        <v>660000</v>
      </c>
      <c r="R11" s="3122">
        <v>9427</v>
      </c>
      <c r="S11" s="3126">
        <v>71.53</v>
      </c>
      <c r="T11" s="3127">
        <v>715300</v>
      </c>
      <c r="U11" s="3122">
        <v>10218</v>
      </c>
      <c r="V11" s="3128">
        <v>0.2</v>
      </c>
      <c r="W11" s="3129">
        <v>57.22</v>
      </c>
      <c r="X11" s="3130">
        <v>572200</v>
      </c>
      <c r="Y11" s="3131">
        <v>2009</v>
      </c>
      <c r="Z11" s="3131">
        <v>2</v>
      </c>
      <c r="AA11" s="3131">
        <v>27</v>
      </c>
      <c r="AB11" s="3122">
        <v>1500</v>
      </c>
      <c r="AC11" s="3122" t="s">
        <v>3005</v>
      </c>
      <c r="AD11" s="3132" t="s">
        <v>3030</v>
      </c>
      <c r="AE11" s="3131" t="s">
        <v>3031</v>
      </c>
      <c r="AF11" s="3122" t="s">
        <v>3017</v>
      </c>
      <c r="AG11" s="3122" t="s">
        <v>2905</v>
      </c>
      <c r="AH11" s="3121"/>
      <c r="AI11" s="3133" t="s">
        <v>3009</v>
      </c>
      <c r="AJ11" s="3134"/>
      <c r="AK11" s="3135" t="s">
        <v>3010</v>
      </c>
      <c r="AL11" s="3131">
        <v>46</v>
      </c>
      <c r="AM11" s="3131" t="s">
        <v>3032</v>
      </c>
      <c r="AN11" s="3131" t="s">
        <v>3033</v>
      </c>
      <c r="AO11" s="3131"/>
      <c r="AP11" s="3122" t="s">
        <v>3034</v>
      </c>
      <c r="AQ11" s="3133" t="s">
        <v>3014</v>
      </c>
      <c r="AR11" s="3131"/>
      <c r="AS11" s="3131"/>
      <c r="AT11" s="3131"/>
      <c r="AU11" s="3131"/>
      <c r="AV11" s="3131"/>
      <c r="AW11" s="3131" t="s">
        <v>3035</v>
      </c>
      <c r="AX11" s="3131"/>
      <c r="AY11" s="3137"/>
      <c r="AZ11" s="3122" t="s">
        <v>3028</v>
      </c>
      <c r="BA11" s="3131"/>
      <c r="BB11" s="3137"/>
      <c r="BC11" s="3131"/>
      <c r="BD11" s="3138"/>
      <c r="BE11" s="3131">
        <v>13331151077</v>
      </c>
      <c r="BF11" s="3139"/>
      <c r="BG11" s="3140">
        <v>39854</v>
      </c>
      <c r="BH11" s="3131"/>
      <c r="BI11" s="3131" t="s">
        <v>3034</v>
      </c>
      <c r="BJ11" s="3141">
        <v>39861</v>
      </c>
      <c r="BK11" s="3141"/>
      <c r="BL11" s="3122" t="s">
        <v>3017</v>
      </c>
      <c r="BM11" s="3131" t="s">
        <v>3018</v>
      </c>
      <c r="BN11" s="3131" t="s">
        <v>3019</v>
      </c>
      <c r="BO11" s="3131" t="s">
        <v>3020</v>
      </c>
      <c r="BP11" s="3131"/>
      <c r="BQ11" s="3131" t="e">
        <v>#DIV/0!</v>
      </c>
      <c r="BR11" s="3131" t="e">
        <v>#DIV/0!</v>
      </c>
      <c r="BS11" s="3142"/>
      <c r="BT11" s="3142"/>
    </row>
    <row r="12" spans="1:74" s="3143" customFormat="1" ht="12.75">
      <c r="A12" s="3121" t="s">
        <v>3036</v>
      </c>
      <c r="B12" s="3122" t="s">
        <v>3037</v>
      </c>
      <c r="C12" s="3123" t="s">
        <v>3038</v>
      </c>
      <c r="D12" s="3123" t="s">
        <v>3039</v>
      </c>
      <c r="E12" s="3122" t="s">
        <v>2998</v>
      </c>
      <c r="F12" s="3190" t="s">
        <v>3025</v>
      </c>
      <c r="G12" s="3122"/>
      <c r="H12" s="3122" t="s">
        <v>3040</v>
      </c>
      <c r="I12" s="3122"/>
      <c r="J12" s="3123" t="s">
        <v>3041</v>
      </c>
      <c r="K12" s="3122" t="s">
        <v>3042</v>
      </c>
      <c r="L12" s="3122">
        <v>62.23</v>
      </c>
      <c r="M12" s="3122">
        <v>4</v>
      </c>
      <c r="N12" s="3122" t="s">
        <v>3029</v>
      </c>
      <c r="O12" s="3122"/>
      <c r="P12" s="3122" t="s">
        <v>3004</v>
      </c>
      <c r="Q12" s="3153">
        <v>650000</v>
      </c>
      <c r="R12" s="3122">
        <v>10445</v>
      </c>
      <c r="S12" s="3126">
        <v>63.41</v>
      </c>
      <c r="T12" s="3127">
        <v>634100</v>
      </c>
      <c r="U12" s="3122">
        <v>10190</v>
      </c>
      <c r="V12" s="3128">
        <v>0.2</v>
      </c>
      <c r="W12" s="3129">
        <v>50.72</v>
      </c>
      <c r="X12" s="3130">
        <v>507200</v>
      </c>
      <c r="Y12" s="3131">
        <v>2009</v>
      </c>
      <c r="Z12" s="3131">
        <v>2</v>
      </c>
      <c r="AA12" s="3131">
        <v>27</v>
      </c>
      <c r="AB12" s="3122">
        <v>1500</v>
      </c>
      <c r="AC12" s="3122" t="s">
        <v>3005</v>
      </c>
      <c r="AD12" s="3132" t="s">
        <v>3043</v>
      </c>
      <c r="AE12" s="3131" t="s">
        <v>3031</v>
      </c>
      <c r="AF12" s="3122" t="s">
        <v>3008</v>
      </c>
      <c r="AG12" s="3122" t="s">
        <v>2905</v>
      </c>
      <c r="AH12" s="3121"/>
      <c r="AI12" s="3133" t="s">
        <v>3009</v>
      </c>
      <c r="AJ12" s="3134"/>
      <c r="AK12" s="3135" t="s">
        <v>3010</v>
      </c>
      <c r="AL12" s="3131">
        <v>42</v>
      </c>
      <c r="AM12" s="3131" t="s">
        <v>3044</v>
      </c>
      <c r="AN12" s="3131" t="s">
        <v>3033</v>
      </c>
      <c r="AO12" s="3131"/>
      <c r="AP12" s="3122" t="s">
        <v>3009</v>
      </c>
      <c r="AQ12" s="3133" t="s">
        <v>3014</v>
      </c>
      <c r="AR12" s="3131">
        <v>2009</v>
      </c>
      <c r="AS12" s="3131">
        <v>2</v>
      </c>
      <c r="AT12" s="3131">
        <v>27</v>
      </c>
      <c r="AU12" s="3131"/>
      <c r="AV12" s="3131"/>
      <c r="AW12" s="3131" t="s">
        <v>3045</v>
      </c>
      <c r="AX12" s="3131" t="s">
        <v>3046</v>
      </c>
      <c r="AY12" s="3137" t="s">
        <v>3047</v>
      </c>
      <c r="AZ12" s="3122" t="s">
        <v>3042</v>
      </c>
      <c r="BA12" s="3131"/>
      <c r="BB12" s="3137"/>
      <c r="BC12" s="3131"/>
      <c r="BD12" s="3138"/>
      <c r="BE12" s="3131"/>
      <c r="BF12" s="3139"/>
      <c r="BG12" s="3140">
        <v>39853</v>
      </c>
      <c r="BH12" s="3131"/>
      <c r="BI12" s="3131" t="s">
        <v>3009</v>
      </c>
      <c r="BJ12" s="3141">
        <v>39856</v>
      </c>
      <c r="BK12" s="3141"/>
      <c r="BL12" s="3122" t="s">
        <v>3017</v>
      </c>
      <c r="BM12" s="3131"/>
      <c r="BN12" s="3131"/>
      <c r="BO12" s="3131"/>
      <c r="BP12" s="3131"/>
      <c r="BQ12" s="3131" t="e">
        <v>#DIV/0!</v>
      </c>
      <c r="BR12" s="3131" t="e">
        <v>#DIV/0!</v>
      </c>
      <c r="BS12" s="3142"/>
      <c r="BT12" s="3142"/>
    </row>
    <row r="13" spans="1:74" s="3144" customFormat="1" ht="12.75">
      <c r="A13" s="3122" t="s">
        <v>3048</v>
      </c>
      <c r="B13" s="3122" t="s">
        <v>3049</v>
      </c>
      <c r="C13" s="3123" t="s">
        <v>3050</v>
      </c>
      <c r="D13" s="3122">
        <v>13910136273</v>
      </c>
      <c r="E13" s="3122" t="s">
        <v>2998</v>
      </c>
      <c r="F13" s="3122" t="s">
        <v>3051</v>
      </c>
      <c r="G13" s="3122"/>
      <c r="H13" s="3122" t="s">
        <v>3052</v>
      </c>
      <c r="I13" s="3122" t="s">
        <v>3053</v>
      </c>
      <c r="J13" s="3122" t="s">
        <v>3054</v>
      </c>
      <c r="K13" s="3122" t="s">
        <v>3055</v>
      </c>
      <c r="L13" s="3122">
        <v>57.44</v>
      </c>
      <c r="M13" s="3123" t="s">
        <v>3056</v>
      </c>
      <c r="N13" s="3122" t="s">
        <v>3029</v>
      </c>
      <c r="O13" s="3122"/>
      <c r="P13" s="3122" t="s">
        <v>3004</v>
      </c>
      <c r="Q13" s="3153">
        <v>550000</v>
      </c>
      <c r="R13" s="3122">
        <v>9575</v>
      </c>
      <c r="S13" s="3126">
        <v>58.65</v>
      </c>
      <c r="T13" s="3127">
        <v>586500</v>
      </c>
      <c r="U13" s="3191">
        <v>10211</v>
      </c>
      <c r="V13" s="3128">
        <v>0.2</v>
      </c>
      <c r="W13" s="3129">
        <v>46.92</v>
      </c>
      <c r="X13" s="3130">
        <v>469200</v>
      </c>
      <c r="Y13" s="3131">
        <v>2009</v>
      </c>
      <c r="Z13" s="3122">
        <v>3</v>
      </c>
      <c r="AA13" s="3131">
        <v>24</v>
      </c>
      <c r="AB13" s="3122">
        <v>1500</v>
      </c>
      <c r="AC13" s="3122" t="s">
        <v>3005</v>
      </c>
      <c r="AD13" s="3192">
        <v>91302009030843</v>
      </c>
      <c r="AE13" s="3122" t="s">
        <v>3007</v>
      </c>
      <c r="AF13" s="3122" t="s">
        <v>3008</v>
      </c>
      <c r="AG13" s="3122" t="s">
        <v>2905</v>
      </c>
      <c r="AH13" s="3122"/>
      <c r="AI13" s="3122" t="s">
        <v>3009</v>
      </c>
      <c r="AJ13" s="3122"/>
      <c r="AK13" s="3150">
        <v>3</v>
      </c>
      <c r="AL13" s="3122">
        <v>25</v>
      </c>
      <c r="AM13" s="3122" t="s">
        <v>3057</v>
      </c>
      <c r="AN13" s="3133" t="s">
        <v>3033</v>
      </c>
      <c r="AO13" s="3122"/>
      <c r="AP13" s="3131" t="s">
        <v>3058</v>
      </c>
      <c r="AQ13" s="3122" t="s">
        <v>3014</v>
      </c>
      <c r="AR13" s="3131">
        <v>2009</v>
      </c>
      <c r="AS13" s="3122">
        <v>3</v>
      </c>
      <c r="AT13" s="3122">
        <v>24</v>
      </c>
      <c r="AU13" s="3122"/>
      <c r="AV13" s="3122"/>
      <c r="AW13" s="3122" t="s">
        <v>3015</v>
      </c>
      <c r="AX13" s="3193"/>
      <c r="AY13" s="3122"/>
      <c r="AZ13" s="3122" t="s">
        <v>3055</v>
      </c>
      <c r="BA13" s="3122"/>
      <c r="BB13" s="3122"/>
      <c r="BC13" s="3122"/>
      <c r="BD13" s="3122"/>
      <c r="BE13" s="3122">
        <v>13146889597</v>
      </c>
      <c r="BF13" s="3122"/>
      <c r="BG13" s="3151">
        <v>39881</v>
      </c>
      <c r="BH13" s="3122"/>
      <c r="BI13" s="3131" t="s">
        <v>3058</v>
      </c>
      <c r="BJ13" s="3194">
        <v>39882</v>
      </c>
      <c r="BK13" s="3193"/>
      <c r="BL13" s="3122" t="s">
        <v>3017</v>
      </c>
      <c r="BM13" s="3122"/>
      <c r="BN13" s="3122" t="s">
        <v>3019</v>
      </c>
      <c r="BO13" s="3122"/>
      <c r="BP13" s="3122"/>
      <c r="BQ13" s="3131" t="e">
        <v>#DIV/0!</v>
      </c>
      <c r="BR13" s="3131" t="e">
        <v>#DIV/0!</v>
      </c>
      <c r="BS13" s="3142"/>
      <c r="BT13" s="3142"/>
      <c r="BU13" s="3143"/>
    </row>
    <row r="14" spans="1:74" s="3144" customFormat="1" ht="12.75">
      <c r="A14" s="3122" t="s">
        <v>3059</v>
      </c>
      <c r="B14" s="3122" t="s">
        <v>3060</v>
      </c>
      <c r="C14" s="3123" t="s">
        <v>3061</v>
      </c>
      <c r="D14" s="3123" t="s">
        <v>3062</v>
      </c>
      <c r="E14" s="3122" t="s">
        <v>2998</v>
      </c>
      <c r="F14" s="3146" t="s">
        <v>3025</v>
      </c>
      <c r="G14" s="3122"/>
      <c r="H14" s="3122" t="s">
        <v>3063</v>
      </c>
      <c r="I14" s="3122" t="s">
        <v>3064</v>
      </c>
      <c r="J14" s="3122" t="s">
        <v>3065</v>
      </c>
      <c r="K14" s="3122" t="s">
        <v>3066</v>
      </c>
      <c r="L14" s="3156">
        <v>57.96</v>
      </c>
      <c r="M14" s="3122">
        <v>1</v>
      </c>
      <c r="N14" s="3122" t="s">
        <v>2964</v>
      </c>
      <c r="O14" s="3122"/>
      <c r="P14" s="3122" t="s">
        <v>3004</v>
      </c>
      <c r="Q14" s="3122">
        <v>650000</v>
      </c>
      <c r="R14" s="3122">
        <v>11215</v>
      </c>
      <c r="S14" s="3126">
        <v>62.2</v>
      </c>
      <c r="T14" s="3127">
        <v>622000</v>
      </c>
      <c r="U14" s="3122">
        <v>10733</v>
      </c>
      <c r="V14" s="3128">
        <v>0.2</v>
      </c>
      <c r="W14" s="3129">
        <v>49.76</v>
      </c>
      <c r="X14" s="3130">
        <v>497600</v>
      </c>
      <c r="Y14" s="3122">
        <v>2009</v>
      </c>
      <c r="Z14" s="3122">
        <v>4</v>
      </c>
      <c r="AA14" s="3122">
        <v>27</v>
      </c>
      <c r="AB14" s="3122">
        <v>1500</v>
      </c>
      <c r="AC14" s="3122" t="s">
        <v>3005</v>
      </c>
      <c r="AD14" s="3154" t="s">
        <v>3067</v>
      </c>
      <c r="AE14" s="3131" t="s">
        <v>3031</v>
      </c>
      <c r="AF14" s="3122"/>
      <c r="AG14" s="3133" t="s">
        <v>2905</v>
      </c>
      <c r="AH14" s="3122"/>
      <c r="AI14" s="3133" t="s">
        <v>3009</v>
      </c>
      <c r="AJ14" s="3122"/>
      <c r="AK14" s="3150">
        <v>4</v>
      </c>
      <c r="AL14" s="3122">
        <v>32</v>
      </c>
      <c r="AM14" s="3122" t="s">
        <v>3068</v>
      </c>
      <c r="AN14" s="3131" t="s">
        <v>3033</v>
      </c>
      <c r="AO14" s="3122" t="s">
        <v>2980</v>
      </c>
      <c r="AP14" s="3145" t="s">
        <v>3069</v>
      </c>
      <c r="AQ14" s="3122" t="s">
        <v>2979</v>
      </c>
      <c r="AR14" s="3122">
        <v>2009</v>
      </c>
      <c r="AS14" s="3122">
        <v>4</v>
      </c>
      <c r="AT14" s="3122">
        <v>27</v>
      </c>
      <c r="AU14" s="3122"/>
      <c r="AV14" s="3122"/>
      <c r="AW14" s="3131" t="s">
        <v>3045</v>
      </c>
      <c r="AX14" s="3122"/>
      <c r="AY14" s="3122"/>
      <c r="AZ14" s="3122" t="s">
        <v>3066</v>
      </c>
      <c r="BA14" s="3122" t="s">
        <v>3070</v>
      </c>
      <c r="BB14" s="3122"/>
      <c r="BC14" s="3122"/>
      <c r="BD14" s="3122"/>
      <c r="BE14" s="3122"/>
      <c r="BF14" s="3122"/>
      <c r="BG14" s="3140">
        <v>39914</v>
      </c>
      <c r="BH14" s="3122"/>
      <c r="BI14" s="3145" t="s">
        <v>3069</v>
      </c>
      <c r="BJ14" s="3140">
        <v>39917</v>
      </c>
      <c r="BK14" s="3122"/>
      <c r="BL14" s="3122" t="s">
        <v>2990</v>
      </c>
      <c r="BM14" s="3131" t="s">
        <v>3018</v>
      </c>
      <c r="BN14" s="3122" t="s">
        <v>3019</v>
      </c>
      <c r="BO14" s="3122" t="s">
        <v>3020</v>
      </c>
      <c r="BP14" s="3122"/>
      <c r="BQ14" s="3131" t="e">
        <v>#DIV/0!</v>
      </c>
      <c r="BR14" s="3131" t="e">
        <v>#DIV/0!</v>
      </c>
      <c r="BS14" s="3142"/>
      <c r="BT14" s="3142"/>
      <c r="BU14" s="3143"/>
    </row>
    <row r="15" spans="1:74" s="3144" customFormat="1" ht="12.75">
      <c r="A15" s="3121" t="s">
        <v>3071</v>
      </c>
      <c r="B15" s="3122" t="s">
        <v>3072</v>
      </c>
      <c r="C15" s="3123" t="s">
        <v>3073</v>
      </c>
      <c r="D15" s="3123" t="s">
        <v>3074</v>
      </c>
      <c r="E15" s="3122" t="s">
        <v>2998</v>
      </c>
      <c r="F15" s="3122" t="s">
        <v>2999</v>
      </c>
      <c r="G15" s="3122"/>
      <c r="H15" s="3122" t="s">
        <v>3075</v>
      </c>
      <c r="I15" s="3122"/>
      <c r="J15" s="3123" t="s">
        <v>3076</v>
      </c>
      <c r="K15" s="3122" t="s">
        <v>3077</v>
      </c>
      <c r="L15" s="3195">
        <v>100.22</v>
      </c>
      <c r="M15" s="3123" t="s">
        <v>3078</v>
      </c>
      <c r="N15" s="3122" t="s">
        <v>3029</v>
      </c>
      <c r="O15" s="3122">
        <v>80.010000000000005</v>
      </c>
      <c r="P15" s="3122" t="s">
        <v>3004</v>
      </c>
      <c r="Q15" s="3125">
        <v>880000</v>
      </c>
      <c r="R15" s="3122">
        <v>8781</v>
      </c>
      <c r="S15" s="3126">
        <v>132.47999999999999</v>
      </c>
      <c r="T15" s="3127">
        <v>1324800</v>
      </c>
      <c r="U15" s="3122">
        <v>13219</v>
      </c>
      <c r="V15" s="3128">
        <v>0.2</v>
      </c>
      <c r="W15" s="3129">
        <v>105.98</v>
      </c>
      <c r="X15" s="3130">
        <v>1059800</v>
      </c>
      <c r="Y15" s="3131">
        <v>2009</v>
      </c>
      <c r="Z15" s="3131">
        <v>6</v>
      </c>
      <c r="AA15" s="3131">
        <v>18</v>
      </c>
      <c r="AB15" s="3122">
        <v>1500</v>
      </c>
      <c r="AC15" s="3122" t="s">
        <v>3005</v>
      </c>
      <c r="AD15" s="3132"/>
      <c r="AE15" s="3196" t="s">
        <v>3031</v>
      </c>
      <c r="AF15" s="3122" t="s">
        <v>3008</v>
      </c>
      <c r="AG15" s="3133" t="s">
        <v>2905</v>
      </c>
      <c r="AH15" s="3121" t="s">
        <v>3070</v>
      </c>
      <c r="AI15" s="3122" t="s">
        <v>3009</v>
      </c>
      <c r="AJ15" s="3134" t="s">
        <v>3070</v>
      </c>
      <c r="AK15" s="3150" t="s">
        <v>3079</v>
      </c>
      <c r="AL15" s="3131">
        <v>56</v>
      </c>
      <c r="AM15" s="3122"/>
      <c r="AN15" s="3136" t="s">
        <v>3080</v>
      </c>
      <c r="AO15" s="3122" t="s">
        <v>3070</v>
      </c>
      <c r="AP15" s="3131" t="s">
        <v>3069</v>
      </c>
      <c r="AQ15" s="3131" t="s">
        <v>2979</v>
      </c>
      <c r="AR15" s="3131"/>
      <c r="AS15" s="3131"/>
      <c r="AT15" s="3131"/>
      <c r="AU15" s="3131"/>
      <c r="AV15" s="3131"/>
      <c r="AW15" s="3131" t="s">
        <v>3015</v>
      </c>
      <c r="AX15" s="3131"/>
      <c r="AY15" s="3137"/>
      <c r="AZ15" s="3122" t="s">
        <v>3077</v>
      </c>
      <c r="BA15" s="3131"/>
      <c r="BB15" s="3137"/>
      <c r="BC15" s="3131"/>
      <c r="BD15" s="3138"/>
      <c r="BE15" s="3131"/>
      <c r="BF15" s="3139"/>
      <c r="BG15" s="3140">
        <v>39976</v>
      </c>
      <c r="BH15" s="3122"/>
      <c r="BI15" s="3131" t="s">
        <v>3069</v>
      </c>
      <c r="BJ15" s="3194">
        <v>39981</v>
      </c>
      <c r="BK15" s="3141"/>
      <c r="BL15" s="3122" t="s">
        <v>2990</v>
      </c>
      <c r="BM15" s="3122" t="s">
        <v>3018</v>
      </c>
      <c r="BN15" s="3131" t="s">
        <v>3019</v>
      </c>
      <c r="BO15" s="3131" t="s">
        <v>3020</v>
      </c>
      <c r="BP15" s="3131"/>
      <c r="BQ15" s="3131">
        <v>16558</v>
      </c>
      <c r="BR15" s="3131">
        <v>10999</v>
      </c>
      <c r="BS15" s="3142"/>
      <c r="BT15" s="3142"/>
      <c r="BU15" s="3143"/>
    </row>
    <row r="18" spans="1:63" s="3202" customFormat="1" ht="12">
      <c r="A18" s="3200"/>
      <c r="B18" s="3099"/>
      <c r="C18" s="3201"/>
      <c r="D18" s="3099"/>
      <c r="E18" s="3099"/>
      <c r="F18" s="3099" t="s">
        <v>3093</v>
      </c>
      <c r="G18" s="3099"/>
      <c r="H18" s="3099"/>
      <c r="I18" s="3099"/>
      <c r="J18" s="3099"/>
      <c r="K18" s="3099"/>
      <c r="L18" s="3099"/>
      <c r="M18" s="3099"/>
      <c r="N18" s="3099" t="s">
        <v>3094</v>
      </c>
      <c r="O18" s="3099" t="s">
        <v>3095</v>
      </c>
      <c r="P18" s="3099"/>
      <c r="Q18" s="3099"/>
      <c r="R18" s="3099"/>
      <c r="S18" s="3099"/>
      <c r="T18" s="3099"/>
      <c r="U18" s="3099"/>
      <c r="V18" s="3099"/>
      <c r="W18" s="3099" t="s">
        <v>3096</v>
      </c>
      <c r="X18" s="3099"/>
      <c r="Y18" s="3099"/>
      <c r="Z18" s="3099"/>
      <c r="AA18" s="3099"/>
      <c r="AB18" s="3099"/>
      <c r="AC18" s="3099"/>
      <c r="AD18" s="3099"/>
      <c r="AE18" s="3099"/>
      <c r="AF18" s="3099" t="s">
        <v>3097</v>
      </c>
      <c r="AG18" s="3099"/>
      <c r="AH18" s="3099"/>
      <c r="AI18" s="3099"/>
      <c r="AJ18" s="3200"/>
      <c r="AK18" s="3200"/>
    </row>
    <row r="19" spans="1:63" s="3202" customFormat="1" ht="12">
      <c r="A19" s="3203" t="s">
        <v>3098</v>
      </c>
      <c r="B19" s="3203" t="s">
        <v>3099</v>
      </c>
      <c r="C19" s="3204" t="s">
        <v>3100</v>
      </c>
      <c r="D19" s="3203" t="s">
        <v>3101</v>
      </c>
      <c r="E19" s="3203" t="s">
        <v>3102</v>
      </c>
      <c r="F19" s="3203" t="s">
        <v>3103</v>
      </c>
      <c r="G19" s="3203" t="s">
        <v>3104</v>
      </c>
      <c r="H19" s="3203" t="s">
        <v>3105</v>
      </c>
      <c r="I19" s="3203" t="s">
        <v>3106</v>
      </c>
      <c r="J19" s="3203" t="s">
        <v>3107</v>
      </c>
      <c r="K19" s="3203" t="s">
        <v>3108</v>
      </c>
      <c r="L19" s="3203" t="s">
        <v>3109</v>
      </c>
      <c r="M19" s="3203" t="s">
        <v>3110</v>
      </c>
      <c r="N19" s="3203" t="s">
        <v>3111</v>
      </c>
      <c r="O19" s="3203" t="s">
        <v>3112</v>
      </c>
      <c r="P19" s="3203" t="s">
        <v>3113</v>
      </c>
      <c r="Q19" s="3203" t="s">
        <v>3114</v>
      </c>
      <c r="R19" s="3203" t="s">
        <v>3115</v>
      </c>
      <c r="S19" s="3203" t="s">
        <v>3116</v>
      </c>
      <c r="T19" s="3203" t="s">
        <v>3117</v>
      </c>
      <c r="U19" s="3203" t="s">
        <v>3115</v>
      </c>
      <c r="V19" s="3203" t="s">
        <v>3116</v>
      </c>
      <c r="W19" s="3203" t="s">
        <v>3118</v>
      </c>
      <c r="X19" s="3203" t="s">
        <v>3119</v>
      </c>
      <c r="Y19" s="3203" t="s">
        <v>3120</v>
      </c>
      <c r="Z19" s="3203" t="s">
        <v>3121</v>
      </c>
      <c r="AA19" s="3203" t="s">
        <v>3122</v>
      </c>
      <c r="AB19" s="3203" t="s">
        <v>3123</v>
      </c>
      <c r="AC19" s="3203" t="s">
        <v>3124</v>
      </c>
      <c r="AD19" s="3203" t="s">
        <v>3125</v>
      </c>
      <c r="AE19" s="3203" t="s">
        <v>3126</v>
      </c>
      <c r="AF19" s="3203" t="s">
        <v>3127</v>
      </c>
      <c r="AG19" s="3203" t="s">
        <v>3115</v>
      </c>
      <c r="AH19" s="3203" t="s">
        <v>3116</v>
      </c>
      <c r="AI19" s="3203" t="s">
        <v>3128</v>
      </c>
      <c r="AJ19" s="3205" t="s">
        <v>3129</v>
      </c>
      <c r="AK19" s="3205" t="s">
        <v>3130</v>
      </c>
    </row>
    <row r="20" spans="1:63" s="3208" customFormat="1" ht="12" customHeight="1">
      <c r="A20" s="3206" t="s">
        <v>2958</v>
      </c>
      <c r="B20" s="3206" t="s">
        <v>2967</v>
      </c>
      <c r="C20" s="3207" t="s">
        <v>3131</v>
      </c>
      <c r="D20" s="3206" t="s">
        <v>3132</v>
      </c>
      <c r="E20" s="3206" t="s">
        <v>3133</v>
      </c>
      <c r="F20" s="3206">
        <v>608</v>
      </c>
      <c r="G20" s="3206" t="s">
        <v>3134</v>
      </c>
      <c r="H20" s="3206" t="s">
        <v>3135</v>
      </c>
      <c r="I20" s="3206">
        <v>6</v>
      </c>
      <c r="J20" s="3206" t="s">
        <v>3136</v>
      </c>
      <c r="K20" s="3206">
        <v>1983</v>
      </c>
      <c r="L20" s="3206" t="s">
        <v>3137</v>
      </c>
      <c r="M20" s="3206"/>
      <c r="N20" s="3206"/>
      <c r="O20" s="3206"/>
      <c r="P20" s="3206"/>
      <c r="Q20" s="3206"/>
      <c r="R20" s="3206"/>
      <c r="S20" s="3206"/>
      <c r="T20" s="3206"/>
      <c r="U20" s="3206"/>
      <c r="V20" s="3206"/>
      <c r="W20" s="3206"/>
      <c r="X20" s="3206"/>
      <c r="Y20" s="3206"/>
      <c r="Z20" s="3206"/>
      <c r="AA20" s="3206"/>
      <c r="AB20" s="3206"/>
      <c r="AC20" s="3206"/>
      <c r="AD20" s="3206"/>
      <c r="AE20" s="3206" t="s">
        <v>3138</v>
      </c>
      <c r="AF20" s="3206">
        <v>2009</v>
      </c>
      <c r="AG20" s="3206">
        <v>3</v>
      </c>
      <c r="AH20" s="3206">
        <v>13</v>
      </c>
      <c r="AI20" s="3206" t="s">
        <v>3139</v>
      </c>
      <c r="AJ20" s="3206">
        <v>50</v>
      </c>
      <c r="AK20" s="3206">
        <v>24</v>
      </c>
    </row>
    <row r="21" spans="1:63" s="3208" customFormat="1" ht="12" customHeight="1">
      <c r="A21" s="3206" t="s">
        <v>3140</v>
      </c>
      <c r="B21" s="3206" t="s">
        <v>3141</v>
      </c>
      <c r="C21" s="3207" t="s">
        <v>3142</v>
      </c>
      <c r="D21" s="3206"/>
      <c r="E21" s="3206" t="s">
        <v>3143</v>
      </c>
      <c r="F21" s="3206">
        <v>14</v>
      </c>
      <c r="G21" s="3206">
        <v>1411</v>
      </c>
      <c r="H21" s="3206" t="s">
        <v>3144</v>
      </c>
      <c r="I21" s="3206">
        <v>15</v>
      </c>
      <c r="J21" s="3206" t="s">
        <v>3145</v>
      </c>
      <c r="K21" s="3206">
        <v>1990</v>
      </c>
      <c r="L21" s="3206" t="s">
        <v>3146</v>
      </c>
      <c r="M21" s="3206"/>
      <c r="N21" s="3206"/>
      <c r="O21" s="3206"/>
      <c r="P21" s="3206"/>
      <c r="Q21" s="3206"/>
      <c r="R21" s="3206"/>
      <c r="S21" s="3206"/>
      <c r="T21" s="3206"/>
      <c r="U21" s="3206"/>
      <c r="V21" s="3206"/>
      <c r="W21" s="3206"/>
      <c r="X21" s="3206"/>
      <c r="Y21" s="3206"/>
      <c r="Z21" s="3206"/>
      <c r="AA21" s="3206"/>
      <c r="AB21" s="3206"/>
      <c r="AC21" s="3206"/>
      <c r="AD21" s="3206"/>
      <c r="AE21" s="3206" t="s">
        <v>3147</v>
      </c>
      <c r="AF21" s="3206">
        <v>2009</v>
      </c>
      <c r="AG21" s="3206">
        <v>4</v>
      </c>
      <c r="AH21" s="3206">
        <v>30</v>
      </c>
      <c r="AI21" s="3206" t="s">
        <v>3148</v>
      </c>
      <c r="AJ21" s="3206">
        <v>60</v>
      </c>
      <c r="AK21" s="3206">
        <v>41</v>
      </c>
    </row>
    <row r="22" spans="1:63" s="3208" customFormat="1" ht="12" customHeight="1">
      <c r="A22" s="3206" t="s">
        <v>3149</v>
      </c>
      <c r="B22" s="3206" t="s">
        <v>3150</v>
      </c>
      <c r="C22" s="3207" t="s">
        <v>3151</v>
      </c>
      <c r="D22" s="3206" t="s">
        <v>3152</v>
      </c>
      <c r="E22" s="3206" t="s">
        <v>3143</v>
      </c>
      <c r="F22" s="3206">
        <v>324</v>
      </c>
      <c r="G22" s="3206" t="s">
        <v>3153</v>
      </c>
      <c r="H22" s="3206" t="s">
        <v>3154</v>
      </c>
      <c r="I22" s="3206">
        <v>6</v>
      </c>
      <c r="J22" s="3206" t="s">
        <v>3145</v>
      </c>
      <c r="K22" s="3206">
        <v>1982</v>
      </c>
      <c r="L22" s="3206" t="s">
        <v>3155</v>
      </c>
      <c r="M22" s="3206"/>
      <c r="N22" s="3206"/>
      <c r="O22" s="3206"/>
      <c r="P22" s="3206"/>
      <c r="Q22" s="3207"/>
      <c r="R22" s="3206"/>
      <c r="S22" s="3206"/>
      <c r="T22" s="3206"/>
      <c r="U22" s="3206"/>
      <c r="V22" s="3206"/>
      <c r="W22" s="3206"/>
      <c r="X22" s="3206"/>
      <c r="Y22" s="3206"/>
      <c r="Z22" s="3206"/>
      <c r="AA22" s="3206"/>
      <c r="AB22" s="3206"/>
      <c r="AC22" s="3206"/>
      <c r="AD22" s="3206"/>
      <c r="AE22" s="3206" t="s">
        <v>3147</v>
      </c>
      <c r="AF22" s="3206">
        <v>2009</v>
      </c>
      <c r="AG22" s="3206">
        <v>6</v>
      </c>
      <c r="AH22" s="3206">
        <v>29</v>
      </c>
      <c r="AI22" s="3206" t="s">
        <v>3156</v>
      </c>
      <c r="AJ22" s="3206">
        <v>50</v>
      </c>
      <c r="AK22" s="3206">
        <v>23</v>
      </c>
    </row>
    <row r="25" spans="1:63" s="3211" customFormat="1" ht="12">
      <c r="A25" s="3209"/>
      <c r="B25" s="3201"/>
      <c r="C25" s="3099"/>
      <c r="D25" s="3099"/>
      <c r="E25" s="3099"/>
      <c r="F25" s="3099"/>
      <c r="G25" s="3099"/>
      <c r="H25" s="3099"/>
      <c r="I25" s="3099" t="s">
        <v>3157</v>
      </c>
      <c r="J25" s="3099" t="s">
        <v>3158</v>
      </c>
      <c r="K25" s="3099" t="s">
        <v>3159</v>
      </c>
      <c r="L25" s="3099" t="s">
        <v>3157</v>
      </c>
      <c r="M25" s="3099" t="s">
        <v>3158</v>
      </c>
      <c r="N25" s="3099" t="s">
        <v>3159</v>
      </c>
      <c r="O25" s="3099" t="s">
        <v>3157</v>
      </c>
      <c r="P25" s="3099" t="s">
        <v>3158</v>
      </c>
      <c r="Q25" s="3099" t="s">
        <v>3159</v>
      </c>
      <c r="R25" s="3099"/>
      <c r="S25" s="3099" t="s">
        <v>3157</v>
      </c>
      <c r="T25" s="3099" t="s">
        <v>3158</v>
      </c>
      <c r="U25" s="3099" t="s">
        <v>3159</v>
      </c>
      <c r="V25" s="3099"/>
      <c r="W25" s="3099" t="s">
        <v>3160</v>
      </c>
      <c r="X25" s="3099"/>
      <c r="Y25" s="3099"/>
      <c r="Z25" s="3099"/>
      <c r="AA25" s="3099"/>
      <c r="AB25" s="3099"/>
      <c r="AC25" s="3099"/>
      <c r="AD25" s="3099"/>
      <c r="AE25" s="3099"/>
      <c r="AF25" s="3099"/>
      <c r="AG25" s="3099"/>
      <c r="AH25" s="3099"/>
      <c r="AI25" s="3099"/>
      <c r="AJ25" s="3099"/>
      <c r="AK25" s="3099"/>
      <c r="AL25" s="3099"/>
      <c r="AM25" s="3099"/>
      <c r="AN25" s="3099"/>
      <c r="AO25" s="3099"/>
      <c r="AP25" s="3099"/>
      <c r="AQ25" s="3099"/>
      <c r="AR25" s="3099"/>
      <c r="AS25" s="3210"/>
      <c r="AT25" s="3099"/>
      <c r="AU25" s="3099"/>
      <c r="AV25" s="3099"/>
      <c r="AW25" s="3099"/>
      <c r="AX25" s="3099"/>
      <c r="AY25" s="3099"/>
      <c r="AZ25" s="3099"/>
      <c r="BA25" s="3099"/>
      <c r="BB25" s="3099"/>
      <c r="BC25" s="3099" t="s">
        <v>3097</v>
      </c>
      <c r="BD25" s="3099"/>
      <c r="BE25" s="3099"/>
      <c r="BF25" s="3099"/>
      <c r="BG25" s="3099"/>
      <c r="BH25" s="3099"/>
      <c r="BI25" s="3099"/>
      <c r="BJ25" s="3099"/>
      <c r="BK25" s="3099"/>
    </row>
    <row r="26" spans="1:63" s="3211" customFormat="1" ht="12">
      <c r="A26" s="3212" t="s">
        <v>3161</v>
      </c>
      <c r="B26" s="3204" t="s">
        <v>3162</v>
      </c>
      <c r="C26" s="3203" t="s">
        <v>2826</v>
      </c>
      <c r="D26" s="3203" t="s">
        <v>3163</v>
      </c>
      <c r="E26" s="3203" t="s">
        <v>3164</v>
      </c>
      <c r="F26" s="3203" t="s">
        <v>3165</v>
      </c>
      <c r="G26" s="3203" t="s">
        <v>3166</v>
      </c>
      <c r="H26" s="3203" t="s">
        <v>3167</v>
      </c>
      <c r="I26" s="3203" t="s">
        <v>3168</v>
      </c>
      <c r="J26" s="3203" t="s">
        <v>3168</v>
      </c>
      <c r="K26" s="3203" t="s">
        <v>3168</v>
      </c>
      <c r="L26" s="3203" t="s">
        <v>3169</v>
      </c>
      <c r="M26" s="3203" t="s">
        <v>3169</v>
      </c>
      <c r="N26" s="3203" t="s">
        <v>3169</v>
      </c>
      <c r="O26" s="3203" t="s">
        <v>3170</v>
      </c>
      <c r="P26" s="3203" t="s">
        <v>3170</v>
      </c>
      <c r="Q26" s="3203" t="s">
        <v>3170</v>
      </c>
      <c r="R26" s="3203" t="s">
        <v>3171</v>
      </c>
      <c r="S26" s="3203" t="s">
        <v>3172</v>
      </c>
      <c r="T26" s="3203" t="s">
        <v>3172</v>
      </c>
      <c r="U26" s="3203" t="s">
        <v>3172</v>
      </c>
      <c r="V26" s="3203" t="s">
        <v>3173</v>
      </c>
      <c r="W26" s="3203" t="s">
        <v>3174</v>
      </c>
      <c r="X26" s="3203" t="s">
        <v>3175</v>
      </c>
      <c r="Y26" s="3203" t="s">
        <v>3176</v>
      </c>
      <c r="Z26" s="3203" t="s">
        <v>3177</v>
      </c>
      <c r="AA26" s="3203" t="s">
        <v>3178</v>
      </c>
      <c r="AB26" s="3203" t="s">
        <v>3179</v>
      </c>
      <c r="AC26" s="3203" t="s">
        <v>3180</v>
      </c>
      <c r="AD26" s="3203" t="s">
        <v>3181</v>
      </c>
      <c r="AE26" s="3203" t="s">
        <v>3182</v>
      </c>
      <c r="AF26" s="3203" t="s">
        <v>3183</v>
      </c>
      <c r="AG26" s="3203" t="s">
        <v>3184</v>
      </c>
      <c r="AH26" s="3203" t="s">
        <v>3185</v>
      </c>
      <c r="AI26" s="3203" t="s">
        <v>3186</v>
      </c>
      <c r="AJ26" s="3203" t="s">
        <v>3187</v>
      </c>
      <c r="AK26" s="3203" t="s">
        <v>3188</v>
      </c>
      <c r="AL26" s="3203" t="s">
        <v>3189</v>
      </c>
      <c r="AM26" s="3203" t="s">
        <v>3190</v>
      </c>
      <c r="AN26" s="3203" t="s">
        <v>3191</v>
      </c>
      <c r="AO26" s="3203" t="s">
        <v>3192</v>
      </c>
      <c r="AP26" s="3203" t="s">
        <v>3193</v>
      </c>
      <c r="AQ26" s="3203" t="s">
        <v>3194</v>
      </c>
      <c r="AR26" s="3203" t="s">
        <v>3195</v>
      </c>
      <c r="AS26" s="3213" t="s">
        <v>3196</v>
      </c>
      <c r="AT26" s="3203" t="s">
        <v>3197</v>
      </c>
      <c r="AU26" s="3203" t="s">
        <v>3198</v>
      </c>
      <c r="AV26" s="3203" t="s">
        <v>3199</v>
      </c>
      <c r="AW26" s="3203" t="s">
        <v>3200</v>
      </c>
      <c r="AX26" s="3203" t="s">
        <v>3201</v>
      </c>
      <c r="AY26" s="3203" t="s">
        <v>3202</v>
      </c>
      <c r="AZ26" s="3203" t="s">
        <v>3203</v>
      </c>
      <c r="BA26" s="3203" t="s">
        <v>3204</v>
      </c>
      <c r="BB26" s="3203" t="s">
        <v>3205</v>
      </c>
      <c r="BC26" s="3203" t="s">
        <v>3127</v>
      </c>
      <c r="BD26" s="3203" t="s">
        <v>3115</v>
      </c>
      <c r="BE26" s="3203" t="s">
        <v>3116</v>
      </c>
      <c r="BF26" s="3203" t="s">
        <v>3128</v>
      </c>
      <c r="BG26" s="3203" t="s">
        <v>3206</v>
      </c>
      <c r="BH26" s="3203" t="s">
        <v>3207</v>
      </c>
      <c r="BI26" s="3203" t="s">
        <v>3208</v>
      </c>
      <c r="BJ26" s="3203" t="s">
        <v>3209</v>
      </c>
      <c r="BK26" s="3203" t="s">
        <v>3210</v>
      </c>
    </row>
    <row r="27" spans="1:63" s="3208" customFormat="1" ht="12" customHeight="1">
      <c r="A27" s="3214" t="s">
        <v>3245</v>
      </c>
      <c r="B27" s="3215" t="s">
        <v>3246</v>
      </c>
      <c r="C27" s="3206" t="s">
        <v>3247</v>
      </c>
      <c r="D27" s="3206" t="s">
        <v>3248</v>
      </c>
      <c r="E27" s="3206"/>
      <c r="F27" s="3214"/>
      <c r="G27" s="3206" t="s">
        <v>3249</v>
      </c>
      <c r="H27" s="3214" t="s">
        <v>3250</v>
      </c>
      <c r="I27" s="3206" t="s">
        <v>3249</v>
      </c>
      <c r="J27" s="3206" t="s">
        <v>3251</v>
      </c>
      <c r="K27" s="3206" t="s">
        <v>3251</v>
      </c>
      <c r="L27" s="3206" t="s">
        <v>3249</v>
      </c>
      <c r="M27" s="3206" t="s">
        <v>3252</v>
      </c>
      <c r="N27" s="3206" t="s">
        <v>3252</v>
      </c>
      <c r="O27" s="3206" t="s">
        <v>3253</v>
      </c>
      <c r="P27" s="3214" t="s">
        <v>3254</v>
      </c>
      <c r="Q27" s="3214" t="s">
        <v>3254</v>
      </c>
      <c r="R27" s="3214" t="s">
        <v>3255</v>
      </c>
      <c r="S27" s="3206"/>
      <c r="T27" s="3214" t="s">
        <v>3256</v>
      </c>
      <c r="U27" s="3214" t="s">
        <v>3257</v>
      </c>
      <c r="V27" s="3214"/>
      <c r="W27" s="3214"/>
      <c r="X27" s="3216" t="s">
        <v>3258</v>
      </c>
      <c r="Y27" s="3206"/>
      <c r="Z27" s="3214" t="s">
        <v>3259</v>
      </c>
      <c r="AA27" s="3214" t="s">
        <v>3260</v>
      </c>
      <c r="AB27" s="3214" t="s">
        <v>3261</v>
      </c>
      <c r="AC27" s="3206" t="s">
        <v>3262</v>
      </c>
      <c r="AD27" s="3214" t="s">
        <v>3263</v>
      </c>
      <c r="AE27" s="3206" t="s">
        <v>3264</v>
      </c>
      <c r="AF27" s="3206"/>
      <c r="AG27" s="3206" t="s">
        <v>3265</v>
      </c>
      <c r="AH27" s="3214" t="s">
        <v>3266</v>
      </c>
      <c r="AI27" s="3214" t="s">
        <v>3267</v>
      </c>
      <c r="AJ27" s="3214" t="s">
        <v>3268</v>
      </c>
      <c r="AK27" s="3214" t="s">
        <v>3269</v>
      </c>
      <c r="AL27" s="3206" t="s">
        <v>3270</v>
      </c>
      <c r="AM27" s="3214" t="s">
        <v>3271</v>
      </c>
      <c r="AN27" s="3214" t="s">
        <v>3272</v>
      </c>
      <c r="AO27" s="3214" t="s">
        <v>3273</v>
      </c>
      <c r="AP27" s="3206" t="s">
        <v>3274</v>
      </c>
      <c r="AQ27" s="3214" t="s">
        <v>3237</v>
      </c>
      <c r="AR27" s="3214" t="s">
        <v>3275</v>
      </c>
      <c r="AS27" s="3206"/>
      <c r="AT27" s="3206"/>
      <c r="AU27" s="3214" t="s">
        <v>3276</v>
      </c>
      <c r="AV27" s="3214" t="s">
        <v>3277</v>
      </c>
      <c r="AW27" s="3214" t="s">
        <v>3277</v>
      </c>
      <c r="AX27" s="3214" t="s">
        <v>3278</v>
      </c>
      <c r="AY27" s="3214" t="s">
        <v>3277</v>
      </c>
      <c r="AZ27" s="3214" t="s">
        <v>3279</v>
      </c>
      <c r="BA27" s="3214" t="s">
        <v>3280</v>
      </c>
      <c r="BB27" s="3214"/>
      <c r="BC27" s="3214">
        <v>2009</v>
      </c>
      <c r="BD27" s="3214">
        <v>4</v>
      </c>
      <c r="BE27" s="3214">
        <v>8</v>
      </c>
      <c r="BF27" s="3214" t="s">
        <v>3281</v>
      </c>
      <c r="BG27" s="3214" t="s">
        <v>2979</v>
      </c>
      <c r="BH27" s="3214">
        <v>1990</v>
      </c>
      <c r="BI27" s="3206" t="s">
        <v>3282</v>
      </c>
      <c r="BJ27" s="3206">
        <v>55</v>
      </c>
      <c r="BK27" s="3206">
        <v>20</v>
      </c>
    </row>
    <row r="28" spans="1:63" s="3208" customFormat="1" ht="12" customHeight="1">
      <c r="A28" s="3214" t="s">
        <v>3149</v>
      </c>
      <c r="B28" s="3207" t="s">
        <v>3211</v>
      </c>
      <c r="C28" s="3206" t="s">
        <v>2998</v>
      </c>
      <c r="D28" s="3206" t="s">
        <v>3212</v>
      </c>
      <c r="E28" s="3206"/>
      <c r="F28" s="3206"/>
      <c r="G28" s="3206" t="s">
        <v>3213</v>
      </c>
      <c r="H28" s="3206" t="s">
        <v>3214</v>
      </c>
      <c r="I28" s="3206" t="s">
        <v>3213</v>
      </c>
      <c r="J28" s="3206" t="s">
        <v>3215</v>
      </c>
      <c r="K28" s="3206" t="s">
        <v>3215</v>
      </c>
      <c r="L28" s="3206" t="s">
        <v>3213</v>
      </c>
      <c r="M28" s="3206" t="s">
        <v>3216</v>
      </c>
      <c r="N28" s="3206" t="s">
        <v>3216</v>
      </c>
      <c r="O28" s="3206" t="s">
        <v>3217</v>
      </c>
      <c r="P28" s="3206" t="s">
        <v>3217</v>
      </c>
      <c r="Q28" s="3206" t="s">
        <v>3217</v>
      </c>
      <c r="R28" s="3214" t="s">
        <v>3218</v>
      </c>
      <c r="S28" s="3206"/>
      <c r="T28" s="3214" t="s">
        <v>3219</v>
      </c>
      <c r="U28" s="3214" t="s">
        <v>3220</v>
      </c>
      <c r="V28" s="3206"/>
      <c r="W28" s="3206"/>
      <c r="X28" s="3206" t="s">
        <v>3221</v>
      </c>
      <c r="Y28" s="3206"/>
      <c r="Z28" s="3214" t="s">
        <v>3222</v>
      </c>
      <c r="AA28" s="3214" t="s">
        <v>3223</v>
      </c>
      <c r="AB28" s="3214" t="s">
        <v>3224</v>
      </c>
      <c r="AC28" s="3206" t="s">
        <v>3225</v>
      </c>
      <c r="AD28" s="3214" t="s">
        <v>3226</v>
      </c>
      <c r="AE28" s="3214" t="s">
        <v>3227</v>
      </c>
      <c r="AF28" s="3206"/>
      <c r="AG28" s="3206" t="s">
        <v>3228</v>
      </c>
      <c r="AH28" s="3214" t="s">
        <v>3229</v>
      </c>
      <c r="AI28" s="3214" t="s">
        <v>3230</v>
      </c>
      <c r="AJ28" s="3206"/>
      <c r="AK28" s="3206" t="s">
        <v>3231</v>
      </c>
      <c r="AL28" s="3206" t="s">
        <v>3232</v>
      </c>
      <c r="AM28" s="3214" t="s">
        <v>3233</v>
      </c>
      <c r="AN28" s="3214" t="s">
        <v>3234</v>
      </c>
      <c r="AO28" s="3214" t="s">
        <v>3235</v>
      </c>
      <c r="AP28" s="3206" t="s">
        <v>3236</v>
      </c>
      <c r="AQ28" s="3214" t="s">
        <v>3237</v>
      </c>
      <c r="AR28" s="3214" t="s">
        <v>3238</v>
      </c>
      <c r="AS28" s="3206"/>
      <c r="AT28" s="3206"/>
      <c r="AU28" s="3214" t="s">
        <v>3239</v>
      </c>
      <c r="AV28" s="3214" t="s">
        <v>3240</v>
      </c>
      <c r="AW28" s="3214" t="s">
        <v>3240</v>
      </c>
      <c r="AX28" s="3214" t="s">
        <v>3241</v>
      </c>
      <c r="AY28" s="3214" t="s">
        <v>3240</v>
      </c>
      <c r="AZ28" s="3214" t="s">
        <v>3242</v>
      </c>
      <c r="BA28" s="3214" t="s">
        <v>3243</v>
      </c>
      <c r="BB28" s="3206"/>
      <c r="BC28" s="3214">
        <v>2009</v>
      </c>
      <c r="BD28" s="3214">
        <v>6</v>
      </c>
      <c r="BE28" s="3214">
        <v>4</v>
      </c>
      <c r="BF28" s="3214" t="s">
        <v>3012</v>
      </c>
      <c r="BG28" s="3214" t="s">
        <v>3014</v>
      </c>
      <c r="BH28" s="3206">
        <v>1982</v>
      </c>
      <c r="BI28" s="3206" t="s">
        <v>3244</v>
      </c>
      <c r="BJ28" s="3206">
        <v>48</v>
      </c>
      <c r="BK28" s="3206">
        <v>20</v>
      </c>
    </row>
  </sheetData>
  <phoneticPr fontId="146"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1" t="str">
        <f>IF(项目基本情况!D5="房地产市场价值","估价结果一览表","结果表-2")</f>
        <v>估价结果一览表</v>
      </c>
      <c r="B1" s="2761"/>
      <c r="C1" s="2761"/>
      <c r="D1" s="2761"/>
      <c r="E1" s="2761"/>
      <c r="F1" s="2761"/>
      <c r="G1" s="2761"/>
      <c r="H1" s="2761"/>
      <c r="I1" s="2761"/>
    </row>
    <row r="2" spans="1:9" ht="30" customHeight="1" thickTop="1">
      <c r="A2" s="2762" t="s">
        <v>1275</v>
      </c>
      <c r="B2" s="2762" t="s">
        <v>1276</v>
      </c>
      <c r="C2" s="2762" t="s">
        <v>1277</v>
      </c>
      <c r="D2" s="2762" t="str">
        <f>IF('数据-取费表'!E3="否",结果表!D119,'结果表 (1修多)'!D122)</f>
        <v>出让国有建设用地使用权价值</v>
      </c>
      <c r="E2" s="2762"/>
      <c r="F2" s="2762" t="s">
        <v>1278</v>
      </c>
      <c r="G2" s="2762"/>
      <c r="H2" s="2762" t="s">
        <v>1279</v>
      </c>
      <c r="I2" s="2762"/>
    </row>
    <row r="3" spans="1:9" ht="15">
      <c r="A3" s="2757"/>
      <c r="B3" s="2757"/>
      <c r="C3" s="2757"/>
      <c r="D3" s="1049" t="s">
        <v>1280</v>
      </c>
      <c r="E3" s="1049" t="s">
        <v>1281</v>
      </c>
      <c r="F3" s="1049" t="s">
        <v>1280</v>
      </c>
      <c r="G3" s="1049" t="s">
        <v>1282</v>
      </c>
      <c r="H3" s="1049" t="s">
        <v>1280</v>
      </c>
      <c r="I3" s="1049" t="s">
        <v>1282</v>
      </c>
    </row>
    <row r="4" spans="1:9" ht="46.5" customHeight="1">
      <c r="A4" s="1049" t="str">
        <f>项目基本情况!I1</f>
        <v>北京市房地产</v>
      </c>
      <c r="B4" s="1049">
        <f>结果表!B121</f>
        <v>91.5</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36839535</v>
      </c>
      <c r="I4" s="1049">
        <f ca="1">IF('数据-取费表'!E3="否",结果表!I121,'结果表 (1修多)'!I124)</f>
        <v>12769</v>
      </c>
    </row>
    <row r="5" spans="1:9" ht="15">
      <c r="A5" s="2757" t="s">
        <v>1283</v>
      </c>
      <c r="B5" s="2757"/>
      <c r="C5" s="2757"/>
      <c r="D5" s="2755" t="str">
        <f>IF('数据-取费表'!E3="否",结果表!D122,'结果表 (1修多)'!D125)</f>
        <v>零元整</v>
      </c>
      <c r="E5" s="2755"/>
      <c r="F5" s="2755" t="str">
        <f>IF('数据-取费表'!E3="否",结果表!F122,'结果表 (1修多)'!F125)</f>
        <v>零元整</v>
      </c>
      <c r="G5" s="2755"/>
      <c r="H5" s="2755" t="str">
        <f ca="1">IF('数据-取费表'!E3="否",结果表!H122,'结果表 (1修多)'!H125)</f>
        <v>叁仟陆佰捌拾叁万玖仟伍佰叁拾伍元整</v>
      </c>
      <c r="I5" s="2755"/>
    </row>
    <row r="6" spans="1:9" ht="15.75">
      <c r="A6" s="2756" t="str">
        <f>IF('数据-取费表'!E3="否",结果表!A123,'结果表 (1修多)'!A126)</f>
        <v>——</v>
      </c>
      <c r="B6" s="2756"/>
      <c r="C6" s="2756"/>
      <c r="D6" s="2756">
        <f>IF('数据-取费表'!E3="否",结果表!D123,'结果表 (1修多)'!D126)</f>
        <v>0</v>
      </c>
      <c r="E6" s="2756"/>
      <c r="F6" s="2756"/>
      <c r="G6" s="2756"/>
      <c r="H6" s="2756"/>
      <c r="I6" s="2756"/>
    </row>
    <row r="7" spans="1:9" ht="15">
      <c r="A7" s="2757" t="s">
        <v>1283</v>
      </c>
      <c r="B7" s="2757"/>
      <c r="C7" s="2757"/>
      <c r="D7" s="2758">
        <f>IF('数据-取费表'!E3="否",结果表!D124,'结果表 (1修多)'!D127)</f>
        <v>0</v>
      </c>
      <c r="E7" s="2759"/>
      <c r="F7" s="2759"/>
      <c r="G7" s="2759"/>
      <c r="H7" s="2759"/>
      <c r="I7" s="2760"/>
    </row>
    <row r="8" spans="1:9" ht="15.75">
      <c r="A8" s="2756" t="str">
        <f>IF('数据-取费表'!E3="否",结果表!A125,'结果表 (1修多)'!A128)</f>
        <v>——</v>
      </c>
      <c r="B8" s="2756"/>
      <c r="C8" s="2756"/>
      <c r="D8" s="2756">
        <f ca="1">IF('数据-取费表'!E3="否",结果表!D125,'结果表 (1修多)'!D128)</f>
        <v>36839535</v>
      </c>
      <c r="E8" s="2756"/>
      <c r="F8" s="2756"/>
      <c r="G8" s="2756"/>
      <c r="H8" s="2756"/>
      <c r="I8" s="2756"/>
    </row>
    <row r="9" spans="1:9" ht="15">
      <c r="A9" s="2757" t="s">
        <v>1283</v>
      </c>
      <c r="B9" s="2757"/>
      <c r="C9" s="2757"/>
      <c r="D9" s="2755">
        <f ca="1">IF('数据-取费表'!E3="否",结果表!D126,'结果表 (1修多)'!D129)</f>
        <v>12769</v>
      </c>
      <c r="E9" s="2755"/>
      <c r="F9" s="2755"/>
      <c r="G9" s="2755"/>
      <c r="H9" s="2755"/>
      <c r="I9" s="2755"/>
    </row>
    <row r="10" spans="1:9" ht="15.75">
      <c r="A10" s="2756" t="str">
        <f>IF('数据-取费表'!E3="否",结果表!A127,'结果表 (1修多)'!A130)</f>
        <v>——</v>
      </c>
      <c r="B10" s="2756"/>
      <c r="C10" s="2756"/>
      <c r="D10" s="2756">
        <f ca="1">IF('数据-取费表'!E3="否",结果表!D127,'结果表 (1修多)'!D129)</f>
        <v>12769</v>
      </c>
      <c r="E10" s="2756"/>
      <c r="F10" s="2756"/>
      <c r="G10" s="2756"/>
      <c r="H10" s="2756"/>
      <c r="I10" s="2756"/>
    </row>
    <row r="11" spans="1:9" ht="15">
      <c r="A11" s="2757" t="s">
        <v>1283</v>
      </c>
      <c r="B11" s="2757"/>
      <c r="C11" s="2757"/>
      <c r="D11" s="2755" t="str">
        <f>IF('数据-取费表'!E3="否",结果表!D128,'结果表 (1修多)'!D131)</f>
        <v>——</v>
      </c>
      <c r="E11" s="2755"/>
      <c r="F11" s="2755"/>
      <c r="G11" s="2755"/>
      <c r="H11" s="2755"/>
      <c r="I11" s="2755"/>
    </row>
    <row r="12" spans="1:9" ht="15.75">
      <c r="A12" s="2756" t="str">
        <f>IF('数据-取费表'!E3="否",结果表!A129,'结果表 (1修多)'!A132)</f>
        <v>——</v>
      </c>
      <c r="B12" s="2756"/>
      <c r="C12" s="2756"/>
      <c r="D12" s="2756" t="str">
        <f>IF('数据-取费表'!E3="否",结果表!D129,'结果表 (1修多)'!D132)</f>
        <v>——</v>
      </c>
      <c r="E12" s="2756"/>
      <c r="F12" s="2756"/>
      <c r="G12" s="2756"/>
      <c r="H12" s="2756"/>
      <c r="I12" s="2756"/>
    </row>
    <row r="13" spans="1:9" ht="15.75" thickBot="1">
      <c r="A13" s="2763" t="s">
        <v>1283</v>
      </c>
      <c r="B13" s="2763"/>
      <c r="C13" s="2763"/>
      <c r="D13" s="2764">
        <f>IF('数据-取费表'!E3="否",结果表!D130,'结果表 (1修多)'!D133)</f>
        <v>0</v>
      </c>
      <c r="E13" s="2764"/>
      <c r="F13" s="2764"/>
      <c r="G13" s="2764"/>
      <c r="H13" s="2764"/>
      <c r="I13" s="2764"/>
    </row>
    <row r="14" spans="1:9" ht="15" thickTop="1">
      <c r="A14" s="2765" t="str">
        <f>IF('数据-取费表'!E3="否",结果表!A131,'结果表 (1修多)'!A134)</f>
        <v>单位：平方米、元、元/平方米（币种：人民币）</v>
      </c>
      <c r="B14" s="2765"/>
      <c r="C14" s="2765"/>
      <c r="D14" s="2765"/>
      <c r="E14" s="2765"/>
      <c r="F14" s="2765"/>
      <c r="G14" s="2765"/>
      <c r="H14" s="2765"/>
      <c r="I14" s="276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0" t="s">
        <v>1297</v>
      </c>
      <c r="B1" s="2770"/>
      <c r="C1" s="2770"/>
      <c r="D1" s="2770"/>
    </row>
    <row r="2" spans="1:4" ht="18">
      <c r="A2" s="2769" t="s">
        <v>1285</v>
      </c>
      <c r="B2" s="2769"/>
      <c r="C2" s="2769"/>
      <c r="D2" s="2769"/>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69" t="s">
        <v>1290</v>
      </c>
      <c r="B7" s="2769"/>
      <c r="C7" s="2769"/>
      <c r="D7" s="276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66" t="s">
        <v>1299</v>
      </c>
      <c r="B12" s="2768"/>
      <c r="C12" s="2768"/>
      <c r="D12" s="2768"/>
    </row>
    <row r="13" spans="1:4" ht="15.75">
      <c r="A13" s="27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8"/>
      <c r="C13" s="2768"/>
      <c r="D13" s="2768"/>
    </row>
    <row r="14" spans="1:4" ht="30" customHeight="1">
      <c r="A14" s="2766" t="str">
        <f>IF(项目基本情况!D4="抵押","3.抵押双方在办理抵押登记手续时，应使用本公司出具的正式《房地产评估报告》，特提醒报告使用者注意。","——")</f>
        <v>——</v>
      </c>
      <c r="B14" s="2768"/>
      <c r="C14" s="2768"/>
      <c r="D14" s="2768"/>
    </row>
    <row r="15" spans="1:4" ht="15.75" customHeight="1">
      <c r="A15" s="2766" t="str">
        <f>IF(项目基本情况!D4="抵押","4.本次评估估价师所知悉的法定优先受偿款情况说明如下：","——")</f>
        <v>——</v>
      </c>
      <c r="B15" s="2768"/>
      <c r="C15" s="2768"/>
      <c r="D15" s="2768"/>
    </row>
    <row r="16" spans="1:4" ht="75" customHeight="1">
      <c r="A16" s="2766" t="str">
        <f>IF(项目基本情况!D4="抵押",CONCATENATE(项目基本情况!J13,项目基本情况!J14,项目基本情况!J15),"——")</f>
        <v>——</v>
      </c>
      <c r="B16" s="2766"/>
      <c r="C16" s="2766"/>
      <c r="D16" s="2766"/>
    </row>
    <row r="17" spans="1:4" ht="63.75" customHeight="1">
      <c r="A17" s="2767" t="s">
        <v>1300</v>
      </c>
      <c r="B17" s="2767"/>
      <c r="C17" s="2767"/>
      <c r="D17" s="2767"/>
    </row>
    <row r="18" spans="1:4" ht="15.75" customHeight="1">
      <c r="A18" s="2766" t="str">
        <f>IF(项目基本情况!D4="抵押",结果表!K106,"——")</f>
        <v>——</v>
      </c>
      <c r="B18" s="2766"/>
      <c r="C18" s="2766"/>
      <c r="D18" s="2766"/>
    </row>
    <row r="19" spans="1:4" ht="46.5" customHeight="1">
      <c r="A19" s="27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6"/>
      <c r="C19" s="2766"/>
      <c r="D19" s="2766"/>
    </row>
    <row r="20" spans="1:4" ht="15">
      <c r="A20" s="2767" t="s">
        <v>1293</v>
      </c>
      <c r="B20" s="2767"/>
      <c r="C20" s="2767"/>
      <c r="D20" s="2767"/>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76" t="s">
        <v>1379</v>
      </c>
      <c r="B15" s="2771" t="s">
        <v>1380</v>
      </c>
      <c r="C15" s="2772"/>
    </row>
    <row r="16" spans="1:7" ht="14.25">
      <c r="A16" s="2777"/>
      <c r="B16" s="2771" t="s">
        <v>1381</v>
      </c>
      <c r="C16" s="2772"/>
    </row>
    <row r="17" spans="1:3" ht="14.25">
      <c r="A17" s="2777"/>
      <c r="B17" s="2771" t="s">
        <v>1382</v>
      </c>
      <c r="C17" s="2772"/>
    </row>
    <row r="18" spans="1:3" ht="14.25">
      <c r="A18" s="2778"/>
      <c r="B18" s="2773" t="s">
        <v>1383</v>
      </c>
      <c r="C18" s="2772"/>
    </row>
    <row r="19" spans="1:3" ht="14.25">
      <c r="A19" s="1980" t="s">
        <v>1384</v>
      </c>
      <c r="B19" s="1981"/>
      <c r="C19" s="1982"/>
    </row>
    <row r="20" spans="1:3" ht="14.25">
      <c r="A20" s="2774" t="s">
        <v>1385</v>
      </c>
      <c r="B20" s="2773" t="s">
        <v>1386</v>
      </c>
      <c r="C20" s="2772"/>
    </row>
    <row r="21" spans="1:3" ht="14.25">
      <c r="A21" s="2774"/>
      <c r="B21" s="2773" t="s">
        <v>1387</v>
      </c>
      <c r="C21" s="2772"/>
    </row>
    <row r="22" spans="1:3" ht="14.25">
      <c r="A22" s="2774"/>
      <c r="B22" s="2773" t="s">
        <v>1388</v>
      </c>
      <c r="C22" s="2772"/>
    </row>
    <row r="23" spans="1:3" ht="14.25">
      <c r="A23" s="2774"/>
      <c r="B23" s="2775" t="s">
        <v>1389</v>
      </c>
      <c r="C23" s="1983" t="s">
        <v>1390</v>
      </c>
    </row>
    <row r="24" spans="1:3" ht="14.25">
      <c r="A24" s="2774"/>
      <c r="B24" s="2775"/>
      <c r="C24" s="1983" t="s">
        <v>1391</v>
      </c>
    </row>
    <row r="25" spans="1:3" ht="14.25">
      <c r="A25" s="2774"/>
      <c r="B25" s="2775"/>
      <c r="C25" s="1983" t="s">
        <v>1392</v>
      </c>
    </row>
    <row r="26" spans="1:3" ht="14.25">
      <c r="A26" s="2774"/>
      <c r="B26" s="2775"/>
      <c r="C26" s="1983" t="s">
        <v>1393</v>
      </c>
    </row>
    <row r="27" spans="1:3" ht="14.25">
      <c r="A27" s="2774"/>
      <c r="B27" s="2775"/>
      <c r="C27" s="1983" t="s">
        <v>1394</v>
      </c>
    </row>
    <row r="28" spans="1:3" ht="14.25">
      <c r="A28" s="2774"/>
      <c r="B28" s="2775"/>
      <c r="C28" s="1983" t="s">
        <v>1395</v>
      </c>
    </row>
    <row r="29" spans="1:3" ht="14.25">
      <c r="A29" s="2774"/>
      <c r="B29" s="2775"/>
      <c r="C29" s="1983" t="s">
        <v>1396</v>
      </c>
    </row>
    <row r="30" spans="1:3" ht="14.25">
      <c r="A30" s="2774"/>
      <c r="B30" s="2775"/>
      <c r="C30" s="1983" t="s">
        <v>1397</v>
      </c>
    </row>
    <row r="31" spans="1:3" ht="14.25">
      <c r="A31" s="2774"/>
      <c r="B31" s="2775"/>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2810</v>
      </c>
      <c r="B12" s="1031">
        <v>1120110054</v>
      </c>
      <c r="C12" s="1811">
        <v>43937</v>
      </c>
      <c r="D12" s="1812" t="str">
        <f t="shared" si="0"/>
        <v>白景生（注册号：1120110054）</v>
      </c>
      <c r="E12" s="1810" t="s">
        <v>2810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79" t="s">
        <v>768</v>
      </c>
      <c r="B25" s="2779"/>
      <c r="C25" s="2779"/>
      <c r="D25" s="2779"/>
      <c r="E25" s="2779"/>
      <c r="F25" s="2779"/>
      <c r="G25" s="2779"/>
      <c r="H25" s="2779"/>
    </row>
    <row r="26" spans="1:8" s="1034" customFormat="1" ht="24" customHeight="1">
      <c r="A26" s="2780" t="s">
        <v>769</v>
      </c>
      <c r="B26" s="2780"/>
      <c r="C26" s="2780"/>
      <c r="D26" s="1062"/>
      <c r="E26" s="1062"/>
      <c r="F26" s="2780" t="s">
        <v>770</v>
      </c>
      <c r="G26" s="2780"/>
      <c r="H26" s="278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78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本次估价的“房地产价值”是指在正常市场情况下，在价值时点2009年6月26日，估价对象规划用途为，假定未设立法定优先受偿款下的房地产市场价值。</v>
      </c>
    </row>
    <row r="54" spans="1:4">
      <c r="A54" s="2781"/>
      <c r="B54" s="9" t="s">
        <v>1535</v>
      </c>
      <c r="C54" s="9" t="s">
        <v>1536</v>
      </c>
    </row>
    <row r="55" spans="1:4">
      <c r="A55" s="2781"/>
      <c r="B55" s="9" t="s">
        <v>1537</v>
      </c>
      <c r="C55" s="9" t="s">
        <v>1538</v>
      </c>
    </row>
    <row r="56" spans="1:4">
      <c r="A56" s="2781"/>
      <c r="B56" s="9" t="s">
        <v>1539</v>
      </c>
      <c r="C56" s="9" t="s">
        <v>1540</v>
      </c>
    </row>
    <row r="57" spans="1:4">
      <c r="A57" s="2781"/>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145</vt:i4>
      </vt:variant>
    </vt:vector>
  </HeadingPairs>
  <TitlesOfParts>
    <vt:vector size="1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2002基准地价</vt:lpstr>
      <vt:lpstr>成本法</vt:lpstr>
      <vt:lpstr>2002基准地价 (2)</vt:lpstr>
      <vt:lpstr>2002地价表</vt:lpstr>
      <vt:lpstr>2002容积率修正</vt:lpstr>
      <vt:lpstr>2002因素修正幅度</vt:lpstr>
      <vt:lpstr>地价 (2)</vt:lpstr>
      <vt:lpstr>基准地价修正</vt:lpstr>
      <vt:lpstr>因素修正幅度</vt:lpstr>
      <vt:lpstr>基准地价修正-因素</vt:lpstr>
      <vt:lpstr>区片价</vt:lpstr>
      <vt:lpstr>修正</vt:lpstr>
      <vt:lpstr>容积率修正</vt:lpstr>
      <vt:lpstr>地价</vt:lpstr>
      <vt:lpstr>存贷款利率</vt:lpstr>
      <vt:lpstr>案例</vt:lpstr>
      <vt:lpstr>'地价 (2)'!Print_Area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季度2014</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2018-07-10T08:44:57Z</dcterms:modified>
</cp:coreProperties>
</file>