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19425" windowHeight="1042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Sheet3" sheetId="79"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D8" i="12"/>
  <c r="J67" i="77"/>
  <c r="I67" i="77"/>
  <c r="H67" i="77"/>
  <c r="G67" i="77"/>
  <c r="J66" i="77"/>
  <c r="I66" i="77"/>
  <c r="H66" i="77"/>
  <c r="G66" i="77"/>
  <c r="C8" i="12"/>
  <c r="J65" i="77"/>
  <c r="I65" i="77"/>
  <c r="H65" i="77"/>
  <c r="G65" i="77"/>
  <c r="Q8" i="1"/>
  <c r="Q7" i="1"/>
  <c r="E71" i="39"/>
  <c r="F71" i="39" s="1"/>
  <c r="G71" i="39" s="1"/>
  <c r="H71" i="39" s="1"/>
  <c r="I71" i="39" s="1"/>
  <c r="J71" i="39" s="1"/>
  <c r="K71" i="39" s="1"/>
  <c r="L71" i="39" s="1"/>
  <c r="M71" i="39" s="1"/>
  <c r="D71" i="39"/>
  <c r="I46" i="39"/>
  <c r="G46" i="39"/>
  <c r="E46" i="39"/>
  <c r="I38" i="39"/>
  <c r="G38" i="39"/>
  <c r="E38" i="39"/>
  <c r="I7" i="39"/>
  <c r="G7" i="39"/>
  <c r="E7" i="39"/>
  <c r="I5" i="39"/>
  <c r="G5" i="39"/>
  <c r="E5" i="39"/>
  <c r="N8" i="1"/>
  <c r="N7" i="1"/>
  <c r="J8" i="1"/>
  <c r="J7" i="1"/>
  <c r="I8" i="1"/>
  <c r="I7" i="1"/>
  <c r="H8" i="1"/>
  <c r="H7" i="1"/>
  <c r="F21" i="6"/>
  <c r="F20" i="6"/>
  <c r="F19" i="6"/>
  <c r="F68" i="77"/>
  <c r="F67" i="77"/>
  <c r="F66" i="77"/>
  <c r="F65" i="77"/>
  <c r="I13" i="3"/>
  <c r="M62" i="77" l="1"/>
  <c r="L62"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4" i="77"/>
  <c r="K62" i="77"/>
  <c r="J62" i="77"/>
  <c r="I62" i="77"/>
  <c r="H62" i="77"/>
  <c r="F62"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X10" i="71" s="1"/>
  <c r="AH9" i="71"/>
  <c r="AG9" i="71"/>
  <c r="AE9" i="71"/>
  <c r="AF9" i="71" s="1"/>
  <c r="AD9" i="71"/>
  <c r="Q9" i="71"/>
  <c r="P9" i="71"/>
  <c r="O9" i="71"/>
  <c r="N9" i="71"/>
  <c r="AH10" i="71"/>
  <c r="AG10" i="71"/>
  <c r="AE10" i="71"/>
  <c r="AF10" i="71"/>
  <c r="AD10" i="71"/>
  <c r="Q11" i="71"/>
  <c r="Q12" i="71"/>
  <c r="P11" i="71"/>
  <c r="P12" i="71"/>
  <c r="O11" i="71"/>
  <c r="O12" i="71"/>
  <c r="N11" i="71"/>
  <c r="X11" i="71" s="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c r="AD16" i="71"/>
  <c r="AD17" i="71"/>
  <c r="AG17" i="71"/>
  <c r="AH17" i="71"/>
  <c r="AE17" i="71"/>
  <c r="AF17" i="71" s="1"/>
  <c r="N17" i="71"/>
  <c r="Q17" i="71"/>
  <c r="P17" i="71"/>
  <c r="O17" i="71"/>
  <c r="C17" i="71" s="1"/>
  <c r="Q18" i="71"/>
  <c r="P18" i="71"/>
  <c r="E17" i="71"/>
  <c r="V17" i="71" s="1"/>
  <c r="E16" i="71"/>
  <c r="E15" i="71" s="1"/>
  <c r="O18" i="71"/>
  <c r="N18" i="71"/>
  <c r="B17" i="71"/>
  <c r="B16" i="71" s="1"/>
  <c r="A2" i="53"/>
  <c r="B19" i="72" s="1"/>
  <c r="K59" i="67"/>
  <c r="K59" i="15"/>
  <c r="P74" i="15"/>
  <c r="P61" i="15"/>
  <c r="D116" i="39"/>
  <c r="E116" i="39"/>
  <c r="F116" i="39"/>
  <c r="G116" i="39"/>
  <c r="H116" i="39"/>
  <c r="I116" i="39"/>
  <c r="J116" i="39"/>
  <c r="K116" i="39"/>
  <c r="L116" i="39"/>
  <c r="M116" i="39"/>
  <c r="C116" i="39"/>
  <c r="A21" i="62"/>
  <c r="A20" i="62"/>
  <c r="B66" i="72" s="1"/>
  <c r="A22" i="51"/>
  <c r="A21" i="51"/>
  <c r="B16" i="72" s="1"/>
  <c r="A20" i="51"/>
  <c r="A15" i="62"/>
  <c r="A14" i="62"/>
  <c r="B60" i="72" s="1"/>
  <c r="A13" i="62"/>
  <c r="B59" i="72" s="1"/>
  <c r="A19" i="62"/>
  <c r="A12" i="62"/>
  <c r="B58" i="72" s="1"/>
  <c r="A120" i="9"/>
  <c r="H2" i="52"/>
  <c r="A1" i="52"/>
  <c r="A3" i="53"/>
  <c r="Q19" i="71"/>
  <c r="P19" i="71"/>
  <c r="O19" i="71"/>
  <c r="N19"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0" i="43" s="1"/>
  <c r="AI12" i="43"/>
  <c r="AH9" i="43"/>
  <c r="AH12" i="43" s="1"/>
  <c r="AG9" i="43"/>
  <c r="AG10" i="43" s="1"/>
  <c r="AG12" i="43"/>
  <c r="AF9" i="43"/>
  <c r="AF12" i="43" s="1"/>
  <c r="AE9" i="43"/>
  <c r="AE12" i="43"/>
  <c r="AD9" i="43"/>
  <c r="AC9" i="43"/>
  <c r="AC12" i="43" s="1"/>
  <c r="AB9" i="43"/>
  <c r="AB12" i="43" s="1"/>
  <c r="AA9" i="43"/>
  <c r="AA10" i="43" s="1"/>
  <c r="AA12" i="43"/>
  <c r="Z9" i="43"/>
  <c r="Z12" i="43" s="1"/>
  <c r="AC10" i="43"/>
  <c r="AE10" i="43"/>
  <c r="Z10" i="43"/>
  <c r="AB10" i="43"/>
  <c r="AF10" i="43"/>
  <c r="AH10" i="43"/>
  <c r="AJ10" i="43"/>
  <c r="K49" i="9"/>
  <c r="E107" i="9"/>
  <c r="A122" i="9" s="1"/>
  <c r="A8" i="52" s="1"/>
  <c r="E111" i="9"/>
  <c r="A126" i="9"/>
  <c r="E109" i="9"/>
  <c r="A124" i="9"/>
  <c r="B44" i="72"/>
  <c r="B42" i="72"/>
  <c r="B69" i="72"/>
  <c r="B68" i="72"/>
  <c r="B63" i="72"/>
  <c r="B62" i="72"/>
  <c r="B65" i="72"/>
  <c r="B67" i="72"/>
  <c r="B10" i="72"/>
  <c r="C53" i="10"/>
  <c r="B51" i="10"/>
  <c r="A18" i="51"/>
  <c r="B13" i="72" s="1"/>
  <c r="B49" i="48"/>
  <c r="B5" i="72" s="1"/>
  <c r="I19" i="43"/>
  <c r="D82" i="71"/>
  <c r="F81" i="71"/>
  <c r="F80" i="71" s="1"/>
  <c r="F79" i="71" s="1"/>
  <c r="E81" i="71"/>
  <c r="E80" i="71" s="1"/>
  <c r="E79" i="71" s="1"/>
  <c r="C81" i="71"/>
  <c r="D81" i="71"/>
  <c r="B81" i="71"/>
  <c r="B80" i="71" s="1"/>
  <c r="B79" i="71" s="1"/>
  <c r="D78" i="71"/>
  <c r="F77" i="71"/>
  <c r="F76" i="71" s="1"/>
  <c r="E77" i="71"/>
  <c r="E76" i="71"/>
  <c r="E75" i="71" s="1"/>
  <c r="C77" i="71"/>
  <c r="B77" i="71"/>
  <c r="F75" i="71"/>
  <c r="B76" i="71"/>
  <c r="B75" i="71" s="1"/>
  <c r="D74" i="71"/>
  <c r="Q73" i="71"/>
  <c r="P73" i="71"/>
  <c r="O73" i="71"/>
  <c r="N73" i="71"/>
  <c r="F73" i="71"/>
  <c r="F72" i="71" s="1"/>
  <c r="F71" i="71" s="1"/>
  <c r="V73" i="7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c r="C65" i="71"/>
  <c r="T65" i="71" s="1"/>
  <c r="B65" i="71"/>
  <c r="B64" i="71" s="1"/>
  <c r="B63" i="71" s="1"/>
  <c r="S65" i="71"/>
  <c r="Q64" i="71"/>
  <c r="P64" i="71"/>
  <c r="O64" i="71"/>
  <c r="N64" i="71"/>
  <c r="F64" i="71"/>
  <c r="F63" i="71" s="1"/>
  <c r="Q63" i="71"/>
  <c r="P63" i="71"/>
  <c r="O63" i="71"/>
  <c r="N63" i="71"/>
  <c r="Q62" i="71"/>
  <c r="P62" i="71"/>
  <c r="O62" i="71"/>
  <c r="N62" i="71"/>
  <c r="D62" i="71"/>
  <c r="F61" i="71"/>
  <c r="V61" i="71"/>
  <c r="E61" i="71"/>
  <c r="U61" i="71" s="1"/>
  <c r="P61" i="71"/>
  <c r="C61" i="71"/>
  <c r="B61" i="71"/>
  <c r="S61" i="71"/>
  <c r="F60" i="71"/>
  <c r="B60" i="71"/>
  <c r="D58" i="71"/>
  <c r="Q57" i="71"/>
  <c r="P57" i="71"/>
  <c r="O57" i="71"/>
  <c r="N57" i="71"/>
  <c r="Q56" i="71"/>
  <c r="P56" i="71"/>
  <c r="O56" i="71"/>
  <c r="N56" i="71"/>
  <c r="Q55" i="71"/>
  <c r="P55" i="71"/>
  <c r="O55" i="71"/>
  <c r="N55" i="71"/>
  <c r="Q54" i="71"/>
  <c r="F55" i="71"/>
  <c r="F56" i="71" s="1"/>
  <c r="F57" i="71" s="1"/>
  <c r="V57" i="71" s="1"/>
  <c r="P54" i="71"/>
  <c r="E55" i="71"/>
  <c r="O54" i="71"/>
  <c r="C55" i="71" s="1"/>
  <c r="N54" i="71"/>
  <c r="B55" i="71"/>
  <c r="B56" i="71"/>
  <c r="B57" i="71" s="1"/>
  <c r="S57" i="71" s="1"/>
  <c r="D54" i="71"/>
  <c r="Q53" i="71"/>
  <c r="P53" i="71"/>
  <c r="O53" i="71"/>
  <c r="N53" i="71"/>
  <c r="Q52" i="71"/>
  <c r="P52" i="71"/>
  <c r="O52" i="71"/>
  <c r="N52" i="71"/>
  <c r="Q51" i="71"/>
  <c r="P51" i="71"/>
  <c r="O51" i="71"/>
  <c r="N51" i="71"/>
  <c r="Q50" i="71"/>
  <c r="F51" i="71" s="1"/>
  <c r="F52" i="71" s="1"/>
  <c r="F53" i="71" s="1"/>
  <c r="V53" i="71" s="1"/>
  <c r="P50" i="71"/>
  <c r="E51" i="71"/>
  <c r="E52" i="71" s="1"/>
  <c r="O50" i="71"/>
  <c r="C51" i="71"/>
  <c r="N50" i="71"/>
  <c r="B51" i="71"/>
  <c r="B52" i="71" s="1"/>
  <c r="B53" i="71" s="1"/>
  <c r="S53" i="71" s="1"/>
  <c r="D50" i="71"/>
  <c r="Q49" i="71"/>
  <c r="P49" i="71"/>
  <c r="O49" i="71"/>
  <c r="N49" i="71"/>
  <c r="Q48" i="71"/>
  <c r="P48" i="71"/>
  <c r="O48" i="71"/>
  <c r="N48" i="71"/>
  <c r="Q47" i="71"/>
  <c r="F48" i="71" s="1"/>
  <c r="P47" i="71"/>
  <c r="O47" i="71"/>
  <c r="N47" i="71"/>
  <c r="Q46" i="71"/>
  <c r="F47" i="71" s="1"/>
  <c r="F49" i="71"/>
  <c r="V49" i="71" s="1"/>
  <c r="P46" i="71"/>
  <c r="E47" i="71"/>
  <c r="O46" i="71"/>
  <c r="C47" i="71" s="1"/>
  <c r="N46" i="71"/>
  <c r="B47" i="71" s="1"/>
  <c r="D46" i="71"/>
  <c r="Q45" i="71"/>
  <c r="P45" i="71"/>
  <c r="O45" i="71"/>
  <c r="N45" i="71"/>
  <c r="Q44" i="71"/>
  <c r="P44" i="71"/>
  <c r="O44" i="71"/>
  <c r="N44" i="71"/>
  <c r="Q43" i="71"/>
  <c r="P43" i="71"/>
  <c r="O43" i="71"/>
  <c r="N43" i="71"/>
  <c r="Q42" i="71"/>
  <c r="F43" i="71"/>
  <c r="P42" i="71"/>
  <c r="E43" i="71" s="1"/>
  <c r="E44" i="71"/>
  <c r="E45" i="71" s="1"/>
  <c r="U45" i="71" s="1"/>
  <c r="O42" i="71"/>
  <c r="C43" i="71"/>
  <c r="N42" i="71"/>
  <c r="B43" i="71"/>
  <c r="B44" i="71" s="1"/>
  <c r="B45" i="71"/>
  <c r="S45" i="7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c r="O38" i="71"/>
  <c r="C39" i="71"/>
  <c r="N38" i="71"/>
  <c r="B39" i="71"/>
  <c r="B40" i="71" s="1"/>
  <c r="B41" i="71"/>
  <c r="S41" i="71" s="1"/>
  <c r="D38" i="71"/>
  <c r="Q37" i="71"/>
  <c r="P37" i="71"/>
  <c r="O37" i="71"/>
  <c r="N37" i="71"/>
  <c r="Q36" i="71"/>
  <c r="P36" i="71"/>
  <c r="O36" i="71"/>
  <c r="N36" i="71"/>
  <c r="Q35" i="71"/>
  <c r="P35" i="71"/>
  <c r="O35" i="71"/>
  <c r="N35" i="71"/>
  <c r="F36" i="71"/>
  <c r="F37" i="71"/>
  <c r="V37" i="71" s="1"/>
  <c r="Q34" i="71"/>
  <c r="F35" i="71" s="1"/>
  <c r="P34" i="71"/>
  <c r="E35" i="71"/>
  <c r="O34" i="71"/>
  <c r="C35" i="71"/>
  <c r="N34" i="71"/>
  <c r="B35" i="71"/>
  <c r="B36" i="71"/>
  <c r="B37" i="71"/>
  <c r="S37" i="71" s="1"/>
  <c r="D34" i="71"/>
  <c r="Q33" i="71"/>
  <c r="P33" i="71"/>
  <c r="O33" i="71"/>
  <c r="N33" i="71"/>
  <c r="Q32" i="71"/>
  <c r="AB32" i="71" s="1"/>
  <c r="P32" i="71"/>
  <c r="AA32" i="71"/>
  <c r="O32" i="71"/>
  <c r="Y32" i="71"/>
  <c r="Z32" i="71" s="1"/>
  <c r="N32" i="71"/>
  <c r="Q31" i="71"/>
  <c r="P31" i="71"/>
  <c r="AA31" i="71" s="1"/>
  <c r="O31" i="71"/>
  <c r="N31" i="71"/>
  <c r="X31" i="71" s="1"/>
  <c r="F31" i="71"/>
  <c r="F32" i="71" s="1"/>
  <c r="F33" i="71" s="1"/>
  <c r="V33" i="71" s="1"/>
  <c r="Q30" i="71"/>
  <c r="P30" i="71"/>
  <c r="O30" i="71"/>
  <c r="N30" i="71"/>
  <c r="D30" i="71"/>
  <c r="Q29" i="71"/>
  <c r="AB29" i="71" s="1"/>
  <c r="P29" i="71"/>
  <c r="AA29" i="71" s="1"/>
  <c r="O29" i="71"/>
  <c r="N29" i="71"/>
  <c r="Q28" i="71"/>
  <c r="AB28" i="71" s="1"/>
  <c r="P28" i="71"/>
  <c r="O28" i="71"/>
  <c r="Y28" i="71"/>
  <c r="Z28" i="71" s="1"/>
  <c r="N28" i="71"/>
  <c r="Q27" i="71"/>
  <c r="P27" i="71"/>
  <c r="O27" i="71"/>
  <c r="Y27" i="71"/>
  <c r="Z27" i="71" s="1"/>
  <c r="N27" i="71"/>
  <c r="Q26" i="71"/>
  <c r="F27" i="71" s="1"/>
  <c r="P26" i="71"/>
  <c r="O26" i="71"/>
  <c r="N26" i="71"/>
  <c r="D26" i="71"/>
  <c r="Q25" i="71"/>
  <c r="AB25" i="71"/>
  <c r="P25" i="71"/>
  <c r="O25" i="71"/>
  <c r="N25" i="71"/>
  <c r="Q24" i="71"/>
  <c r="P24" i="71"/>
  <c r="O24" i="71"/>
  <c r="N24" i="71"/>
  <c r="Q23" i="71"/>
  <c r="P23" i="71"/>
  <c r="O23" i="71"/>
  <c r="N23" i="71"/>
  <c r="F23" i="71"/>
  <c r="F24" i="71" s="1"/>
  <c r="F25" i="71" s="1"/>
  <c r="V25" i="71" s="1"/>
  <c r="Q22" i="71"/>
  <c r="P22" i="71"/>
  <c r="O22" i="71"/>
  <c r="N22" i="71"/>
  <c r="X22" i="71" s="1"/>
  <c r="D22" i="71"/>
  <c r="O21" i="71"/>
  <c r="N21" i="71"/>
  <c r="B23" i="71"/>
  <c r="N61" i="71"/>
  <c r="E27" i="71"/>
  <c r="E28" i="71" s="1"/>
  <c r="E29" i="71"/>
  <c r="U29" i="71"/>
  <c r="C23" i="71"/>
  <c r="AA24" i="71"/>
  <c r="C31" i="71"/>
  <c r="C32" i="71" s="1"/>
  <c r="F44" i="71"/>
  <c r="F45" i="71" s="1"/>
  <c r="V45" i="71"/>
  <c r="B21" i="71"/>
  <c r="C24" i="71"/>
  <c r="D24" i="71" s="1"/>
  <c r="D23" i="71"/>
  <c r="D31" i="71"/>
  <c r="C40" i="71"/>
  <c r="D40" i="71"/>
  <c r="D39" i="71"/>
  <c r="P21" i="71"/>
  <c r="E48" i="71"/>
  <c r="E49" i="71"/>
  <c r="U49" i="71" s="1"/>
  <c r="E53" i="71"/>
  <c r="U53" i="71" s="1"/>
  <c r="E60" i="71"/>
  <c r="Q21" i="71"/>
  <c r="C52" i="71"/>
  <c r="D51" i="71"/>
  <c r="C56" i="71"/>
  <c r="D55" i="71"/>
  <c r="N60" i="71"/>
  <c r="B59" i="71"/>
  <c r="N59" i="71" s="1"/>
  <c r="T61" i="71"/>
  <c r="O61" i="71"/>
  <c r="D61" i="71"/>
  <c r="C60" i="71"/>
  <c r="Q61" i="71"/>
  <c r="C64" i="71"/>
  <c r="E64" i="71"/>
  <c r="E63" i="71" s="1"/>
  <c r="D65" i="71"/>
  <c r="C68" i="71"/>
  <c r="C67" i="71" s="1"/>
  <c r="D67" i="71" s="1"/>
  <c r="E68" i="71"/>
  <c r="E67" i="71" s="1"/>
  <c r="D69" i="71"/>
  <c r="C72" i="71"/>
  <c r="C71" i="71" s="1"/>
  <c r="D71" i="71" s="1"/>
  <c r="E72" i="71"/>
  <c r="E71" i="71" s="1"/>
  <c r="D73" i="71"/>
  <c r="C80" i="71"/>
  <c r="F21" i="71"/>
  <c r="E21" i="71"/>
  <c r="V21" i="71" s="1"/>
  <c r="E20" i="71"/>
  <c r="E19" i="71"/>
  <c r="AA19" i="71"/>
  <c r="C59" i="71"/>
  <c r="C57" i="71"/>
  <c r="D56" i="71"/>
  <c r="D68" i="71"/>
  <c r="N58" i="71"/>
  <c r="D72" i="71"/>
  <c r="D64" i="71"/>
  <c r="C63" i="71"/>
  <c r="D63" i="71" s="1"/>
  <c r="C53" i="71"/>
  <c r="D52" i="71"/>
  <c r="P60" i="71"/>
  <c r="E59" i="71"/>
  <c r="P58" i="71" s="1"/>
  <c r="C25" i="71"/>
  <c r="D25" i="71" s="1"/>
  <c r="P59" i="71"/>
  <c r="T25" i="71"/>
  <c r="T53" i="71"/>
  <c r="D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c r="F25" i="40"/>
  <c r="Q29" i="39"/>
  <c r="Z29" i="39" s="1"/>
  <c r="D103" i="39"/>
  <c r="E103" i="39" s="1"/>
  <c r="F29" i="39"/>
  <c r="AA29" i="39"/>
  <c r="Q18" i="36"/>
  <c r="Z18" i="36" s="1"/>
  <c r="D66" i="36"/>
  <c r="E66" i="36" s="1"/>
  <c r="F66" i="36"/>
  <c r="H18" i="36"/>
  <c r="AB18" i="36"/>
  <c r="F18" i="36"/>
  <c r="AA18" i="36"/>
  <c r="C18" i="36"/>
  <c r="Q18" i="35"/>
  <c r="Z18" i="35" s="1"/>
  <c r="D68" i="35"/>
  <c r="E68" i="35" s="1"/>
  <c r="F68" i="35" s="1"/>
  <c r="F18" i="35"/>
  <c r="AA18" i="35" s="1"/>
  <c r="C18" i="35"/>
  <c r="Q21" i="37"/>
  <c r="Z21" i="37" s="1"/>
  <c r="D77" i="37"/>
  <c r="E77" i="37" s="1"/>
  <c r="F77" i="37" s="1"/>
  <c r="G77" i="37" s="1"/>
  <c r="C21" i="37"/>
  <c r="Q21" i="34"/>
  <c r="Z21" i="34" s="1"/>
  <c r="D84" i="34"/>
  <c r="E84" i="34" s="1"/>
  <c r="F21" i="34"/>
  <c r="AA21" i="34"/>
  <c r="C21" i="34"/>
  <c r="Q21" i="33"/>
  <c r="Z21" i="33" s="1"/>
  <c r="D83" i="33"/>
  <c r="E83" i="33"/>
  <c r="C21" i="33"/>
  <c r="C21" i="21"/>
  <c r="Q21" i="21"/>
  <c r="Z21" i="21"/>
  <c r="H19" i="21"/>
  <c r="D83" i="21"/>
  <c r="F21" i="21"/>
  <c r="AA21" i="21" s="1"/>
  <c r="D81" i="21"/>
  <c r="G20" i="20"/>
  <c r="B86" i="43"/>
  <c r="C22" i="20"/>
  <c r="B66" i="43"/>
  <c r="C25" i="40"/>
  <c r="S29" i="39"/>
  <c r="S18" i="36"/>
  <c r="U18" i="36"/>
  <c r="S21" i="34"/>
  <c r="F94" i="40"/>
  <c r="G94" i="40" s="1"/>
  <c r="H25" i="40"/>
  <c r="AB25" i="40" s="1"/>
  <c r="J25" i="40"/>
  <c r="AC25" i="40" s="1"/>
  <c r="F103" i="39"/>
  <c r="G103" i="39" s="1"/>
  <c r="H29" i="39"/>
  <c r="J29" i="39"/>
  <c r="G66" i="36"/>
  <c r="J18" i="36"/>
  <c r="H18" i="35"/>
  <c r="AB18" i="35" s="1"/>
  <c r="S18" i="35"/>
  <c r="G68" i="35"/>
  <c r="J18" i="35"/>
  <c r="H21" i="37"/>
  <c r="AB21" i="37" s="1"/>
  <c r="F21" i="37"/>
  <c r="F84" i="34"/>
  <c r="H21" i="34"/>
  <c r="F83" i="33"/>
  <c r="G83" i="33" s="1"/>
  <c r="H21" i="33"/>
  <c r="F21" i="33"/>
  <c r="E83" i="21"/>
  <c r="S21" i="21"/>
  <c r="H1" i="69"/>
  <c r="W25" i="40"/>
  <c r="U25" i="40"/>
  <c r="AC29" i="39"/>
  <c r="W29" i="39"/>
  <c r="U21" i="37"/>
  <c r="AB21" i="34"/>
  <c r="U21" i="34"/>
  <c r="AA21" i="33"/>
  <c r="S21" i="33"/>
  <c r="U18" i="35"/>
  <c r="AC18" i="35"/>
  <c r="W18" i="35"/>
  <c r="J21" i="37"/>
  <c r="G84" i="34"/>
  <c r="J21" i="34"/>
  <c r="J21" i="33"/>
  <c r="F83" i="21"/>
  <c r="H21" i="21"/>
  <c r="F38" i="69"/>
  <c r="E37" i="69"/>
  <c r="F36" i="69"/>
  <c r="F35" i="69"/>
  <c r="F21" i="69"/>
  <c r="F40" i="69" s="1"/>
  <c r="F20" i="69"/>
  <c r="F39" i="69" s="1"/>
  <c r="E10" i="69"/>
  <c r="E9" i="69"/>
  <c r="C7" i="69"/>
  <c r="AC21" i="37"/>
  <c r="W21" i="37"/>
  <c r="AC21" i="33"/>
  <c r="W21" i="33"/>
  <c r="G83" i="21"/>
  <c r="J21" i="2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s="1"/>
  <c r="E99" i="43"/>
  <c r="E100" i="43" s="1"/>
  <c r="E108" i="43"/>
  <c r="F99" i="43"/>
  <c r="F108" i="43" s="1"/>
  <c r="G99" i="43"/>
  <c r="G108" i="43"/>
  <c r="H99" i="43"/>
  <c r="H108" i="43" s="1"/>
  <c r="I99" i="43"/>
  <c r="I108" i="43"/>
  <c r="J99" i="43"/>
  <c r="J108" i="43" s="1"/>
  <c r="K99" i="43"/>
  <c r="K108" i="43"/>
  <c r="L99" i="43"/>
  <c r="L108" i="43" s="1"/>
  <c r="M99" i="43"/>
  <c r="M100" i="43" s="1"/>
  <c r="M108" i="43"/>
  <c r="C99" i="43"/>
  <c r="C108" i="43" s="1"/>
  <c r="N100" i="43"/>
  <c r="D100" i="43"/>
  <c r="L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c r="I12" i="31" s="1"/>
  <c r="J12" i="31" s="1"/>
  <c r="K12" i="31" s="1"/>
  <c r="L12" i="31" s="1"/>
  <c r="M12" i="31" s="1"/>
  <c r="N12" i="31" s="1"/>
  <c r="O12" i="31" s="1"/>
  <c r="P12" i="31"/>
  <c r="Q12" i="31" s="1"/>
  <c r="R12" i="31" s="1"/>
  <c r="S12" i="31" s="1"/>
  <c r="D10" i="31"/>
  <c r="E10" i="31" s="1"/>
  <c r="F10" i="31" s="1"/>
  <c r="G10" i="31" s="1"/>
  <c r="H10" i="31"/>
  <c r="I10" i="31" s="1"/>
  <c r="J10" i="31" s="1"/>
  <c r="K10" i="31" s="1"/>
  <c r="L10" i="31" s="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K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Z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L260" i="3" s="1"/>
  <c r="AZ260" i="3" s="1"/>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L255" i="3" s="1"/>
  <c r="AZ255" i="3" s="1"/>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AZ212" i="3" s="1"/>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AZ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AZ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c r="C58" i="40"/>
  <c r="H57" i="40"/>
  <c r="I57" i="40" s="1"/>
  <c r="C57" i="40" s="1"/>
  <c r="H56" i="40"/>
  <c r="I56" i="40" s="1"/>
  <c r="C56" i="40" s="1"/>
  <c r="H55" i="40"/>
  <c r="I55" i="40"/>
  <c r="C55" i="40" s="1"/>
  <c r="H54" i="40"/>
  <c r="I54" i="40"/>
  <c r="C54" i="40"/>
  <c r="H53" i="40"/>
  <c r="I53" i="40" s="1"/>
  <c r="C53" i="40" s="1"/>
  <c r="H52" i="40"/>
  <c r="I52" i="40" s="1"/>
  <c r="C52" i="40" s="1"/>
  <c r="H65" i="39"/>
  <c r="I65" i="39"/>
  <c r="C65" i="39" s="1"/>
  <c r="H64" i="39"/>
  <c r="I64" i="39"/>
  <c r="C64" i="39"/>
  <c r="H60" i="39"/>
  <c r="I60" i="39" s="1"/>
  <c r="C60" i="39" s="1"/>
  <c r="H59" i="39"/>
  <c r="I59" i="39" s="1"/>
  <c r="C59" i="39" s="1"/>
  <c r="H58" i="39"/>
  <c r="I58" i="39"/>
  <c r="C58" i="39" s="1"/>
  <c r="H57" i="39"/>
  <c r="I57" i="39"/>
  <c r="C57" i="39"/>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c r="R264" i="31"/>
  <c r="R265" i="31"/>
  <c r="S265" i="31"/>
  <c r="R266" i="31"/>
  <c r="R267" i="31"/>
  <c r="S267" i="31" s="1"/>
  <c r="R268" i="31"/>
  <c r="R269" i="31"/>
  <c r="S269" i="31" s="1"/>
  <c r="R270" i="31"/>
  <c r="R271" i="31"/>
  <c r="S271" i="31"/>
  <c r="R272" i="31"/>
  <c r="R273" i="31"/>
  <c r="S273" i="31"/>
  <c r="R274" i="31"/>
  <c r="R275" i="31"/>
  <c r="S275" i="31" s="1"/>
  <c r="R276" i="31"/>
  <c r="R277" i="31"/>
  <c r="S277" i="31" s="1"/>
  <c r="R278" i="31"/>
  <c r="R279" i="31"/>
  <c r="S279" i="31"/>
  <c r="R280" i="31"/>
  <c r="R281" i="31"/>
  <c r="S281" i="31"/>
  <c r="R282" i="31"/>
  <c r="R283" i="31"/>
  <c r="S283" i="31" s="1"/>
  <c r="R284" i="31"/>
  <c r="R285" i="31"/>
  <c r="S285" i="31" s="1"/>
  <c r="R286" i="31"/>
  <c r="R287" i="31"/>
  <c r="S287" i="31"/>
  <c r="R288" i="31"/>
  <c r="R289" i="31"/>
  <c r="S289" i="31"/>
  <c r="R290" i="31"/>
  <c r="R291" i="31"/>
  <c r="S291" i="31" s="1"/>
  <c r="R292" i="31"/>
  <c r="R293" i="31"/>
  <c r="S293" i="31" s="1"/>
  <c r="R294" i="31"/>
  <c r="R295" i="31"/>
  <c r="S295" i="31"/>
  <c r="R296" i="31"/>
  <c r="R297" i="31"/>
  <c r="S297" i="31"/>
  <c r="R298" i="31"/>
  <c r="R299" i="31"/>
  <c r="S299" i="31" s="1"/>
  <c r="R300" i="31"/>
  <c r="R301" i="31"/>
  <c r="S301" i="31" s="1"/>
  <c r="R302" i="31"/>
  <c r="R303" i="31"/>
  <c r="S303" i="31"/>
  <c r="R304" i="31"/>
  <c r="R305" i="31"/>
  <c r="S305" i="31"/>
  <c r="R306" i="31"/>
  <c r="R307" i="31"/>
  <c r="S307" i="31" s="1"/>
  <c r="R308" i="31"/>
  <c r="R309" i="31"/>
  <c r="S309" i="31" s="1"/>
  <c r="R310" i="31"/>
  <c r="R311" i="31"/>
  <c r="S311" i="31"/>
  <c r="R312" i="31"/>
  <c r="R313" i="31"/>
  <c r="S313" i="31"/>
  <c r="R314" i="31"/>
  <c r="R315" i="31"/>
  <c r="S315" i="31" s="1"/>
  <c r="R316" i="31"/>
  <c r="R317" i="31"/>
  <c r="S317" i="31" s="1"/>
  <c r="R318" i="31"/>
  <c r="R319" i="31"/>
  <c r="S319" i="31"/>
  <c r="R320" i="31"/>
  <c r="R321" i="31"/>
  <c r="S321" i="31"/>
  <c r="R322" i="31"/>
  <c r="R323" i="31"/>
  <c r="S323" i="31" s="1"/>
  <c r="R324" i="31"/>
  <c r="R325" i="31"/>
  <c r="S325" i="31" s="1"/>
  <c r="R326" i="31"/>
  <c r="R327" i="31"/>
  <c r="S327" i="31"/>
  <c r="R328" i="31"/>
  <c r="R329" i="31"/>
  <c r="S329" i="31"/>
  <c r="R330" i="31"/>
  <c r="R331" i="31"/>
  <c r="S331" i="31" s="1"/>
  <c r="R332" i="31"/>
  <c r="R333" i="31"/>
  <c r="S333" i="31" s="1"/>
  <c r="R334" i="31"/>
  <c r="R335" i="31"/>
  <c r="S335" i="31"/>
  <c r="R336" i="31"/>
  <c r="R337" i="31"/>
  <c r="S337" i="31"/>
  <c r="R338" i="31"/>
  <c r="R339" i="31"/>
  <c r="S339" i="31" s="1"/>
  <c r="R340" i="31"/>
  <c r="R341" i="31"/>
  <c r="S341" i="31" s="1"/>
  <c r="R342" i="31"/>
  <c r="R343" i="31"/>
  <c r="S343" i="31"/>
  <c r="R344" i="31"/>
  <c r="R345" i="31"/>
  <c r="S345" i="31"/>
  <c r="R346" i="31"/>
  <c r="R347" i="31"/>
  <c r="S347" i="31" s="1"/>
  <c r="R348" i="31"/>
  <c r="R349" i="31"/>
  <c r="S349" i="31" s="1"/>
  <c r="R350" i="31"/>
  <c r="R351" i="31"/>
  <c r="S351" i="31"/>
  <c r="R352" i="31"/>
  <c r="R353" i="31"/>
  <c r="S353" i="31"/>
  <c r="R354" i="31"/>
  <c r="R355" i="31"/>
  <c r="S355" i="31" s="1"/>
  <c r="R356" i="31"/>
  <c r="R357" i="31"/>
  <c r="S357" i="31" s="1"/>
  <c r="R358" i="31"/>
  <c r="R359" i="31"/>
  <c r="S359" i="31"/>
  <c r="R360" i="31"/>
  <c r="R361" i="31"/>
  <c r="S361" i="31"/>
  <c r="R362" i="31"/>
  <c r="R363" i="31"/>
  <c r="S363" i="31" s="1"/>
  <c r="R364" i="31"/>
  <c r="R365" i="31"/>
  <c r="S365" i="31" s="1"/>
  <c r="R366" i="31"/>
  <c r="R367" i="31"/>
  <c r="S367" i="31"/>
  <c r="R368" i="31"/>
  <c r="R369" i="31"/>
  <c r="S369" i="31"/>
  <c r="R370" i="31"/>
  <c r="R371" i="31"/>
  <c r="S371" i="31" s="1"/>
  <c r="R372" i="31"/>
  <c r="R373" i="31"/>
  <c r="S373" i="31" s="1"/>
  <c r="R374" i="31"/>
  <c r="R375" i="31"/>
  <c r="S375" i="31"/>
  <c r="R376" i="31"/>
  <c r="R377" i="31"/>
  <c r="S377" i="31"/>
  <c r="R378" i="31"/>
  <c r="R379" i="31"/>
  <c r="S379" i="31" s="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c r="R402" i="31"/>
  <c r="R403" i="31"/>
  <c r="S403" i="31" s="1"/>
  <c r="R404" i="31"/>
  <c r="R405" i="31"/>
  <c r="S405" i="31" s="1"/>
  <c r="R406" i="31"/>
  <c r="R407" i="31"/>
  <c r="S407" i="31"/>
  <c r="R408" i="31"/>
  <c r="R409" i="31"/>
  <c r="S409" i="31"/>
  <c r="R410" i="31"/>
  <c r="R411" i="31"/>
  <c r="S411" i="31" s="1"/>
  <c r="R412" i="31"/>
  <c r="R413" i="31"/>
  <c r="S413" i="31" s="1"/>
  <c r="R414" i="31"/>
  <c r="R415" i="31"/>
  <c r="S415" i="3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5" i="3" s="1"/>
  <c r="BN14" i="3"/>
  <c r="BN15" i="3"/>
  <c r="BL15" i="3" s="1"/>
  <c r="BN16" i="3"/>
  <c r="BN17" i="3"/>
  <c r="BP13" i="3"/>
  <c r="BP14" i="3"/>
  <c r="BP15" i="3"/>
  <c r="BP16" i="3"/>
  <c r="BP17" i="3"/>
  <c r="E19" i="6"/>
  <c r="C7" i="12" s="1"/>
  <c r="E20" i="6"/>
  <c r="E21" i="6"/>
  <c r="F23" i="15"/>
  <c r="D24" i="15"/>
  <c r="M13" i="1"/>
  <c r="O13" i="1" s="1"/>
  <c r="E22" i="6"/>
  <c r="E23" i="6"/>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G5" i="3" s="1"/>
  <c r="BH556" i="3"/>
  <c r="BI556" i="3"/>
  <c r="BJ556" i="3"/>
  <c r="BK556" i="3"/>
  <c r="BK5" i="3" s="1"/>
  <c r="BM556" i="3"/>
  <c r="BN556" i="3"/>
  <c r="BO556" i="3"/>
  <c r="BP556" i="3"/>
  <c r="BL556" i="3" s="1"/>
  <c r="BQ556" i="3"/>
  <c r="BR556" i="3"/>
  <c r="BS556" i="3"/>
  <c r="BT556" i="3"/>
  <c r="BT5" i="3" s="1"/>
  <c r="H557" i="3"/>
  <c r="BB557" i="3"/>
  <c r="BC557" i="3"/>
  <c r="BD557" i="3"/>
  <c r="BE557" i="3"/>
  <c r="BF557" i="3"/>
  <c r="BG557" i="3"/>
  <c r="BH557" i="3"/>
  <c r="BH5" i="3" s="1"/>
  <c r="BI557" i="3"/>
  <c r="BJ557" i="3"/>
  <c r="BK557" i="3"/>
  <c r="BM557" i="3"/>
  <c r="BN557" i="3"/>
  <c r="BO557" i="3"/>
  <c r="BP557" i="3"/>
  <c r="BR557" i="3"/>
  <c r="BR5" i="3" s="1"/>
  <c r="G28" i="6" s="1"/>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S515" i="31"/>
  <c r="S516" i="31"/>
  <c r="S517" i="31"/>
  <c r="S518" i="31"/>
  <c r="S519" i="31"/>
  <c r="S520" i="31"/>
  <c r="S521" i="31"/>
  <c r="S522" i="31"/>
  <c r="S523" i="31"/>
  <c r="S524" i="31"/>
  <c r="F41" i="21"/>
  <c r="S41" i="21" s="1"/>
  <c r="J41" i="21"/>
  <c r="AC41" i="21" s="1"/>
  <c r="H41" i="21"/>
  <c r="U41" i="2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F33" i="40" s="1"/>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c r="D90" i="40"/>
  <c r="E90" i="40" s="1"/>
  <c r="F90" i="40" s="1"/>
  <c r="G90" i="40"/>
  <c r="D88" i="40"/>
  <c r="E88" i="40" s="1"/>
  <c r="D86" i="40"/>
  <c r="E86" i="40"/>
  <c r="F86" i="40"/>
  <c r="G86" i="40" s="1"/>
  <c r="D84" i="40"/>
  <c r="E84" i="40"/>
  <c r="F84" i="40"/>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H39" i="40"/>
  <c r="Q38" i="40"/>
  <c r="Z38" i="40" s="1"/>
  <c r="J38" i="40"/>
  <c r="AC38" i="40" s="1"/>
  <c r="H38" i="40"/>
  <c r="Q37" i="40"/>
  <c r="Z37" i="40" s="1"/>
  <c r="Q36" i="40"/>
  <c r="Z36" i="40"/>
  <c r="Q35" i="40"/>
  <c r="Z35" i="40" s="1"/>
  <c r="Q34" i="40"/>
  <c r="Z34" i="40" s="1"/>
  <c r="J34" i="40"/>
  <c r="AC34" i="40" s="1"/>
  <c r="H34" i="40"/>
  <c r="F34" i="40"/>
  <c r="AA34" i="40" s="1"/>
  <c r="Q33" i="40"/>
  <c r="Z33" i="40"/>
  <c r="Q32" i="40"/>
  <c r="Z32" i="40" s="1"/>
  <c r="Q31" i="40"/>
  <c r="Z31" i="40"/>
  <c r="Q30" i="40"/>
  <c r="Z30" i="40" s="1"/>
  <c r="Q28" i="40"/>
  <c r="Z28" i="40" s="1"/>
  <c r="Q27" i="40"/>
  <c r="Z27" i="40" s="1"/>
  <c r="Q23" i="40"/>
  <c r="Z23" i="40" s="1"/>
  <c r="Q21" i="40"/>
  <c r="Z21" i="40" s="1"/>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c r="H120" i="39" s="1"/>
  <c r="I120" i="39" s="1"/>
  <c r="J120" i="39" s="1"/>
  <c r="K120" i="39"/>
  <c r="L120" i="39"/>
  <c r="M120" i="39" s="1"/>
  <c r="B114" i="39"/>
  <c r="J37" i="39" s="1"/>
  <c r="D109" i="39"/>
  <c r="E109" i="39" s="1"/>
  <c r="F109" i="39" s="1"/>
  <c r="G109" i="39" s="1"/>
  <c r="F34" i="39"/>
  <c r="AA34" i="39"/>
  <c r="D107" i="39"/>
  <c r="E107" i="39"/>
  <c r="D105" i="39"/>
  <c r="E105" i="39"/>
  <c r="F105" i="39" s="1"/>
  <c r="G105" i="39" s="1"/>
  <c r="H105" i="39" s="1"/>
  <c r="I105" i="39" s="1"/>
  <c r="J105" i="39" s="1"/>
  <c r="K105" i="39" s="1"/>
  <c r="L105" i="39" s="1"/>
  <c r="M105" i="39" s="1"/>
  <c r="D101" i="39"/>
  <c r="E101" i="39" s="1"/>
  <c r="F101" i="39" s="1"/>
  <c r="G101" i="39" s="1"/>
  <c r="D99" i="39"/>
  <c r="E99" i="39" s="1"/>
  <c r="F99" i="39" s="1"/>
  <c r="G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c r="F126" i="39" s="1"/>
  <c r="G126" i="39" s="1"/>
  <c r="H126" i="39" s="1"/>
  <c r="I126" i="39"/>
  <c r="J126" i="39" s="1"/>
  <c r="K126" i="39" s="1"/>
  <c r="L126" i="39" s="1"/>
  <c r="M126" i="39" s="1"/>
  <c r="D122" i="39"/>
  <c r="E122" i="39" s="1"/>
  <c r="F122" i="39"/>
  <c r="G122" i="39" s="1"/>
  <c r="H122" i="39" s="1"/>
  <c r="I122" i="39" s="1"/>
  <c r="J122" i="39"/>
  <c r="K122" i="39" s="1"/>
  <c r="L122" i="39" s="1"/>
  <c r="M122" i="39" s="1"/>
  <c r="B104" i="39"/>
  <c r="D97" i="39"/>
  <c r="J23" i="39"/>
  <c r="AC23" i="39"/>
  <c r="D95" i="39"/>
  <c r="E95" i="39" s="1"/>
  <c r="F95" i="39" s="1"/>
  <c r="D93" i="39"/>
  <c r="E93" i="39"/>
  <c r="F93" i="39" s="1"/>
  <c r="G93" i="39"/>
  <c r="D91" i="39"/>
  <c r="E91" i="39" s="1"/>
  <c r="F91" i="39" s="1"/>
  <c r="G91" i="39"/>
  <c r="D89" i="39"/>
  <c r="E89" i="39" s="1"/>
  <c r="F89" i="39" s="1"/>
  <c r="G89" i="39" s="1"/>
  <c r="B86" i="39"/>
  <c r="B84" i="39"/>
  <c r="J13" i="39" s="1"/>
  <c r="W13" i="39" s="1"/>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c r="Q13" i="37"/>
  <c r="Z13" i="37" s="1"/>
  <c r="Q12" i="37"/>
  <c r="Z12" i="37"/>
  <c r="Q11" i="37"/>
  <c r="Z11" i="37" s="1"/>
  <c r="Q10" i="37"/>
  <c r="Z10" i="37" s="1"/>
  <c r="F10" i="37"/>
  <c r="Q9" i="37"/>
  <c r="Z9" i="37" s="1"/>
  <c r="J8" i="37"/>
  <c r="W8" i="37" s="1"/>
  <c r="H8" i="37"/>
  <c r="AB8" i="37" s="1"/>
  <c r="F8" i="37"/>
  <c r="S8" i="37" s="1"/>
  <c r="J31" i="36"/>
  <c r="H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F54" i="36"/>
  <c r="G54" i="36" s="1"/>
  <c r="H54" i="36"/>
  <c r="I54" i="36" s="1"/>
  <c r="C51" i="36"/>
  <c r="J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H12" i="36"/>
  <c r="U12" i="36" s="1"/>
  <c r="Q11" i="36"/>
  <c r="Z11" i="36" s="1"/>
  <c r="Q10" i="36"/>
  <c r="Z10" i="36" s="1"/>
  <c r="F10" i="36"/>
  <c r="Q9" i="36"/>
  <c r="Z9" i="36" s="1"/>
  <c r="J8" i="36"/>
  <c r="AC8" i="36" s="1"/>
  <c r="H8" i="36"/>
  <c r="U8" i="36" s="1"/>
  <c r="F8" i="36"/>
  <c r="AA8" i="36" s="1"/>
  <c r="D89" i="35"/>
  <c r="E89" i="35" s="1"/>
  <c r="F89" i="35" s="1"/>
  <c r="G89" i="35" s="1"/>
  <c r="H89" i="35" s="1"/>
  <c r="I89" i="35" s="1"/>
  <c r="M90" i="35"/>
  <c r="L90" i="35"/>
  <c r="K90" i="35"/>
  <c r="J90" i="35"/>
  <c r="I90" i="35"/>
  <c r="H90" i="35"/>
  <c r="G90" i="35"/>
  <c r="F90" i="35"/>
  <c r="E90" i="35"/>
  <c r="D90" i="35"/>
  <c r="C90" i="35"/>
  <c r="F85" i="35"/>
  <c r="E85" i="35"/>
  <c r="D85" i="35"/>
  <c r="C85" i="35"/>
  <c r="J27" i="35"/>
  <c r="H27" i="35"/>
  <c r="U27" i="35" s="1"/>
  <c r="F27" i="35"/>
  <c r="AA27" i="35"/>
  <c r="J22" i="35"/>
  <c r="AC22" i="35" s="1"/>
  <c r="B101" i="35"/>
  <c r="H36" i="35"/>
  <c r="AB36" i="35"/>
  <c r="B99" i="35"/>
  <c r="B97" i="35"/>
  <c r="B77" i="35"/>
  <c r="F25" i="35" s="1"/>
  <c r="B75" i="35"/>
  <c r="B73" i="35"/>
  <c r="H23" i="35"/>
  <c r="U23" i="35" s="1"/>
  <c r="B57" i="35"/>
  <c r="J11" i="35" s="1"/>
  <c r="B61" i="35"/>
  <c r="B59" i="35"/>
  <c r="B131" i="34"/>
  <c r="B129" i="34"/>
  <c r="B127" i="34"/>
  <c r="B99" i="34"/>
  <c r="B97" i="34"/>
  <c r="B95" i="34"/>
  <c r="B93" i="34"/>
  <c r="B75" i="34"/>
  <c r="B73" i="34"/>
  <c r="B71" i="34"/>
  <c r="J12" i="34" s="1"/>
  <c r="W12" i="34" s="1"/>
  <c r="B130" i="33"/>
  <c r="B128" i="33"/>
  <c r="B126" i="33"/>
  <c r="B98" i="33"/>
  <c r="B96" i="33"/>
  <c r="B94" i="33"/>
  <c r="B74" i="33"/>
  <c r="B72" i="33"/>
  <c r="H13" i="33" s="1"/>
  <c r="AB13" i="33" s="1"/>
  <c r="B70" i="33"/>
  <c r="J12" i="33" s="1"/>
  <c r="D96" i="35"/>
  <c r="E96" i="35"/>
  <c r="F96" i="35" s="1"/>
  <c r="G96" i="35" s="1"/>
  <c r="D94" i="35"/>
  <c r="E94" i="35"/>
  <c r="F94" i="35" s="1"/>
  <c r="G94" i="35" s="1"/>
  <c r="H94" i="35" s="1"/>
  <c r="I94" i="35"/>
  <c r="J94" i="35" s="1"/>
  <c r="K94" i="35" s="1"/>
  <c r="L94" i="35" s="1"/>
  <c r="M94" i="35" s="1"/>
  <c r="D84" i="35"/>
  <c r="E84" i="35" s="1"/>
  <c r="F84" i="35" s="1"/>
  <c r="G84" i="35" s="1"/>
  <c r="H84" i="35" s="1"/>
  <c r="I84" i="35"/>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F56" i="35"/>
  <c r="G56" i="35"/>
  <c r="H56" i="35"/>
  <c r="I56" i="35" s="1"/>
  <c r="C53" i="35"/>
  <c r="J9" i="35"/>
  <c r="P39" i="35"/>
  <c r="P38" i="35"/>
  <c r="V37" i="35"/>
  <c r="T37" i="35"/>
  <c r="R37" i="35"/>
  <c r="P37" i="35"/>
  <c r="Q36" i="35"/>
  <c r="Z36" i="35"/>
  <c r="J36" i="35"/>
  <c r="W36" i="35" s="1"/>
  <c r="Q35" i="35"/>
  <c r="Z35" i="35"/>
  <c r="Q34" i="35"/>
  <c r="Z34" i="35" s="1"/>
  <c r="H34" i="35"/>
  <c r="AB34" i="35"/>
  <c r="Q33" i="35"/>
  <c r="Z33" i="35" s="1"/>
  <c r="Q32" i="35"/>
  <c r="Z32" i="35"/>
  <c r="H32" i="35"/>
  <c r="AB32" i="35" s="1"/>
  <c r="F32" i="35"/>
  <c r="AA32" i="35"/>
  <c r="Q31" i="35"/>
  <c r="Z31" i="35" s="1"/>
  <c r="AB31" i="35"/>
  <c r="AA31" i="35"/>
  <c r="Q30" i="35"/>
  <c r="Z30" i="35" s="1"/>
  <c r="Q29" i="35"/>
  <c r="Z29" i="35"/>
  <c r="Q28" i="35"/>
  <c r="Z28" i="35" s="1"/>
  <c r="J28" i="35"/>
  <c r="AC28" i="35" s="1"/>
  <c r="H28" i="35"/>
  <c r="AB28" i="35" s="1"/>
  <c r="F28" i="35"/>
  <c r="AA28" i="35" s="1"/>
  <c r="Q27" i="35"/>
  <c r="Z27" i="35" s="1"/>
  <c r="Q26" i="35"/>
  <c r="Z26" i="35" s="1"/>
  <c r="Q25" i="35"/>
  <c r="Z25" i="35" s="1"/>
  <c r="Q24" i="35"/>
  <c r="Z24" i="35"/>
  <c r="Q23" i="35"/>
  <c r="Z23" i="35" s="1"/>
  <c r="J23" i="35"/>
  <c r="AC23" i="35" s="1"/>
  <c r="Q22" i="35"/>
  <c r="Z22" i="35"/>
  <c r="Q20" i="35"/>
  <c r="Z20" i="35" s="1"/>
  <c r="Q16" i="35"/>
  <c r="Z16" i="35" s="1"/>
  <c r="Q14" i="35"/>
  <c r="Z14" i="35" s="1"/>
  <c r="Q13" i="35"/>
  <c r="Z13" i="35" s="1"/>
  <c r="Q12" i="35"/>
  <c r="Z12" i="35" s="1"/>
  <c r="J12" i="35"/>
  <c r="H12" i="35"/>
  <c r="U12" i="35" s="1"/>
  <c r="F12" i="35"/>
  <c r="S12" i="35"/>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c r="D126" i="34"/>
  <c r="E126" i="34" s="1"/>
  <c r="F126" i="34" s="1"/>
  <c r="G126" i="34" s="1"/>
  <c r="D124" i="34"/>
  <c r="E124" i="34" s="1"/>
  <c r="F124" i="34" s="1"/>
  <c r="G124" i="34" s="1"/>
  <c r="H124" i="34"/>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c r="J88" i="34" s="1"/>
  <c r="K88" i="34" s="1"/>
  <c r="L88" i="34" s="1"/>
  <c r="M88" i="34" s="1"/>
  <c r="D86" i="34"/>
  <c r="E86" i="34" s="1"/>
  <c r="F86" i="34" s="1"/>
  <c r="G86" i="34"/>
  <c r="D82" i="34"/>
  <c r="E82" i="34" s="1"/>
  <c r="F82" i="34" s="1"/>
  <c r="G82" i="34" s="1"/>
  <c r="D80" i="34"/>
  <c r="E80" i="34" s="1"/>
  <c r="F80" i="34" s="1"/>
  <c r="G80" i="34"/>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s="1"/>
  <c r="H12" i="34"/>
  <c r="F12" i="34"/>
  <c r="Q11" i="34"/>
  <c r="Z11" i="34"/>
  <c r="Q10" i="34"/>
  <c r="Z10" i="34" s="1"/>
  <c r="F10" i="34"/>
  <c r="AA10" i="34"/>
  <c r="Q9" i="34"/>
  <c r="Z9" i="34" s="1"/>
  <c r="AC9" i="34"/>
  <c r="H9" i="34"/>
  <c r="F9" i="34"/>
  <c r="AA9" i="34" s="1"/>
  <c r="J8" i="34"/>
  <c r="W8" i="34" s="1"/>
  <c r="H8" i="34"/>
  <c r="U8" i="34" s="1"/>
  <c r="F8" i="34"/>
  <c r="D121" i="33"/>
  <c r="E121" i="33" s="1"/>
  <c r="F109" i="33"/>
  <c r="E109" i="33"/>
  <c r="D109" i="33"/>
  <c r="C109" i="33"/>
  <c r="D91" i="33"/>
  <c r="E91" i="33"/>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B90" i="33"/>
  <c r="D87" i="33"/>
  <c r="E87" i="33" s="1"/>
  <c r="F87" i="33" s="1"/>
  <c r="G87" i="33" s="1"/>
  <c r="H87" i="33" s="1"/>
  <c r="I87" i="33" s="1"/>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U40" i="33" s="1"/>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J8" i="33"/>
  <c r="AC8" i="33"/>
  <c r="H8" i="33"/>
  <c r="AB8" i="33" s="1"/>
  <c r="F8" i="33"/>
  <c r="AA8" i="33"/>
  <c r="M102" i="21"/>
  <c r="D102" i="21"/>
  <c r="E102" i="21"/>
  <c r="F102" i="21"/>
  <c r="G102" i="21"/>
  <c r="H102" i="21"/>
  <c r="I102" i="21"/>
  <c r="J102" i="21"/>
  <c r="K102" i="21"/>
  <c r="L102" i="21"/>
  <c r="C102" i="21"/>
  <c r="C63" i="21"/>
  <c r="F9" i="21" s="1"/>
  <c r="AA9" i="21" s="1"/>
  <c r="G18" i="20"/>
  <c r="B88" i="43" s="1"/>
  <c r="G19" i="20"/>
  <c r="G16" i="20"/>
  <c r="B82" i="43" s="1"/>
  <c r="G15" i="20"/>
  <c r="B81" i="43"/>
  <c r="C24" i="20"/>
  <c r="B73" i="43" s="1"/>
  <c r="C21" i="20"/>
  <c r="C27" i="39" s="1"/>
  <c r="C20" i="20"/>
  <c r="B77" i="43" s="1"/>
  <c r="C18" i="20"/>
  <c r="C21" i="39" s="1"/>
  <c r="C17" i="20"/>
  <c r="B59" i="43" s="1"/>
  <c r="C16" i="20"/>
  <c r="C17" i="39" s="1"/>
  <c r="C15" i="20"/>
  <c r="B70" i="43" s="1"/>
  <c r="E54" i="21"/>
  <c r="F54" i="21"/>
  <c r="I54" i="21"/>
  <c r="J54" i="21" s="1"/>
  <c r="G54" i="21"/>
  <c r="H54" i="21" s="1"/>
  <c r="D125" i="21"/>
  <c r="E125" i="21" s="1"/>
  <c r="F125" i="21" s="1"/>
  <c r="G125" i="21" s="1"/>
  <c r="D123" i="21"/>
  <c r="E123" i="21" s="1"/>
  <c r="F123" i="21"/>
  <c r="G123" i="21" s="1"/>
  <c r="H123" i="21" s="1"/>
  <c r="I123" i="21" s="1"/>
  <c r="J123" i="21" s="1"/>
  <c r="K123" i="21" s="1"/>
  <c r="L123" i="21" s="1"/>
  <c r="F42" i="21"/>
  <c r="AA42" i="21" s="1"/>
  <c r="D119" i="2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s="1"/>
  <c r="E81" i="21"/>
  <c r="F81" i="21" s="1"/>
  <c r="G81" i="21" s="1"/>
  <c r="D77" i="21"/>
  <c r="E77" i="21" s="1"/>
  <c r="B130" i="21"/>
  <c r="B128" i="21"/>
  <c r="B126" i="21"/>
  <c r="B98" i="21"/>
  <c r="F31" i="21" s="1"/>
  <c r="H31" i="21"/>
  <c r="AB31" i="21" s="1"/>
  <c r="B96" i="21"/>
  <c r="B94" i="21"/>
  <c r="J29" i="21"/>
  <c r="AC29" i="21"/>
  <c r="B92" i="21"/>
  <c r="B90" i="21"/>
  <c r="J27" i="21"/>
  <c r="W27" i="2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BB12" i="3"/>
  <c r="F7" i="12"/>
  <c r="D7" i="12"/>
  <c r="E7" i="12"/>
  <c r="G7" i="12"/>
  <c r="K5" i="3"/>
  <c r="I4" i="6"/>
  <c r="G3" i="43" s="1"/>
  <c r="K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W26" i="21" s="1"/>
  <c r="F26" i="21"/>
  <c r="S26" i="21" s="1"/>
  <c r="AB41" i="21"/>
  <c r="AA41" i="21"/>
  <c r="F45" i="39"/>
  <c r="S45" i="39" s="1"/>
  <c r="J44" i="39"/>
  <c r="F36" i="39"/>
  <c r="S36" i="39"/>
  <c r="H36" i="39"/>
  <c r="F35" i="39"/>
  <c r="J36" i="39"/>
  <c r="AC36" i="39"/>
  <c r="U9" i="39"/>
  <c r="W40" i="39"/>
  <c r="U30" i="37"/>
  <c r="W31" i="37"/>
  <c r="G103" i="37"/>
  <c r="H103" i="37" s="1"/>
  <c r="I103" i="37" s="1"/>
  <c r="J103" i="37" s="1"/>
  <c r="K103" i="37" s="1"/>
  <c r="L103" i="37" s="1"/>
  <c r="M103" i="37" s="1"/>
  <c r="F39" i="37"/>
  <c r="S39" i="37"/>
  <c r="U14" i="37"/>
  <c r="F29" i="36"/>
  <c r="AA29" i="36" s="1"/>
  <c r="W8" i="36"/>
  <c r="F16" i="36"/>
  <c r="AA16" i="36" s="1"/>
  <c r="W28" i="36"/>
  <c r="S30" i="36"/>
  <c r="AA31" i="36"/>
  <c r="AC31" i="36"/>
  <c r="W31" i="36"/>
  <c r="H22" i="35"/>
  <c r="W28" i="35"/>
  <c r="U31" i="35"/>
  <c r="W22" i="35"/>
  <c r="S31" i="35"/>
  <c r="U34" i="35"/>
  <c r="F36" i="34"/>
  <c r="J35" i="34"/>
  <c r="W9" i="34"/>
  <c r="S34" i="34"/>
  <c r="H39" i="33"/>
  <c r="W33" i="33"/>
  <c r="W39" i="33"/>
  <c r="H39" i="37"/>
  <c r="AB39" i="37" s="1"/>
  <c r="S27" i="35"/>
  <c r="F11" i="40"/>
  <c r="H11" i="40"/>
  <c r="AB11" i="40"/>
  <c r="W8" i="40"/>
  <c r="AA9" i="40"/>
  <c r="AC9" i="40"/>
  <c r="U9" i="40"/>
  <c r="S34" i="40"/>
  <c r="S40" i="40"/>
  <c r="W31" i="40"/>
  <c r="S38" i="40"/>
  <c r="F42" i="39"/>
  <c r="AA42" i="39" s="1"/>
  <c r="F41" i="39"/>
  <c r="S41" i="39" s="1"/>
  <c r="H40" i="39"/>
  <c r="AB40" i="39" s="1"/>
  <c r="H39" i="39"/>
  <c r="U39" i="39" s="1"/>
  <c r="S38" i="39"/>
  <c r="S34" i="39"/>
  <c r="H34" i="39"/>
  <c r="U34" i="39" s="1"/>
  <c r="F31" i="39"/>
  <c r="H19" i="39"/>
  <c r="AB19" i="39" s="1"/>
  <c r="F19" i="39"/>
  <c r="AA19" i="39" s="1"/>
  <c r="H17" i="39"/>
  <c r="F17" i="39"/>
  <c r="AA17" i="39" s="1"/>
  <c r="J23" i="40"/>
  <c r="AC23" i="40"/>
  <c r="F21" i="40"/>
  <c r="AA21" i="40" s="1"/>
  <c r="J21" i="40"/>
  <c r="W21" i="40" s="1"/>
  <c r="H42" i="39"/>
  <c r="AB42" i="39" s="1"/>
  <c r="J34" i="39"/>
  <c r="AC34" i="39" s="1"/>
  <c r="H109" i="39"/>
  <c r="I109" i="39"/>
  <c r="J109" i="39" s="1"/>
  <c r="K109" i="39" s="1"/>
  <c r="L109" i="39" s="1"/>
  <c r="M109" i="39" s="1"/>
  <c r="H27" i="39"/>
  <c r="U27" i="39"/>
  <c r="J19" i="39"/>
  <c r="AC19" i="39" s="1"/>
  <c r="J17" i="39"/>
  <c r="J27" i="39"/>
  <c r="AC27" i="39" s="1"/>
  <c r="F27" i="39"/>
  <c r="F11" i="21"/>
  <c r="S11" i="21" s="1"/>
  <c r="U34" i="21"/>
  <c r="S34" i="21"/>
  <c r="C25" i="39"/>
  <c r="H11" i="39"/>
  <c r="U11" i="39" s="1"/>
  <c r="S40" i="39"/>
  <c r="C15" i="39"/>
  <c r="H32" i="33"/>
  <c r="AB32" i="33"/>
  <c r="H11" i="21"/>
  <c r="J11" i="21"/>
  <c r="W11" i="21"/>
  <c r="H37" i="40"/>
  <c r="U37" i="40" s="1"/>
  <c r="H36" i="40"/>
  <c r="AB36" i="40"/>
  <c r="F35" i="40"/>
  <c r="AA35" i="40" s="1"/>
  <c r="H23" i="40"/>
  <c r="AB23" i="40"/>
  <c r="H17" i="40"/>
  <c r="U17" i="40" s="1"/>
  <c r="J15" i="40"/>
  <c r="W15" i="40"/>
  <c r="J11" i="40"/>
  <c r="AB12" i="33"/>
  <c r="AC12" i="34"/>
  <c r="AB12" i="35"/>
  <c r="AB12" i="36"/>
  <c r="W32" i="40"/>
  <c r="F37" i="39"/>
  <c r="AA37" i="39"/>
  <c r="J34" i="36"/>
  <c r="J30" i="35"/>
  <c r="W30" i="35" s="1"/>
  <c r="H30" i="35"/>
  <c r="AB30" i="35" s="1"/>
  <c r="F22" i="35"/>
  <c r="AA22" i="35"/>
  <c r="H10" i="35"/>
  <c r="U10" i="35" s="1"/>
  <c r="AC16" i="36"/>
  <c r="W30" i="36"/>
  <c r="H16" i="36"/>
  <c r="AB16" i="36" s="1"/>
  <c r="E85" i="36"/>
  <c r="F85" i="36" s="1"/>
  <c r="G85" i="36"/>
  <c r="H85" i="36" s="1"/>
  <c r="I85" i="36" s="1"/>
  <c r="J85" i="36" s="1"/>
  <c r="K85" i="36" s="1"/>
  <c r="L85" i="36" s="1"/>
  <c r="M85" i="36" s="1"/>
  <c r="J29" i="36"/>
  <c r="AC29" i="36"/>
  <c r="F12" i="36"/>
  <c r="S12" i="36" s="1"/>
  <c r="F24" i="36"/>
  <c r="AA24" i="36" s="1"/>
  <c r="F34" i="36"/>
  <c r="AB8"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c r="J34" i="37"/>
  <c r="W34" i="37" s="1"/>
  <c r="AA39" i="37"/>
  <c r="AB34" i="37"/>
  <c r="J33" i="37"/>
  <c r="AC33" i="37" s="1"/>
  <c r="H40" i="34"/>
  <c r="U40" i="34" s="1"/>
  <c r="E114" i="34"/>
  <c r="H36" i="34"/>
  <c r="U36" i="34" s="1"/>
  <c r="F37" i="34"/>
  <c r="AA37" i="34" s="1"/>
  <c r="S35" i="34"/>
  <c r="F28" i="34"/>
  <c r="AA28" i="34" s="1"/>
  <c r="F25" i="34"/>
  <c r="S25" i="34" s="1"/>
  <c r="H23" i="34"/>
  <c r="U23" i="34"/>
  <c r="J23" i="34"/>
  <c r="F19" i="34"/>
  <c r="H17" i="34"/>
  <c r="U17" i="34"/>
  <c r="F15" i="34"/>
  <c r="AA15" i="34" s="1"/>
  <c r="J15" i="34"/>
  <c r="H15" i="34"/>
  <c r="AB15" i="34"/>
  <c r="S9" i="34"/>
  <c r="F41" i="33"/>
  <c r="E113" i="33"/>
  <c r="F113" i="33" s="1"/>
  <c r="G113" i="33" s="1"/>
  <c r="H113" i="33" s="1"/>
  <c r="I113" i="33" s="1"/>
  <c r="J113" i="33" s="1"/>
  <c r="K113" i="33" s="1"/>
  <c r="L113" i="33" s="1"/>
  <c r="M113" i="33" s="1"/>
  <c r="F32" i="33"/>
  <c r="AA32" i="33" s="1"/>
  <c r="J19" i="33"/>
  <c r="AC19" i="33"/>
  <c r="J15" i="33"/>
  <c r="F11" i="33"/>
  <c r="AA11" i="33"/>
  <c r="W40" i="33"/>
  <c r="U8" i="33"/>
  <c r="S8" i="33"/>
  <c r="F37" i="40"/>
  <c r="AA37" i="40" s="1"/>
  <c r="F36" i="40"/>
  <c r="H28" i="40"/>
  <c r="U28" i="40" s="1"/>
  <c r="F23" i="40"/>
  <c r="AA23" i="40"/>
  <c r="F17" i="40"/>
  <c r="AA17" i="40" s="1"/>
  <c r="J17" i="40"/>
  <c r="W17" i="40" s="1"/>
  <c r="F15" i="40"/>
  <c r="S15" i="40" s="1"/>
  <c r="H15" i="40"/>
  <c r="AB15" i="40" s="1"/>
  <c r="AB30" i="36"/>
  <c r="U30" i="35"/>
  <c r="F29" i="35"/>
  <c r="H29" i="35"/>
  <c r="AB29" i="35"/>
  <c r="H33" i="37"/>
  <c r="AB33" i="37" s="1"/>
  <c r="F33" i="37"/>
  <c r="AA33" i="37"/>
  <c r="U34" i="37"/>
  <c r="W33"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AB17" i="34"/>
  <c r="H37" i="33"/>
  <c r="AB37" i="33"/>
  <c r="H15" i="33"/>
  <c r="AB15" i="33" s="1"/>
  <c r="H11" i="33"/>
  <c r="AB11" i="33"/>
  <c r="F28" i="40"/>
  <c r="AA28" i="40" s="1"/>
  <c r="AA42" i="34"/>
  <c r="S42" i="34"/>
  <c r="AA38" i="34"/>
  <c r="J37" i="34"/>
  <c r="AC37" i="34" s="1"/>
  <c r="J11" i="33"/>
  <c r="W11" i="33" s="1"/>
  <c r="U23" i="40"/>
  <c r="M123" i="21"/>
  <c r="J42" i="21"/>
  <c r="AC42" i="21" s="1"/>
  <c r="H42" i="21"/>
  <c r="U42" i="21"/>
  <c r="J44" i="34"/>
  <c r="F44" i="34"/>
  <c r="AA44" i="34" s="1"/>
  <c r="J10" i="35"/>
  <c r="W10" i="35" s="1"/>
  <c r="J14" i="21"/>
  <c r="W14" i="21"/>
  <c r="F14" i="21"/>
  <c r="S14" i="21" s="1"/>
  <c r="H14" i="21"/>
  <c r="U14" i="21"/>
  <c r="H28" i="21"/>
  <c r="AB28" i="21" s="1"/>
  <c r="F28" i="21"/>
  <c r="AA28" i="21"/>
  <c r="J28" i="21"/>
  <c r="H30" i="21"/>
  <c r="U30" i="21"/>
  <c r="F30" i="21"/>
  <c r="S30" i="21" s="1"/>
  <c r="J30" i="21"/>
  <c r="AC30" i="21"/>
  <c r="J44" i="21"/>
  <c r="AC44" i="21" s="1"/>
  <c r="H44" i="21"/>
  <c r="U44" i="21"/>
  <c r="F44" i="21"/>
  <c r="AA44" i="21" s="1"/>
  <c r="H46" i="21"/>
  <c r="U46" i="21"/>
  <c r="J46" i="21"/>
  <c r="W46" i="21" s="1"/>
  <c r="F46" i="21"/>
  <c r="AA46" i="21"/>
  <c r="E119" i="21"/>
  <c r="F119" i="21" s="1"/>
  <c r="G119" i="21" s="1"/>
  <c r="H119" i="21"/>
  <c r="I119" i="21" s="1"/>
  <c r="J119" i="21" s="1"/>
  <c r="K119" i="21" s="1"/>
  <c r="L119" i="21" s="1"/>
  <c r="M119" i="21" s="1"/>
  <c r="H28" i="33"/>
  <c r="U28" i="33" s="1"/>
  <c r="F28" i="33"/>
  <c r="AA28" i="33" s="1"/>
  <c r="J28" i="33"/>
  <c r="W28" i="33"/>
  <c r="F33" i="35"/>
  <c r="S33" i="35" s="1"/>
  <c r="J33" i="35"/>
  <c r="AC33" i="35" s="1"/>
  <c r="F30" i="35"/>
  <c r="S30" i="35" s="1"/>
  <c r="J89" i="35"/>
  <c r="K89" i="35" s="1"/>
  <c r="L89" i="35" s="1"/>
  <c r="M89" i="35" s="1"/>
  <c r="H10" i="36"/>
  <c r="AB10" i="36" s="1"/>
  <c r="J14" i="36"/>
  <c r="AC14" i="36"/>
  <c r="H14" i="36"/>
  <c r="U14" i="36" s="1"/>
  <c r="F28" i="36"/>
  <c r="AA28" i="36"/>
  <c r="J13" i="21"/>
  <c r="H27" i="21"/>
  <c r="AB27" i="21"/>
  <c r="F27" i="21"/>
  <c r="AA27" i="21" s="1"/>
  <c r="H29" i="21"/>
  <c r="U29" i="21"/>
  <c r="J31" i="21"/>
  <c r="AC31" i="21" s="1"/>
  <c r="S31" i="21"/>
  <c r="F27" i="33"/>
  <c r="AA27" i="33"/>
  <c r="J13" i="33"/>
  <c r="F13" i="33"/>
  <c r="S13" i="33" s="1"/>
  <c r="J29" i="33"/>
  <c r="AC29" i="33" s="1"/>
  <c r="H29" i="33"/>
  <c r="U29" i="33"/>
  <c r="F29" i="33"/>
  <c r="S29" i="33" s="1"/>
  <c r="J31" i="33"/>
  <c r="W31" i="33" s="1"/>
  <c r="H45" i="33"/>
  <c r="U45" i="33" s="1"/>
  <c r="J45" i="33"/>
  <c r="W45" i="33" s="1"/>
  <c r="F45" i="33"/>
  <c r="S45" i="33" s="1"/>
  <c r="AA45" i="33"/>
  <c r="J14" i="34"/>
  <c r="W14" i="34" s="1"/>
  <c r="F14" i="34"/>
  <c r="AA14" i="34" s="1"/>
  <c r="H14" i="34"/>
  <c r="F30" i="34"/>
  <c r="S30" i="34" s="1"/>
  <c r="H32" i="34"/>
  <c r="F32" i="34"/>
  <c r="AA32" i="34" s="1"/>
  <c r="J32" i="34"/>
  <c r="W32" i="34" s="1"/>
  <c r="H46" i="34"/>
  <c r="U46" i="34" s="1"/>
  <c r="H11" i="35"/>
  <c r="F11" i="35"/>
  <c r="S11" i="35" s="1"/>
  <c r="J26" i="36"/>
  <c r="W26" i="36" s="1"/>
  <c r="H28" i="36"/>
  <c r="U28" i="36" s="1"/>
  <c r="H32" i="36"/>
  <c r="AB32" i="36" s="1"/>
  <c r="J32" i="36"/>
  <c r="J11" i="36"/>
  <c r="AC11" i="36" s="1"/>
  <c r="H11" i="36"/>
  <c r="AB11" i="36" s="1"/>
  <c r="U11" i="36"/>
  <c r="F11" i="36"/>
  <c r="AA11" i="36" s="1"/>
  <c r="H13" i="36"/>
  <c r="AB13" i="36" s="1"/>
  <c r="J13" i="36"/>
  <c r="AC13" i="36" s="1"/>
  <c r="F13" i="36"/>
  <c r="S13" i="36"/>
  <c r="E89" i="37"/>
  <c r="F89" i="37" s="1"/>
  <c r="G89" i="37" s="1"/>
  <c r="H89" i="37"/>
  <c r="I89" i="37" s="1"/>
  <c r="J89" i="37" s="1"/>
  <c r="K89" i="37" s="1"/>
  <c r="L89" i="37" s="1"/>
  <c r="M89" i="37" s="1"/>
  <c r="J29" i="37"/>
  <c r="W29" i="37" s="1"/>
  <c r="F29" i="37"/>
  <c r="S29" i="37" s="1"/>
  <c r="H36" i="37"/>
  <c r="AB36" i="37"/>
  <c r="F107" i="37"/>
  <c r="J37" i="37"/>
  <c r="AC37" i="37" s="1"/>
  <c r="H37" i="37"/>
  <c r="U37" i="37"/>
  <c r="H40" i="37"/>
  <c r="U40" i="37" s="1"/>
  <c r="J40" i="37"/>
  <c r="AC40" i="37" s="1"/>
  <c r="F40" i="37"/>
  <c r="AA40" i="37" s="1"/>
  <c r="H14" i="33"/>
  <c r="U14" i="33" s="1"/>
  <c r="F14" i="33"/>
  <c r="J14" i="33"/>
  <c r="H30" i="33"/>
  <c r="AB30" i="33"/>
  <c r="F30" i="33"/>
  <c r="J30" i="33"/>
  <c r="H44" i="33"/>
  <c r="J44" i="33"/>
  <c r="F44" i="33"/>
  <c r="S44" i="33" s="1"/>
  <c r="J46" i="33"/>
  <c r="AC46" i="33"/>
  <c r="F46" i="33"/>
  <c r="AA46" i="33" s="1"/>
  <c r="H46" i="33"/>
  <c r="U46" i="33" s="1"/>
  <c r="H13" i="34"/>
  <c r="U13" i="34" s="1"/>
  <c r="J13" i="34"/>
  <c r="W13" i="34" s="1"/>
  <c r="F13" i="34"/>
  <c r="AA13" i="34" s="1"/>
  <c r="J29" i="34"/>
  <c r="W29" i="34" s="1"/>
  <c r="F29" i="34"/>
  <c r="S29" i="34" s="1"/>
  <c r="H29" i="34"/>
  <c r="AB29" i="34"/>
  <c r="J31" i="34"/>
  <c r="H31" i="34"/>
  <c r="AB31" i="34"/>
  <c r="F31" i="34"/>
  <c r="S31" i="34" s="1"/>
  <c r="H45" i="34"/>
  <c r="U45" i="34"/>
  <c r="J45" i="34"/>
  <c r="W45" i="34" s="1"/>
  <c r="F45" i="34"/>
  <c r="S45" i="34"/>
  <c r="H47" i="34"/>
  <c r="U47" i="34" s="1"/>
  <c r="F47" i="34"/>
  <c r="S47" i="34"/>
  <c r="J47" i="34"/>
  <c r="F13" i="35"/>
  <c r="S13" i="35"/>
  <c r="J13" i="35"/>
  <c r="AC13" i="35" s="1"/>
  <c r="H13" i="35"/>
  <c r="U13" i="35"/>
  <c r="J25" i="35"/>
  <c r="W25" i="35" s="1"/>
  <c r="S25" i="35"/>
  <c r="H25" i="35"/>
  <c r="AB25" i="35" s="1"/>
  <c r="J35" i="35"/>
  <c r="AC35" i="35"/>
  <c r="F35" i="35"/>
  <c r="AA35" i="35" s="1"/>
  <c r="H35" i="35"/>
  <c r="AB35" i="35"/>
  <c r="H25" i="36"/>
  <c r="AB25" i="36" s="1"/>
  <c r="F13" i="37"/>
  <c r="S13" i="37" s="1"/>
  <c r="F28" i="37"/>
  <c r="AA28" i="37" s="1"/>
  <c r="J28" i="37"/>
  <c r="AC28" i="37"/>
  <c r="H28" i="37"/>
  <c r="U28" i="37" s="1"/>
  <c r="J38" i="37"/>
  <c r="AC38" i="37" s="1"/>
  <c r="F43" i="39"/>
  <c r="AA43" i="39" s="1"/>
  <c r="H43" i="39"/>
  <c r="J14" i="39"/>
  <c r="AC14" i="39" s="1"/>
  <c r="F12" i="40"/>
  <c r="H30" i="40"/>
  <c r="AB30" i="40" s="1"/>
  <c r="AA33" i="40"/>
  <c r="H33" i="40"/>
  <c r="J35" i="40"/>
  <c r="AC35" i="40"/>
  <c r="J37" i="40"/>
  <c r="AC37" i="40" s="1"/>
  <c r="J13" i="40"/>
  <c r="W13" i="40" s="1"/>
  <c r="F14" i="37"/>
  <c r="S14" i="37" s="1"/>
  <c r="F27" i="37"/>
  <c r="AA27" i="37"/>
  <c r="F13" i="39"/>
  <c r="H13" i="39"/>
  <c r="H14" i="40"/>
  <c r="J14" i="40"/>
  <c r="W14" i="40"/>
  <c r="F14" i="40"/>
  <c r="AA14" i="40" s="1"/>
  <c r="J14" i="37"/>
  <c r="AC14" i="37"/>
  <c r="J27" i="37"/>
  <c r="AC27" i="37" s="1"/>
  <c r="AA13" i="35"/>
  <c r="U31" i="34"/>
  <c r="J36" i="37"/>
  <c r="AC36" i="37" s="1"/>
  <c r="J10" i="36"/>
  <c r="AB30" i="21"/>
  <c r="AA14" i="37"/>
  <c r="W13" i="36"/>
  <c r="S11" i="36"/>
  <c r="W11" i="36"/>
  <c r="AB46" i="34"/>
  <c r="AB45" i="33"/>
  <c r="U13" i="33"/>
  <c r="S44" i="34"/>
  <c r="BA585" i="3"/>
  <c r="F17" i="21"/>
  <c r="AA17" i="21" s="1"/>
  <c r="H17" i="21"/>
  <c r="AB17" i="21"/>
  <c r="F15" i="21"/>
  <c r="S15" i="21" s="1"/>
  <c r="J41" i="39"/>
  <c r="W41" i="39" s="1"/>
  <c r="W36" i="39"/>
  <c r="G544" i="3"/>
  <c r="G540" i="3"/>
  <c r="G536" i="3"/>
  <c r="G535" i="3"/>
  <c r="G532" i="3"/>
  <c r="G531" i="3"/>
  <c r="G528" i="3"/>
  <c r="G527" i="3"/>
  <c r="G523" i="3"/>
  <c r="G518" i="3"/>
  <c r="G514" i="3"/>
  <c r="G510" i="3"/>
  <c r="G508" i="3"/>
  <c r="G504" i="3"/>
  <c r="G500" i="3"/>
  <c r="G496" i="3"/>
  <c r="G584" i="3"/>
  <c r="G580" i="3"/>
  <c r="G568" i="3"/>
  <c r="G564" i="3"/>
  <c r="G554" i="3"/>
  <c r="G550" i="3"/>
  <c r="BL584" i="3"/>
  <c r="BL580" i="3"/>
  <c r="BL572" i="3"/>
  <c r="BL568" i="3"/>
  <c r="BL564" i="3"/>
  <c r="BL554" i="3"/>
  <c r="BL546" i="3"/>
  <c r="BL542" i="3"/>
  <c r="BL538" i="3"/>
  <c r="BL534" i="3"/>
  <c r="BL530" i="3"/>
  <c r="BL526" i="3"/>
  <c r="BL522" i="3"/>
  <c r="BL516" i="3"/>
  <c r="BL512" i="3"/>
  <c r="BL506" i="3"/>
  <c r="BL502" i="3"/>
  <c r="BL498" i="3"/>
  <c r="BL494" i="3"/>
  <c r="BL582" i="3"/>
  <c r="BL574" i="3"/>
  <c r="BL570" i="3"/>
  <c r="AZ570" i="3" s="1"/>
  <c r="BL566" i="3"/>
  <c r="BL552" i="3"/>
  <c r="BL544" i="3"/>
  <c r="BL536" i="3"/>
  <c r="G533" i="3"/>
  <c r="BL532" i="3"/>
  <c r="G529" i="3"/>
  <c r="BL528" i="3"/>
  <c r="G525" i="3"/>
  <c r="BL524" i="3"/>
  <c r="AZ524" i="3" s="1"/>
  <c r="BL518" i="3"/>
  <c r="BL514" i="3"/>
  <c r="BL510" i="3"/>
  <c r="BL504" i="3"/>
  <c r="BL500" i="3"/>
  <c r="BL496" i="3"/>
  <c r="G493" i="3"/>
  <c r="BA584" i="3"/>
  <c r="AZ584" i="3" s="1"/>
  <c r="BA580" i="3"/>
  <c r="AZ580" i="3" s="1"/>
  <c r="BA576" i="3"/>
  <c r="BA572" i="3"/>
  <c r="AZ572" i="3" s="1"/>
  <c r="BA568" i="3"/>
  <c r="AZ568" i="3"/>
  <c r="BA564" i="3"/>
  <c r="BA560" i="3"/>
  <c r="BA558" i="3"/>
  <c r="BA554" i="3"/>
  <c r="AZ554" i="3" s="1"/>
  <c r="BA552" i="3"/>
  <c r="BA548" i="3"/>
  <c r="AZ548" i="3" s="1"/>
  <c r="BA544" i="3"/>
  <c r="AZ544" i="3" s="1"/>
  <c r="BA542" i="3"/>
  <c r="AZ542" i="3" s="1"/>
  <c r="BA540" i="3"/>
  <c r="AZ540" i="3" s="1"/>
  <c r="BA538" i="3"/>
  <c r="AZ538" i="3" s="1"/>
  <c r="BA536" i="3"/>
  <c r="AZ536" i="3"/>
  <c r="BA534" i="3"/>
  <c r="AZ534" i="3" s="1"/>
  <c r="BA532" i="3"/>
  <c r="BA530" i="3"/>
  <c r="BA528" i="3"/>
  <c r="AZ528" i="3"/>
  <c r="BA526" i="3"/>
  <c r="AZ526" i="3"/>
  <c r="BA524" i="3"/>
  <c r="BA522" i="3"/>
  <c r="BA520" i="3"/>
  <c r="AZ520" i="3" s="1"/>
  <c r="BA518" i="3"/>
  <c r="AZ518" i="3"/>
  <c r="BA516" i="3"/>
  <c r="AZ516" i="3"/>
  <c r="BA514" i="3"/>
  <c r="BA512" i="3"/>
  <c r="AZ512" i="3" s="1"/>
  <c r="BA510" i="3"/>
  <c r="AZ510" i="3" s="1"/>
  <c r="BA508" i="3"/>
  <c r="BA506" i="3"/>
  <c r="BA504" i="3"/>
  <c r="BA502" i="3"/>
  <c r="AZ502" i="3" s="1"/>
  <c r="BA500" i="3"/>
  <c r="BA498" i="3"/>
  <c r="BA496" i="3"/>
  <c r="BA494" i="3"/>
  <c r="BA587" i="3"/>
  <c r="BA583" i="3"/>
  <c r="BA581" i="3"/>
  <c r="BA577" i="3"/>
  <c r="BA575" i="3"/>
  <c r="BA573" i="3"/>
  <c r="BA569" i="3"/>
  <c r="AZ569" i="3" s="1"/>
  <c r="BA567" i="3"/>
  <c r="BA565" i="3"/>
  <c r="BA561" i="3"/>
  <c r="BA559" i="3"/>
  <c r="BA555" i="3"/>
  <c r="BA549" i="3"/>
  <c r="BA547" i="3"/>
  <c r="BA545" i="3"/>
  <c r="BA541" i="3"/>
  <c r="BA539" i="3"/>
  <c r="AZ539" i="3" s="1"/>
  <c r="BA537" i="3"/>
  <c r="BA535" i="3"/>
  <c r="BA533" i="3"/>
  <c r="AZ533" i="3" s="1"/>
  <c r="BA531" i="3"/>
  <c r="BA529" i="3"/>
  <c r="BA527" i="3"/>
  <c r="BA525" i="3"/>
  <c r="BA523" i="3"/>
  <c r="AZ523" i="3" s="1"/>
  <c r="BA519" i="3"/>
  <c r="BA517" i="3"/>
  <c r="BA515" i="3"/>
  <c r="BA513" i="3"/>
  <c r="BA511" i="3"/>
  <c r="BA507" i="3"/>
  <c r="BA505" i="3"/>
  <c r="BA503" i="3"/>
  <c r="BA501" i="3"/>
  <c r="BA499" i="3"/>
  <c r="BA497" i="3"/>
  <c r="BA495" i="3"/>
  <c r="BA493" i="3"/>
  <c r="G583" i="3"/>
  <c r="G581" i="3"/>
  <c r="G579" i="3"/>
  <c r="G575" i="3"/>
  <c r="G573" i="3"/>
  <c r="G571" i="3"/>
  <c r="G567" i="3"/>
  <c r="G565" i="3"/>
  <c r="G563" i="3"/>
  <c r="BL558" i="3"/>
  <c r="AC557" i="3"/>
  <c r="G557" i="3"/>
  <c r="BQ557" i="3"/>
  <c r="BQ583" i="3"/>
  <c r="BL583" i="3"/>
  <c r="AZ583" i="3" s="1"/>
  <c r="BQ581" i="3"/>
  <c r="BQ579" i="3"/>
  <c r="BL579" i="3" s="1"/>
  <c r="BQ577" i="3"/>
  <c r="BL577" i="3"/>
  <c r="AZ577" i="3" s="1"/>
  <c r="BQ575" i="3"/>
  <c r="BQ573" i="3"/>
  <c r="BL573" i="3" s="1"/>
  <c r="BQ571" i="3"/>
  <c r="BL571" i="3" s="1"/>
  <c r="AZ571" i="3" s="1"/>
  <c r="BQ569" i="3"/>
  <c r="BL569" i="3"/>
  <c r="BQ567" i="3"/>
  <c r="BQ565" i="3"/>
  <c r="BL565" i="3" s="1"/>
  <c r="BQ563" i="3"/>
  <c r="BL563" i="3" s="1"/>
  <c r="BQ561" i="3"/>
  <c r="BQ559" i="3"/>
  <c r="BL559" i="3" s="1"/>
  <c r="G559" i="3"/>
  <c r="G555" i="3"/>
  <c r="G553" i="3"/>
  <c r="G549" i="3"/>
  <c r="G547" i="3"/>
  <c r="G545" i="3"/>
  <c r="G543" i="3"/>
  <c r="G541" i="3"/>
  <c r="G539" i="3"/>
  <c r="G537" i="3"/>
  <c r="BQ555" i="3"/>
  <c r="BQ553" i="3"/>
  <c r="BL553" i="3" s="1"/>
  <c r="BQ551" i="3"/>
  <c r="BL551" i="3" s="1"/>
  <c r="BQ549" i="3"/>
  <c r="BQ547" i="3"/>
  <c r="BL547" i="3"/>
  <c r="AZ547" i="3" s="1"/>
  <c r="BQ545" i="3"/>
  <c r="BQ543" i="3"/>
  <c r="BL543" i="3" s="1"/>
  <c r="BQ541" i="3"/>
  <c r="BL541" i="3" s="1"/>
  <c r="AZ541" i="3"/>
  <c r="BQ539" i="3"/>
  <c r="BL539" i="3"/>
  <c r="BQ537" i="3"/>
  <c r="BL537" i="3" s="1"/>
  <c r="AZ537" i="3" s="1"/>
  <c r="BQ535" i="3"/>
  <c r="BL535" i="3" s="1"/>
  <c r="AZ535" i="3" s="1"/>
  <c r="BQ533" i="3"/>
  <c r="BL533" i="3" s="1"/>
  <c r="BQ531" i="3"/>
  <c r="BL531" i="3"/>
  <c r="AZ531" i="3" s="1"/>
  <c r="BQ529" i="3"/>
  <c r="BL529" i="3" s="1"/>
  <c r="AZ529" i="3" s="1"/>
  <c r="BQ527" i="3"/>
  <c r="BL527" i="3" s="1"/>
  <c r="AZ527" i="3" s="1"/>
  <c r="BQ525" i="3"/>
  <c r="BL525" i="3" s="1"/>
  <c r="AZ525" i="3" s="1"/>
  <c r="BQ523" i="3"/>
  <c r="BL523" i="3"/>
  <c r="BA521" i="3"/>
  <c r="AZ521" i="3" s="1"/>
  <c r="AC521" i="3"/>
  <c r="G521" i="3" s="1"/>
  <c r="BQ521" i="3"/>
  <c r="BL521" i="3" s="1"/>
  <c r="BL520" i="3"/>
  <c r="G519" i="3"/>
  <c r="G517" i="3"/>
  <c r="G515" i="3"/>
  <c r="G513" i="3"/>
  <c r="G511" i="3"/>
  <c r="BQ519" i="3"/>
  <c r="BL519" i="3"/>
  <c r="AZ519" i="3" s="1"/>
  <c r="BQ517" i="3"/>
  <c r="BL517" i="3" s="1"/>
  <c r="AZ517" i="3" s="1"/>
  <c r="BQ515" i="3"/>
  <c r="BL515" i="3" s="1"/>
  <c r="BQ513" i="3"/>
  <c r="BL513" i="3" s="1"/>
  <c r="AZ513" i="3"/>
  <c r="BQ511" i="3"/>
  <c r="BL511" i="3"/>
  <c r="AZ511" i="3" s="1"/>
  <c r="BA509" i="3"/>
  <c r="AZ509" i="3" s="1"/>
  <c r="AC509" i="3"/>
  <c r="BQ509" i="3"/>
  <c r="BL509" i="3" s="1"/>
  <c r="BL508" i="3"/>
  <c r="G507" i="3"/>
  <c r="G505" i="3"/>
  <c r="G503" i="3"/>
  <c r="G501" i="3"/>
  <c r="G499" i="3"/>
  <c r="G497" i="3"/>
  <c r="G495" i="3"/>
  <c r="BQ507" i="3"/>
  <c r="BL507" i="3"/>
  <c r="AZ507" i="3" s="1"/>
  <c r="BQ505" i="3"/>
  <c r="BL505" i="3" s="1"/>
  <c r="AZ505" i="3"/>
  <c r="BQ503" i="3"/>
  <c r="BL503" i="3" s="1"/>
  <c r="BQ501" i="3"/>
  <c r="BL501" i="3"/>
  <c r="AZ501" i="3" s="1"/>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c r="E125" i="33"/>
  <c r="F125" i="33" s="1"/>
  <c r="G125" i="33" s="1"/>
  <c r="H43" i="33"/>
  <c r="AB43" i="33"/>
  <c r="H17" i="37"/>
  <c r="U17" i="37" s="1"/>
  <c r="U32" i="33"/>
  <c r="AA36" i="39"/>
  <c r="F39" i="33"/>
  <c r="AA39" i="33" s="1"/>
  <c r="F42" i="33"/>
  <c r="F14" i="36"/>
  <c r="AA14" i="36"/>
  <c r="F22" i="36"/>
  <c r="S22" i="36"/>
  <c r="F26" i="36"/>
  <c r="S26" i="36"/>
  <c r="H35" i="34"/>
  <c r="U35" i="34" s="1"/>
  <c r="F41" i="34"/>
  <c r="S41" i="34"/>
  <c r="H41" i="34"/>
  <c r="U41" i="34" s="1"/>
  <c r="J41" i="34"/>
  <c r="AC41" i="34"/>
  <c r="F10" i="35"/>
  <c r="S10" i="35" s="1"/>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G123" i="33"/>
  <c r="H123" i="33" s="1"/>
  <c r="I123" i="33" s="1"/>
  <c r="J123" i="33" s="1"/>
  <c r="K123" i="33" s="1"/>
  <c r="L123" i="33"/>
  <c r="M123" i="33" s="1"/>
  <c r="H42" i="33"/>
  <c r="AB42" i="33" s="1"/>
  <c r="J43" i="33"/>
  <c r="AC43" i="33"/>
  <c r="U43" i="33"/>
  <c r="S28" i="31"/>
  <c r="S27" i="31"/>
  <c r="S26" i="31"/>
  <c r="U35" i="35"/>
  <c r="AA12" i="35"/>
  <c r="W23" i="35"/>
  <c r="W14" i="37"/>
  <c r="AB28" i="37"/>
  <c r="U33" i="37"/>
  <c r="U39" i="37"/>
  <c r="W26" i="37"/>
  <c r="AC8" i="37"/>
  <c r="U26" i="37"/>
  <c r="AB13" i="34"/>
  <c r="W37" i="34"/>
  <c r="AB37" i="34"/>
  <c r="AC36" i="34"/>
  <c r="AA13" i="33"/>
  <c r="AC31" i="33"/>
  <c r="AC45" i="33"/>
  <c r="U11" i="33"/>
  <c r="U19" i="21"/>
  <c r="W44" i="21"/>
  <c r="U2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s="1"/>
  <c r="F9" i="37"/>
  <c r="S9" i="37"/>
  <c r="E71" i="37"/>
  <c r="F15" i="37"/>
  <c r="E94" i="37"/>
  <c r="F31" i="37"/>
  <c r="S31" i="37"/>
  <c r="F12" i="39"/>
  <c r="S12" i="39" s="1"/>
  <c r="J42" i="39"/>
  <c r="AC42" i="39"/>
  <c r="H21" i="40"/>
  <c r="AB21" i="40" s="1"/>
  <c r="F94" i="37"/>
  <c r="G94" i="37" s="1"/>
  <c r="H94" i="37" s="1"/>
  <c r="I94" i="37" s="1"/>
  <c r="J94" i="37" s="1"/>
  <c r="K94" i="37" s="1"/>
  <c r="L94" i="37" s="1"/>
  <c r="M94" i="37" s="1"/>
  <c r="H31" i="37"/>
  <c r="F71" i="37"/>
  <c r="G71" i="37" s="1"/>
  <c r="J15" i="37"/>
  <c r="W15" i="37" s="1"/>
  <c r="AT6" i="3"/>
  <c r="H5" i="3"/>
  <c r="AA25" i="21"/>
  <c r="C12" i="43"/>
  <c r="H19" i="40"/>
  <c r="U19" i="40"/>
  <c r="F88" i="40"/>
  <c r="G88" i="40" s="1"/>
  <c r="F19" i="40"/>
  <c r="S19" i="40"/>
  <c r="S14" i="40"/>
  <c r="W23" i="39"/>
  <c r="AC43" i="39"/>
  <c r="W43" i="39"/>
  <c r="H37" i="39"/>
  <c r="AC37" i="39"/>
  <c r="W37" i="39"/>
  <c r="H25" i="39"/>
  <c r="J25" i="39"/>
  <c r="F25" i="39"/>
  <c r="AA25" i="39"/>
  <c r="F15" i="39"/>
  <c r="AA15" i="39" s="1"/>
  <c r="H15" i="39"/>
  <c r="U15" i="39"/>
  <c r="J15" i="39"/>
  <c r="W15" i="39" s="1"/>
  <c r="H41" i="39"/>
  <c r="W27" i="39"/>
  <c r="AB34" i="39"/>
  <c r="U40" i="39"/>
  <c r="S42" i="39"/>
  <c r="W14" i="39"/>
  <c r="AA41" i="39"/>
  <c r="W9" i="39"/>
  <c r="W8" i="39"/>
  <c r="J19" i="40"/>
  <c r="AC19" i="40" s="1"/>
  <c r="J50" i="40"/>
  <c r="B54" i="72"/>
  <c r="H103" i="9"/>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A118" i="9"/>
  <c r="A4" i="52"/>
  <c r="B41" i="72" s="1"/>
  <c r="J11" i="39"/>
  <c r="W11" i="39" s="1"/>
  <c r="F11" i="39"/>
  <c r="AA11" i="39" s="1"/>
  <c r="A12" i="52"/>
  <c r="B56" i="72" s="1"/>
  <c r="G4" i="4"/>
  <c r="I4" i="4"/>
  <c r="A2" i="9"/>
  <c r="F59" i="43"/>
  <c r="BL549" i="3"/>
  <c r="AZ494" i="3"/>
  <c r="AZ514" i="3"/>
  <c r="AZ522" i="3"/>
  <c r="AZ530" i="3"/>
  <c r="AZ546"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AZ144" i="3" s="1"/>
  <c r="G145" i="3"/>
  <c r="BA147" i="3"/>
  <c r="AZ147" i="3"/>
  <c r="BL148" i="3"/>
  <c r="G149" i="3"/>
  <c r="BA151" i="3"/>
  <c r="BL152" i="3"/>
  <c r="G153" i="3"/>
  <c r="BA155" i="3"/>
  <c r="AZ155" i="3" s="1"/>
  <c r="BL156" i="3"/>
  <c r="AZ156" i="3" s="1"/>
  <c r="G157" i="3"/>
  <c r="BA159" i="3"/>
  <c r="AZ159" i="3" s="1"/>
  <c r="BL160" i="3"/>
  <c r="G161" i="3"/>
  <c r="BA163" i="3"/>
  <c r="AZ163" i="3" s="1"/>
  <c r="BL164" i="3"/>
  <c r="AZ164" i="3"/>
  <c r="G165" i="3"/>
  <c r="BA167" i="3"/>
  <c r="BL168" i="3"/>
  <c r="AZ168" i="3" s="1"/>
  <c r="G169" i="3"/>
  <c r="BA171" i="3"/>
  <c r="BL172" i="3"/>
  <c r="AZ172" i="3" s="1"/>
  <c r="G173" i="3"/>
  <c r="BA175" i="3"/>
  <c r="AZ175" i="3"/>
  <c r="BL176" i="3"/>
  <c r="G177" i="3"/>
  <c r="BA179" i="3"/>
  <c r="AZ179" i="3"/>
  <c r="BL180" i="3"/>
  <c r="AZ180" i="3" s="1"/>
  <c r="G181" i="3"/>
  <c r="BA183" i="3"/>
  <c r="AZ183" i="3" s="1"/>
  <c r="BL184" i="3"/>
  <c r="G185" i="3"/>
  <c r="BA187" i="3"/>
  <c r="BL188" i="3"/>
  <c r="AZ188" i="3" s="1"/>
  <c r="G189" i="3"/>
  <c r="BA191" i="3"/>
  <c r="AZ191" i="3" s="1"/>
  <c r="BL192" i="3"/>
  <c r="G193" i="3"/>
  <c r="BA195" i="3"/>
  <c r="AZ195" i="3" s="1"/>
  <c r="BL196" i="3"/>
  <c r="G197" i="3"/>
  <c r="BA199" i="3"/>
  <c r="AZ199" i="3" s="1"/>
  <c r="BL200" i="3"/>
  <c r="AZ200" i="3" s="1"/>
  <c r="G201" i="3"/>
  <c r="BA203" i="3"/>
  <c r="AZ203" i="3" s="1"/>
  <c r="BL204" i="3"/>
  <c r="AZ204" i="3" s="1"/>
  <c r="AZ43" i="3"/>
  <c r="AZ47" i="3"/>
  <c r="AZ51" i="3"/>
  <c r="AZ55" i="3"/>
  <c r="AZ59" i="3"/>
  <c r="AZ63" i="3"/>
  <c r="AZ67" i="3"/>
  <c r="AZ71" i="3"/>
  <c r="AZ75" i="3"/>
  <c r="AZ152" i="3"/>
  <c r="AZ160" i="3"/>
  <c r="AZ184"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AZ363" i="3" s="1"/>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6" i="3"/>
  <c r="AZ150" i="3"/>
  <c r="AZ166" i="3"/>
  <c r="AZ170" i="3"/>
  <c r="AZ174" i="3"/>
  <c r="AZ186" i="3"/>
  <c r="AZ190" i="3"/>
  <c r="AZ194"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G332" i="3"/>
  <c r="BA334" i="3"/>
  <c r="AZ334" i="3"/>
  <c r="BL335" i="3"/>
  <c r="G336" i="3"/>
  <c r="BA338" i="3"/>
  <c r="AZ338" i="3"/>
  <c r="BL339" i="3"/>
  <c r="AZ339" i="3" s="1"/>
  <c r="G340" i="3"/>
  <c r="BL343" i="3"/>
  <c r="G344" i="3"/>
  <c r="G348" i="3"/>
  <c r="G355" i="3"/>
  <c r="AZ209" i="3"/>
  <c r="AZ218" i="3"/>
  <c r="AZ303" i="3"/>
  <c r="AZ319" i="3"/>
  <c r="G342" i="3"/>
  <c r="BL345" i="3"/>
  <c r="AZ345" i="3" s="1"/>
  <c r="G346" i="3"/>
  <c r="AZ348" i="3"/>
  <c r="BL349" i="3"/>
  <c r="AZ349" i="3" s="1"/>
  <c r="BL352" i="3"/>
  <c r="G353" i="3"/>
  <c r="BA357" i="3"/>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1" i="3"/>
  <c r="AZ249" i="3"/>
  <c r="AZ253" i="3"/>
  <c r="AZ261" i="3"/>
  <c r="AZ265" i="3"/>
  <c r="AZ269" i="3"/>
  <c r="AZ273" i="3"/>
  <c r="BA379" i="3"/>
  <c r="BL380" i="3"/>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J5" i="3"/>
  <c r="BF5" i="3"/>
  <c r="AZ309" i="3"/>
  <c r="AZ317" i="3"/>
  <c r="AZ333" i="3"/>
  <c r="AZ341" i="3"/>
  <c r="AZ549" i="3"/>
  <c r="AZ506" i="3"/>
  <c r="AZ496" i="3"/>
  <c r="G548" i="3"/>
  <c r="G538" i="3"/>
  <c r="G520" i="3"/>
  <c r="G502" i="3"/>
  <c r="BS5" i="3"/>
  <c r="BP5" i="3"/>
  <c r="BI5" i="3"/>
  <c r="BE5" i="3"/>
  <c r="G17" i="3"/>
  <c r="BA17" i="3"/>
  <c r="AZ352" i="3"/>
  <c r="AZ368" i="3"/>
  <c r="BA15" i="3"/>
  <c r="AZ15" i="3" s="1"/>
  <c r="BB5" i="3"/>
  <c r="AZ396" i="3"/>
  <c r="AZ499" i="3"/>
  <c r="E8" i="6"/>
  <c r="F27" i="6" s="1"/>
  <c r="G509" i="3"/>
  <c r="BL493" i="3"/>
  <c r="AZ493" i="3" s="1"/>
  <c r="AZ390" i="3"/>
  <c r="U36" i="40"/>
  <c r="F36" i="43"/>
  <c r="F81" i="43"/>
  <c r="H83" i="43" s="1"/>
  <c r="H113" i="43"/>
  <c r="F48" i="43"/>
  <c r="H52" i="43" s="1"/>
  <c r="F70" i="43"/>
  <c r="H73" i="43" s="1"/>
  <c r="M11" i="43"/>
  <c r="D17" i="43"/>
  <c r="F39" i="43"/>
  <c r="I17" i="43"/>
  <c r="F35" i="43"/>
  <c r="J17" i="43"/>
  <c r="F6" i="1"/>
  <c r="G6" i="1" s="1"/>
  <c r="S14" i="35"/>
  <c r="U43" i="21"/>
  <c r="U35" i="21"/>
  <c r="AC35" i="21"/>
  <c r="U10" i="21"/>
  <c r="G8" i="1"/>
  <c r="G9" i="1"/>
  <c r="G10" i="1"/>
  <c r="W37" i="37"/>
  <c r="J37" i="33"/>
  <c r="W37" i="33"/>
  <c r="H106" i="33"/>
  <c r="I106" i="33" s="1"/>
  <c r="J106" i="33" s="1"/>
  <c r="K106" i="33" s="1"/>
  <c r="L106" i="33"/>
  <c r="M106" i="33" s="1"/>
  <c r="J34" i="33"/>
  <c r="W34" i="33" s="1"/>
  <c r="F33" i="34"/>
  <c r="S33" i="34" s="1"/>
  <c r="W12" i="36"/>
  <c r="AC12" i="36"/>
  <c r="H20" i="36"/>
  <c r="J20" i="36"/>
  <c r="W20" i="36" s="1"/>
  <c r="W24" i="36"/>
  <c r="J27" i="36"/>
  <c r="W27" i="36" s="1"/>
  <c r="AB25" i="37"/>
  <c r="AC33" i="40"/>
  <c r="F111" i="40"/>
  <c r="G111" i="40" s="1"/>
  <c r="H111" i="40" s="1"/>
  <c r="I111" i="40"/>
  <c r="J111" i="40" s="1"/>
  <c r="K111" i="40" s="1"/>
  <c r="L111" i="40" s="1"/>
  <c r="M111" i="40" s="1"/>
  <c r="H35" i="40"/>
  <c r="AB35" i="40" s="1"/>
  <c r="AC29" i="35"/>
  <c r="W29" i="35"/>
  <c r="H35" i="37"/>
  <c r="U35" i="37" s="1"/>
  <c r="AC14" i="35"/>
  <c r="H20" i="35"/>
  <c r="F20" i="35"/>
  <c r="AA20" i="35" s="1"/>
  <c r="AB23" i="35"/>
  <c r="H32" i="37"/>
  <c r="AB32" i="37"/>
  <c r="H27" i="40"/>
  <c r="U27" i="40" s="1"/>
  <c r="J27" i="40"/>
  <c r="AC27" i="40" s="1"/>
  <c r="F27" i="40"/>
  <c r="S27" i="40" s="1"/>
  <c r="J30" i="40"/>
  <c r="F30" i="40"/>
  <c r="AA30" i="40" s="1"/>
  <c r="AC21" i="40"/>
  <c r="E98" i="40"/>
  <c r="F98" i="40"/>
  <c r="G98" i="40" s="1"/>
  <c r="H98" i="40" s="1"/>
  <c r="I98" i="40" s="1"/>
  <c r="J98" i="40"/>
  <c r="K98" i="40" s="1"/>
  <c r="L98" i="40" s="1"/>
  <c r="M98" i="40" s="1"/>
  <c r="F10" i="33"/>
  <c r="S10" i="33" s="1"/>
  <c r="F34" i="33"/>
  <c r="S34" i="33" s="1"/>
  <c r="H34" i="33"/>
  <c r="F35" i="33"/>
  <c r="S35" i="33" s="1"/>
  <c r="F39" i="34"/>
  <c r="S39" i="34" s="1"/>
  <c r="J39" i="34"/>
  <c r="W39" i="34" s="1"/>
  <c r="F40" i="34"/>
  <c r="F43" i="34"/>
  <c r="AA43" i="34" s="1"/>
  <c r="H44" i="34"/>
  <c r="AB44" i="34" s="1"/>
  <c r="AC38" i="39"/>
  <c r="F39" i="39"/>
  <c r="S39" i="39"/>
  <c r="J39" i="39"/>
  <c r="AC39" i="39" s="1"/>
  <c r="E97" i="39"/>
  <c r="F97" i="39"/>
  <c r="G97" i="39" s="1"/>
  <c r="AZ353" i="3"/>
  <c r="AZ354" i="3"/>
  <c r="C40" i="11"/>
  <c r="AZ215" i="3"/>
  <c r="AZ223" i="3"/>
  <c r="AZ243" i="3"/>
  <c r="AZ251" i="3"/>
  <c r="AZ256" i="3"/>
  <c r="AZ268" i="3"/>
  <c r="AZ271" i="3"/>
  <c r="AZ280" i="3"/>
  <c r="AZ296" i="3"/>
  <c r="AZ114" i="3"/>
  <c r="AZ130" i="3"/>
  <c r="AZ21" i="3"/>
  <c r="AZ31" i="3"/>
  <c r="AZ33" i="3"/>
  <c r="AZ37" i="3"/>
  <c r="AZ45" i="3"/>
  <c r="AZ53" i="3"/>
  <c r="AZ61" i="3"/>
  <c r="AZ69" i="3"/>
  <c r="AZ72" i="3"/>
  <c r="AZ82" i="3"/>
  <c r="AZ86" i="3"/>
  <c r="AZ94" i="3"/>
  <c r="I20" i="43"/>
  <c r="C20" i="43" s="1"/>
  <c r="F23" i="39"/>
  <c r="AA23" i="39" s="1"/>
  <c r="H27" i="36"/>
  <c r="F27" i="36"/>
  <c r="AA27" i="36" s="1"/>
  <c r="H33" i="34"/>
  <c r="F32" i="37"/>
  <c r="AA32" i="37" s="1"/>
  <c r="G96" i="37"/>
  <c r="H96" i="37" s="1"/>
  <c r="I96" i="37" s="1"/>
  <c r="J96" i="37" s="1"/>
  <c r="K96" i="37" s="1"/>
  <c r="L96" i="37" s="1"/>
  <c r="M96" i="37" s="1"/>
  <c r="F20" i="36"/>
  <c r="AA20" i="36"/>
  <c r="J33" i="34"/>
  <c r="AC33" i="34" s="1"/>
  <c r="H23" i="39"/>
  <c r="U23" i="39"/>
  <c r="D48" i="9"/>
  <c r="M52" i="9" s="1"/>
  <c r="H86" i="43"/>
  <c r="H87" i="43"/>
  <c r="K9" i="1"/>
  <c r="M9" i="1" s="1"/>
  <c r="O9" i="1" s="1"/>
  <c r="AE9" i="1"/>
  <c r="D93" i="9"/>
  <c r="AC12" i="39"/>
  <c r="W12" i="39"/>
  <c r="AC39" i="40"/>
  <c r="W39" i="40"/>
  <c r="AZ401" i="3"/>
  <c r="AZ412" i="3"/>
  <c r="AZ417" i="3"/>
  <c r="AZ428" i="3"/>
  <c r="W12" i="33"/>
  <c r="AC12" i="33"/>
  <c r="AA32" i="36"/>
  <c r="S32" i="36"/>
  <c r="AZ551" i="3"/>
  <c r="AZ550" i="3"/>
  <c r="AZ408" i="3"/>
  <c r="AZ437" i="3"/>
  <c r="AZ441" i="3"/>
  <c r="AZ457" i="3"/>
  <c r="AZ490" i="3"/>
  <c r="AA39" i="34"/>
  <c r="BL14" i="3"/>
  <c r="U30" i="33"/>
  <c r="AC13" i="34"/>
  <c r="AA47" i="34"/>
  <c r="W28" i="37"/>
  <c r="S19" i="39"/>
  <c r="F12" i="33"/>
  <c r="H12" i="39"/>
  <c r="AB12" i="39" s="1"/>
  <c r="F39" i="40"/>
  <c r="AA39" i="40" s="1"/>
  <c r="BA14" i="3"/>
  <c r="AZ14" i="3" s="1"/>
  <c r="AZ213" i="3"/>
  <c r="AZ234" i="3"/>
  <c r="AZ238" i="3"/>
  <c r="AZ281" i="3"/>
  <c r="AZ286" i="3"/>
  <c r="AZ149" i="3"/>
  <c r="AZ157" i="3"/>
  <c r="AZ165" i="3"/>
  <c r="AZ173" i="3"/>
  <c r="AZ35" i="3"/>
  <c r="AZ41" i="3"/>
  <c r="S12" i="1"/>
  <c r="AR12" i="1" s="1"/>
  <c r="R12" i="1"/>
  <c r="B12" i="1"/>
  <c r="E12" i="1" s="1"/>
  <c r="S10" i="1"/>
  <c r="AQ10" i="1" s="1"/>
  <c r="R10" i="1"/>
  <c r="B10" i="1"/>
  <c r="E10" i="1"/>
  <c r="AZ80" i="3"/>
  <c r="AZ84" i="3"/>
  <c r="AZ107" i="3"/>
  <c r="AZ111" i="3"/>
  <c r="K12" i="1"/>
  <c r="M12" i="1" s="1"/>
  <c r="S13" i="1"/>
  <c r="R13" i="1"/>
  <c r="S11" i="1"/>
  <c r="AQ11" i="1" s="1"/>
  <c r="R11" i="1"/>
  <c r="S9" i="1"/>
  <c r="AR9" i="1" s="1"/>
  <c r="R9" i="1"/>
  <c r="J51" i="67"/>
  <c r="C42" i="1"/>
  <c r="H100" i="43"/>
  <c r="C30" i="66"/>
  <c r="E26" i="66" s="1"/>
  <c r="AC34" i="33"/>
  <c r="B41" i="1"/>
  <c r="F53" i="9" s="1"/>
  <c r="J100" i="43"/>
  <c r="AB37" i="40"/>
  <c r="S35" i="40"/>
  <c r="AC36" i="40"/>
  <c r="W38" i="40"/>
  <c r="AA32" i="40"/>
  <c r="S17" i="40"/>
  <c r="S23" i="40"/>
  <c r="AC17" i="40"/>
  <c r="AC15" i="40"/>
  <c r="S30" i="40"/>
  <c r="AA19" i="40"/>
  <c r="S28" i="40"/>
  <c r="U21" i="40"/>
  <c r="AB19" i="40"/>
  <c r="W42" i="39"/>
  <c r="W39" i="39"/>
  <c r="S43" i="39"/>
  <c r="S37" i="39"/>
  <c r="F32" i="39"/>
  <c r="AA32" i="39" s="1"/>
  <c r="F107" i="39"/>
  <c r="G107" i="39" s="1"/>
  <c r="AB27" i="39"/>
  <c r="S25" i="39"/>
  <c r="J21" i="39"/>
  <c r="F21" i="39"/>
  <c r="G95" i="39"/>
  <c r="H21" i="39"/>
  <c r="W19" i="39"/>
  <c r="U19" i="39"/>
  <c r="S17" i="39"/>
  <c r="AC15" i="39"/>
  <c r="S15" i="39"/>
  <c r="AB15" i="39"/>
  <c r="AA12" i="39"/>
  <c r="S9" i="39"/>
  <c r="AC13" i="39"/>
  <c r="U12" i="39"/>
  <c r="S23" i="36"/>
  <c r="U13" i="36"/>
  <c r="AC27" i="36"/>
  <c r="U26" i="36"/>
  <c r="S27" i="36"/>
  <c r="AA26" i="36"/>
  <c r="S29" i="36"/>
  <c r="AC26" i="36"/>
  <c r="AA22" i="36"/>
  <c r="W14" i="36"/>
  <c r="AB14" i="36"/>
  <c r="U22" i="36"/>
  <c r="S16" i="36"/>
  <c r="S24" i="36"/>
  <c r="U24" i="36"/>
  <c r="U16" i="36"/>
  <c r="S14" i="36"/>
  <c r="U10" i="36"/>
  <c r="AA25" i="35"/>
  <c r="S23"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W13" i="35"/>
  <c r="F9" i="35"/>
  <c r="S9" i="35" s="1"/>
  <c r="H9" i="35"/>
  <c r="F26" i="35"/>
  <c r="AA26" i="35"/>
  <c r="J26" i="35"/>
  <c r="H26" i="35"/>
  <c r="AB40" i="37"/>
  <c r="S25" i="37"/>
  <c r="W27" i="37"/>
  <c r="S26" i="37"/>
  <c r="AC9" i="37"/>
  <c r="AC29" i="37"/>
  <c r="U29" i="37"/>
  <c r="S32" i="37"/>
  <c r="W30" i="37"/>
  <c r="S36" i="37"/>
  <c r="U32" i="37"/>
  <c r="W38" i="37"/>
  <c r="AC35" i="37"/>
  <c r="W39" i="37"/>
  <c r="S30" i="37"/>
  <c r="S37" i="37"/>
  <c r="J17" i="37"/>
  <c r="G73" i="37"/>
  <c r="F17" i="37"/>
  <c r="AA17" i="37" s="1"/>
  <c r="AB17" i="37"/>
  <c r="F75" i="37"/>
  <c r="F19" i="37"/>
  <c r="F79" i="37"/>
  <c r="F23" i="37"/>
  <c r="S23" i="37"/>
  <c r="U23" i="37"/>
  <c r="U15" i="37"/>
  <c r="U9" i="37"/>
  <c r="AA13" i="37"/>
  <c r="AA9" i="37"/>
  <c r="H10" i="37"/>
  <c r="AB10" i="37" s="1"/>
  <c r="H60" i="37"/>
  <c r="F63" i="37"/>
  <c r="G63" i="37" s="1"/>
  <c r="H63" i="37" s="1"/>
  <c r="I63" i="37" s="1"/>
  <c r="J63" i="37" s="1"/>
  <c r="K63" i="37" s="1"/>
  <c r="L63" i="37" s="1"/>
  <c r="M63" i="37" s="1"/>
  <c r="F11" i="37"/>
  <c r="S11" i="37"/>
  <c r="W25" i="34"/>
  <c r="AB8" i="34"/>
  <c r="AA33" i="34"/>
  <c r="U43" i="34"/>
  <c r="W41" i="34"/>
  <c r="AC42" i="34"/>
  <c r="AB35" i="34"/>
  <c r="U39" i="34"/>
  <c r="S43" i="34"/>
  <c r="AB41" i="34"/>
  <c r="AA45" i="34"/>
  <c r="W34" i="34"/>
  <c r="AA25" i="34"/>
  <c r="S17" i="34"/>
  <c r="AA29" i="34"/>
  <c r="S23" i="34"/>
  <c r="U15" i="34"/>
  <c r="S10" i="34"/>
  <c r="S13" i="34"/>
  <c r="H67" i="34"/>
  <c r="I67" i="34" s="1"/>
  <c r="H10" i="34"/>
  <c r="F11" i="34"/>
  <c r="S11" i="34"/>
  <c r="F70" i="34"/>
  <c r="G70" i="34" s="1"/>
  <c r="W42" i="33"/>
  <c r="AA35" i="33"/>
  <c r="S27" i="33"/>
  <c r="S32" i="33"/>
  <c r="AA29" i="33"/>
  <c r="AB29" i="33"/>
  <c r="W38" i="33"/>
  <c r="H41" i="33"/>
  <c r="AB41" i="33" s="1"/>
  <c r="F121" i="33"/>
  <c r="G121" i="33" s="1"/>
  <c r="H121" i="33"/>
  <c r="I121" i="33" s="1"/>
  <c r="J121" i="33"/>
  <c r="K121" i="33" s="1"/>
  <c r="L121" i="33" s="1"/>
  <c r="M121" i="33" s="1"/>
  <c r="U42" i="33"/>
  <c r="F36" i="33"/>
  <c r="S36" i="33" s="1"/>
  <c r="G108" i="33"/>
  <c r="H108" i="33" s="1"/>
  <c r="I108" i="33" s="1"/>
  <c r="J108" i="33"/>
  <c r="K108" i="33" s="1"/>
  <c r="L108" i="33" s="1"/>
  <c r="M108" i="33" s="1"/>
  <c r="J35" i="33"/>
  <c r="S37" i="33"/>
  <c r="AA37" i="33"/>
  <c r="S39" i="33"/>
  <c r="F101" i="33"/>
  <c r="G101" i="33"/>
  <c r="H101" i="33" s="1"/>
  <c r="I101" i="33" s="1"/>
  <c r="J101" i="33" s="1"/>
  <c r="K101" i="33" s="1"/>
  <c r="L101" i="33" s="1"/>
  <c r="M101" i="33" s="1"/>
  <c r="J32" i="33"/>
  <c r="S46" i="33"/>
  <c r="W43" i="33"/>
  <c r="S43" i="33"/>
  <c r="F91" i="33"/>
  <c r="H27" i="33"/>
  <c r="H25" i="33"/>
  <c r="F25" i="33"/>
  <c r="S25" i="33" s="1"/>
  <c r="J23" i="33"/>
  <c r="F85" i="33"/>
  <c r="H23" i="33"/>
  <c r="F81" i="33"/>
  <c r="G81" i="33" s="1"/>
  <c r="F19" i="33"/>
  <c r="S19" i="33" s="1"/>
  <c r="W19" i="33"/>
  <c r="J17" i="33"/>
  <c r="F79" i="33"/>
  <c r="G79" i="33" s="1"/>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c r="G13" i="3"/>
  <c r="BL17" i="3"/>
  <c r="AZ17" i="3" s="1"/>
  <c r="J56" i="9"/>
  <c r="J57" i="9" s="1"/>
  <c r="J59" i="9" s="1"/>
  <c r="J61" i="9" s="1"/>
  <c r="A24" i="51"/>
  <c r="B18" i="72"/>
  <c r="U29" i="34"/>
  <c r="E5" i="6"/>
  <c r="D9" i="68" s="1"/>
  <c r="C9" i="68" s="1"/>
  <c r="B29" i="1" s="1"/>
  <c r="C8" i="68" s="1"/>
  <c r="E32" i="6"/>
  <c r="L19" i="6" s="1"/>
  <c r="E19" i="69"/>
  <c r="E19" i="68"/>
  <c r="E19" i="11"/>
  <c r="E1" i="73"/>
  <c r="G22" i="69"/>
  <c r="G22" i="68"/>
  <c r="G26" i="12"/>
  <c r="G22" i="11"/>
  <c r="C100" i="43"/>
  <c r="E11" i="43"/>
  <c r="E10" i="43"/>
  <c r="E9" i="43"/>
  <c r="E8" i="43"/>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D68" i="39" s="1"/>
  <c r="D70" i="39" s="1"/>
  <c r="C7" i="35"/>
  <c r="C48" i="35" s="1"/>
  <c r="D48" i="35" s="1"/>
  <c r="C7" i="33"/>
  <c r="C58" i="33" s="1"/>
  <c r="C7" i="21"/>
  <c r="C58" i="21" s="1"/>
  <c r="C7" i="40"/>
  <c r="C63" i="40" s="1"/>
  <c r="M47" i="9"/>
  <c r="G19" i="43"/>
  <c r="O19" i="43" s="1"/>
  <c r="C19" i="43" s="1"/>
  <c r="T35" i="4"/>
  <c r="A19" i="51"/>
  <c r="B14" i="72" s="1"/>
  <c r="C52" i="37"/>
  <c r="D52" i="37" s="1"/>
  <c r="A4" i="51"/>
  <c r="B6" i="72" s="1"/>
  <c r="C4" i="12"/>
  <c r="H66" i="43"/>
  <c r="H65" i="43"/>
  <c r="H63" i="43"/>
  <c r="H55" i="43"/>
  <c r="H56" i="43"/>
  <c r="H72" i="43"/>
  <c r="L20" i="6"/>
  <c r="K11" i="1"/>
  <c r="M11" i="1" s="1"/>
  <c r="O11" i="1" s="1"/>
  <c r="P11" i="1" s="1"/>
  <c r="AP6" i="1"/>
  <c r="B9" i="1"/>
  <c r="E9" i="1"/>
  <c r="K7" i="1"/>
  <c r="M7" i="1" s="1"/>
  <c r="W23" i="40"/>
  <c r="U32" i="40"/>
  <c r="AB31" i="40"/>
  <c r="S37" i="40"/>
  <c r="AB28" i="40"/>
  <c r="W28" i="40"/>
  <c r="W34" i="40"/>
  <c r="W19" i="40"/>
  <c r="W27" i="40"/>
  <c r="W37" i="40"/>
  <c r="AC14" i="40"/>
  <c r="S33" i="40"/>
  <c r="AA15" i="40"/>
  <c r="U11" i="40"/>
  <c r="S31" i="40"/>
  <c r="U15" i="40"/>
  <c r="AB17" i="40"/>
  <c r="U8" i="40"/>
  <c r="S8" i="40"/>
  <c r="AA39" i="39"/>
  <c r="AC41" i="39"/>
  <c r="U42" i="39"/>
  <c r="AB23" i="39"/>
  <c r="U41" i="39"/>
  <c r="AB41" i="39"/>
  <c r="W25" i="39"/>
  <c r="AC25" i="39"/>
  <c r="U13" i="39"/>
  <c r="AB13" i="39"/>
  <c r="AA13" i="39"/>
  <c r="S13" i="39"/>
  <c r="U43" i="39"/>
  <c r="AB43" i="39"/>
  <c r="AA27" i="39"/>
  <c r="S27" i="39"/>
  <c r="W17" i="39"/>
  <c r="AC17" i="39"/>
  <c r="S23" i="39"/>
  <c r="AA45" i="39"/>
  <c r="AB39" i="39"/>
  <c r="W34" i="39"/>
  <c r="U38" i="39"/>
  <c r="S8" i="39"/>
  <c r="S20" i="36"/>
  <c r="S28" i="36"/>
  <c r="U32" i="36"/>
  <c r="W29" i="36"/>
  <c r="AC20" i="36"/>
  <c r="U25" i="36"/>
  <c r="AB28" i="36"/>
  <c r="AA13" i="36"/>
  <c r="W22" i="36"/>
  <c r="AC25" i="35"/>
  <c r="U25" i="35"/>
  <c r="W33" i="35"/>
  <c r="AA30" i="35"/>
  <c r="U24" i="35"/>
  <c r="S35" i="35"/>
  <c r="W35" i="35"/>
  <c r="AA16" i="35"/>
  <c r="AA35" i="37"/>
  <c r="W36" i="37"/>
  <c r="S27" i="37"/>
  <c r="S28" i="37"/>
  <c r="W32" i="37"/>
  <c r="U36" i="37"/>
  <c r="S40" i="37"/>
  <c r="AB37" i="37"/>
  <c r="S33" i="37"/>
  <c r="AC34" i="37"/>
  <c r="AB35" i="37"/>
  <c r="AA11" i="37"/>
  <c r="AA31" i="37"/>
  <c r="U19" i="37"/>
  <c r="AA29" i="37"/>
  <c r="AA8" i="37"/>
  <c r="U8" i="37"/>
  <c r="AB40" i="34"/>
  <c r="U19" i="34"/>
  <c r="W19" i="34"/>
  <c r="AC45" i="34"/>
  <c r="AA31" i="34"/>
  <c r="AA30" i="34"/>
  <c r="AB45" i="34"/>
  <c r="AB47" i="34"/>
  <c r="U25" i="34"/>
  <c r="AB36" i="34"/>
  <c r="AC14" i="34"/>
  <c r="AC32" i="34"/>
  <c r="AC29" i="34"/>
  <c r="S32" i="34"/>
  <c r="S37" i="34"/>
  <c r="U38" i="34"/>
  <c r="AC40" i="34"/>
  <c r="W40" i="34"/>
  <c r="AA19" i="34"/>
  <c r="S19" i="34"/>
  <c r="AA36" i="34"/>
  <c r="S36" i="34"/>
  <c r="AA8" i="34"/>
  <c r="S8" i="34"/>
  <c r="U32" i="34"/>
  <c r="AB32" i="34"/>
  <c r="U14" i="34"/>
  <c r="AB14" i="34"/>
  <c r="AC43" i="34"/>
  <c r="W43" i="34"/>
  <c r="AA11" i="34"/>
  <c r="W23" i="34"/>
  <c r="AC23" i="34"/>
  <c r="AC35" i="34"/>
  <c r="W35" i="34"/>
  <c r="U12" i="34"/>
  <c r="AB12" i="34"/>
  <c r="AB28" i="33"/>
  <c r="AC37" i="33"/>
  <c r="W46" i="33"/>
  <c r="U38" i="33"/>
  <c r="S33" i="33"/>
  <c r="U44" i="33"/>
  <c r="AB44" i="33"/>
  <c r="S30" i="33"/>
  <c r="AA30" i="33"/>
  <c r="AC14" i="33"/>
  <c r="W14" i="33"/>
  <c r="AC30" i="33"/>
  <c r="W30" i="33"/>
  <c r="W13" i="33"/>
  <c r="AC13" i="33"/>
  <c r="U15" i="33"/>
  <c r="S11" i="33"/>
  <c r="U37" i="33"/>
  <c r="AC28" i="33"/>
  <c r="S28" i="33"/>
  <c r="W9" i="33"/>
  <c r="W8" i="33"/>
  <c r="S44" i="21"/>
  <c r="AB42" i="21"/>
  <c r="U28" i="21"/>
  <c r="AA11" i="21"/>
  <c r="J101" i="21"/>
  <c r="K101" i="21" s="1"/>
  <c r="L101" i="21" s="1"/>
  <c r="M101" i="21" s="1"/>
  <c r="F33" i="21"/>
  <c r="J33" i="21"/>
  <c r="H33" i="21"/>
  <c r="AB33" i="21"/>
  <c r="F37" i="21"/>
  <c r="S37" i="21" s="1"/>
  <c r="AA37" i="21"/>
  <c r="AA26" i="21"/>
  <c r="AB14" i="21"/>
  <c r="AB46" i="21"/>
  <c r="U40" i="21"/>
  <c r="U31" i="21"/>
  <c r="AC15" i="21"/>
  <c r="U13" i="21"/>
  <c r="AB13" i="21"/>
  <c r="W8" i="21"/>
  <c r="S35" i="21"/>
  <c r="AB37" i="21"/>
  <c r="J37" i="21"/>
  <c r="W37" i="21"/>
  <c r="H15" i="21"/>
  <c r="U15" i="21" s="1"/>
  <c r="J17" i="21"/>
  <c r="AC17" i="21"/>
  <c r="AC19" i="21"/>
  <c r="W39" i="21"/>
  <c r="AC14" i="21"/>
  <c r="W30" i="21"/>
  <c r="S46" i="21"/>
  <c r="F29" i="21"/>
  <c r="F13" i="21"/>
  <c r="AA13" i="21" s="1"/>
  <c r="AC38" i="21"/>
  <c r="H32" i="21"/>
  <c r="H9" i="21"/>
  <c r="J9" i="21"/>
  <c r="J32" i="21"/>
  <c r="F32" i="21"/>
  <c r="AA31" i="21"/>
  <c r="U17" i="21"/>
  <c r="W29" i="21"/>
  <c r="S19" i="21"/>
  <c r="S9" i="21"/>
  <c r="K141" i="21"/>
  <c r="K144" i="21"/>
  <c r="K143" i="21"/>
  <c r="U27" i="21"/>
  <c r="AB25" i="21"/>
  <c r="AB44" i="21"/>
  <c r="AA30" i="21"/>
  <c r="W42" i="21"/>
  <c r="F10" i="21"/>
  <c r="K145" i="21"/>
  <c r="W17" i="21"/>
  <c r="W25" i="21"/>
  <c r="W31" i="21"/>
  <c r="S27" i="21"/>
  <c r="S17" i="21"/>
  <c r="AA15" i="21"/>
  <c r="AC27" i="21"/>
  <c r="AC26" i="21"/>
  <c r="AB29" i="21"/>
  <c r="S28" i="21"/>
  <c r="AC34" i="21"/>
  <c r="W10" i="21"/>
  <c r="AB36" i="21"/>
  <c r="C19" i="39"/>
  <c r="C15" i="40"/>
  <c r="C17" i="40"/>
  <c r="C21" i="40"/>
  <c r="U30" i="40"/>
  <c r="B54" i="43"/>
  <c r="B65" i="43"/>
  <c r="B49" i="43"/>
  <c r="B52" i="43"/>
  <c r="B56" i="43"/>
  <c r="B60" i="43"/>
  <c r="B63" i="43"/>
  <c r="B67" i="43"/>
  <c r="D23" i="15"/>
  <c r="D22" i="15"/>
  <c r="E4" i="4"/>
  <c r="B5" i="62" s="1"/>
  <c r="B73" i="72" s="1"/>
  <c r="C4" i="4"/>
  <c r="E7" i="70"/>
  <c r="S12" i="33"/>
  <c r="AA12" i="33"/>
  <c r="J32" i="39"/>
  <c r="H107" i="39"/>
  <c r="I107" i="39" s="1"/>
  <c r="J107" i="39"/>
  <c r="K107" i="39" s="1"/>
  <c r="L107" i="39" s="1"/>
  <c r="M107" i="39" s="1"/>
  <c r="H32" i="39"/>
  <c r="S32" i="39"/>
  <c r="AB21" i="39"/>
  <c r="U21" i="39"/>
  <c r="AA21" i="39"/>
  <c r="S21" i="39"/>
  <c r="AC21" i="39"/>
  <c r="W21" i="39"/>
  <c r="S26" i="35"/>
  <c r="U9" i="35"/>
  <c r="AB9" i="35"/>
  <c r="AA9" i="35"/>
  <c r="AB26" i="35"/>
  <c r="U26" i="35"/>
  <c r="S17" i="37"/>
  <c r="J19" i="37"/>
  <c r="G75" i="37"/>
  <c r="S19" i="37"/>
  <c r="AA19" i="37"/>
  <c r="AA23" i="37"/>
  <c r="J23" i="37"/>
  <c r="G79" i="37"/>
  <c r="J10" i="37"/>
  <c r="I60" i="37"/>
  <c r="H11" i="37"/>
  <c r="AB11" i="37" s="1"/>
  <c r="U10" i="37"/>
  <c r="H11" i="34"/>
  <c r="AB11" i="34" s="1"/>
  <c r="AB10" i="34"/>
  <c r="U10" i="34"/>
  <c r="J10" i="34"/>
  <c r="U41" i="33"/>
  <c r="W35" i="33"/>
  <c r="AC35" i="33"/>
  <c r="I111" i="33"/>
  <c r="J111" i="33" s="1"/>
  <c r="K111" i="33" s="1"/>
  <c r="L111" i="33" s="1"/>
  <c r="M111" i="33" s="1"/>
  <c r="J36" i="33"/>
  <c r="H36" i="33"/>
  <c r="U36" i="33" s="1"/>
  <c r="AA36" i="33"/>
  <c r="AC32" i="33"/>
  <c r="W32" i="33"/>
  <c r="U27" i="33"/>
  <c r="AB27" i="33"/>
  <c r="G91" i="33"/>
  <c r="H91" i="33"/>
  <c r="I91" i="33" s="1"/>
  <c r="J91" i="33" s="1"/>
  <c r="K91" i="33" s="1"/>
  <c r="L91" i="33" s="1"/>
  <c r="M91" i="33" s="1"/>
  <c r="J27" i="33"/>
  <c r="W27" i="33" s="1"/>
  <c r="U25" i="33"/>
  <c r="AB25" i="33"/>
  <c r="AA25" i="33"/>
  <c r="J87" i="33"/>
  <c r="K87" i="33" s="1"/>
  <c r="L87" i="33" s="1"/>
  <c r="M87" i="33" s="1"/>
  <c r="J25" i="33"/>
  <c r="AB23" i="33"/>
  <c r="U23" i="33"/>
  <c r="F23" i="33"/>
  <c r="G85" i="33"/>
  <c r="AC23" i="33"/>
  <c r="W23" i="33"/>
  <c r="AA19" i="33"/>
  <c r="H19" i="33"/>
  <c r="H17" i="33"/>
  <c r="U17" i="33" s="1"/>
  <c r="F17" i="33"/>
  <c r="AA17" i="33" s="1"/>
  <c r="W17" i="33"/>
  <c r="AC17" i="33"/>
  <c r="U10" i="33"/>
  <c r="AB10" i="33"/>
  <c r="AC10" i="33"/>
  <c r="W10" i="33"/>
  <c r="AC37" i="21"/>
  <c r="U33" i="21"/>
  <c r="AA23" i="21"/>
  <c r="J23" i="21"/>
  <c r="F85" i="21"/>
  <c r="G85" i="21"/>
  <c r="H23" i="21"/>
  <c r="S13" i="21"/>
  <c r="AP7" i="1"/>
  <c r="S33" i="21"/>
  <c r="AA33" i="21"/>
  <c r="W32" i="21"/>
  <c r="AC32" i="21"/>
  <c r="AB9" i="21"/>
  <c r="U9" i="21"/>
  <c r="W9" i="21"/>
  <c r="AC9" i="21"/>
  <c r="AA10" i="21"/>
  <c r="S10" i="21"/>
  <c r="E6" i="70"/>
  <c r="A18" i="62"/>
  <c r="B64" i="72" s="1"/>
  <c r="AC32" i="39"/>
  <c r="W32" i="39"/>
  <c r="W23" i="37"/>
  <c r="AC23" i="37"/>
  <c r="U11" i="37"/>
  <c r="J11" i="37"/>
  <c r="W10" i="37"/>
  <c r="AC10" i="37"/>
  <c r="U11" i="34"/>
  <c r="AC10" i="34"/>
  <c r="W10" i="34"/>
  <c r="H70" i="34"/>
  <c r="I70" i="34" s="1"/>
  <c r="J70" i="34" s="1"/>
  <c r="K70" i="34" s="1"/>
  <c r="L70" i="34"/>
  <c r="M70" i="34" s="1"/>
  <c r="J11" i="34"/>
  <c r="AC36" i="33"/>
  <c r="W36" i="33"/>
  <c r="AB36" i="33"/>
  <c r="AA23" i="33"/>
  <c r="S23" i="33"/>
  <c r="S17" i="33"/>
  <c r="AB17" i="33"/>
  <c r="U23" i="21"/>
  <c r="AB23" i="21"/>
  <c r="AC11" i="37"/>
  <c r="W11" i="37"/>
  <c r="W11" i="34"/>
  <c r="AC11" i="34"/>
  <c r="AE7" i="1"/>
  <c r="AE8" i="1"/>
  <c r="AE6" i="1"/>
  <c r="AG6" i="1"/>
  <c r="H109" i="9"/>
  <c r="M49" i="9"/>
  <c r="L68" i="9" s="1"/>
  <c r="M68" i="9" s="1"/>
  <c r="H110" i="9"/>
  <c r="D18" i="53" s="1"/>
  <c r="B35" i="72" s="1"/>
  <c r="D124" i="9"/>
  <c r="D125" i="9" s="1"/>
  <c r="D11" i="52" s="1"/>
  <c r="D16" i="53"/>
  <c r="H112" i="9"/>
  <c r="D21" i="53"/>
  <c r="B39" i="72" s="1"/>
  <c r="H111" i="9"/>
  <c r="D126" i="9" s="1"/>
  <c r="D12" i="52" s="1"/>
  <c r="D127" i="9"/>
  <c r="D13" i="52" s="1"/>
  <c r="AD3" i="71"/>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D17" i="71"/>
  <c r="U17" i="71"/>
  <c r="S17" i="71"/>
  <c r="T17" i="71"/>
  <c r="AB15" i="71"/>
  <c r="X13" i="71"/>
  <c r="X12" i="71"/>
  <c r="AA13" i="71"/>
  <c r="AA12" i="71"/>
  <c r="X16" i="71"/>
  <c r="Y12" i="71"/>
  <c r="Z12" i="71" s="1"/>
  <c r="AB13" i="71"/>
  <c r="AB12" i="71"/>
  <c r="Y13" i="71"/>
  <c r="Z13" i="71" s="1"/>
  <c r="X3" i="71"/>
  <c r="E14" i="71"/>
  <c r="E13" i="71"/>
  <c r="G20" i="43"/>
  <c r="G17" i="43"/>
  <c r="C16" i="43" s="1"/>
  <c r="D5" i="43" s="1"/>
  <c r="E41" i="43"/>
  <c r="C41" i="43" s="1"/>
  <c r="AO11" i="1"/>
  <c r="E13" i="76"/>
  <c r="E2" i="68"/>
  <c r="E8" i="76"/>
  <c r="D2" i="35"/>
  <c r="F7" i="73"/>
  <c r="D2" i="33"/>
  <c r="F6" i="73"/>
  <c r="D2" i="37"/>
  <c r="B9" i="76"/>
  <c r="D2" i="21"/>
  <c r="AO13" i="1"/>
  <c r="E2" i="69"/>
  <c r="E11" i="76"/>
  <c r="B13" i="76"/>
  <c r="B10" i="76"/>
  <c r="E7" i="76"/>
  <c r="E9" i="76"/>
  <c r="AO8" i="1"/>
  <c r="AO7" i="1"/>
  <c r="F20" i="31"/>
  <c r="F4" i="73"/>
  <c r="E10" i="76"/>
  <c r="D2" i="34"/>
  <c r="E12" i="76"/>
  <c r="AO9" i="1"/>
  <c r="AO10" i="1"/>
  <c r="F5" i="73"/>
  <c r="B8" i="76"/>
  <c r="B11" i="76"/>
  <c r="AO6" i="1"/>
  <c r="B12" i="76"/>
  <c r="D2" i="36"/>
  <c r="AO12" i="1"/>
  <c r="B7" i="76"/>
  <c r="F3" i="73"/>
  <c r="AB11" i="39" l="1"/>
  <c r="C5" i="11"/>
  <c r="AC11" i="39"/>
  <c r="C92" i="9"/>
  <c r="F32" i="67"/>
  <c r="F60" i="67" s="1"/>
  <c r="F52" i="9"/>
  <c r="D68" i="9"/>
  <c r="F28" i="15"/>
  <c r="C28" i="15" s="1"/>
  <c r="M18" i="15"/>
  <c r="F30" i="69"/>
  <c r="F48" i="69" s="1"/>
  <c r="F28" i="67"/>
  <c r="C28" i="67" s="1"/>
  <c r="C30" i="69"/>
  <c r="F54" i="9"/>
  <c r="F32" i="15"/>
  <c r="F60" i="15" s="1"/>
  <c r="M18" i="67"/>
  <c r="F30" i="11"/>
  <c r="F48" i="9"/>
  <c r="O52" i="9" s="1"/>
  <c r="C21" i="69"/>
  <c r="D22" i="67"/>
  <c r="J1" i="73"/>
  <c r="Z7" i="43"/>
  <c r="E22" i="43"/>
  <c r="K6" i="1"/>
  <c r="M6" i="1" s="1"/>
  <c r="O6" i="1" s="1"/>
  <c r="T10" i="1"/>
  <c r="K8" i="1"/>
  <c r="M8" i="1" s="1"/>
  <c r="O8" i="1" s="1"/>
  <c r="P8" i="1" s="1"/>
  <c r="L27" i="6"/>
  <c r="G1" i="69"/>
  <c r="AR10" i="1"/>
  <c r="G1" i="15"/>
  <c r="C36" i="69"/>
  <c r="B6" i="1"/>
  <c r="E6" i="1" s="1"/>
  <c r="K1" i="12"/>
  <c r="G1" i="68"/>
  <c r="T9" i="1"/>
  <c r="G1" i="67"/>
  <c r="S2" i="43"/>
  <c r="I101" i="43"/>
  <c r="I103" i="43" s="1"/>
  <c r="S4" i="43"/>
  <c r="E51" i="40"/>
  <c r="BL13" i="3"/>
  <c r="B113" i="43"/>
  <c r="B117" i="43" s="1"/>
  <c r="C117" i="43" s="1"/>
  <c r="AQ9" i="1"/>
  <c r="AE11" i="43"/>
  <c r="AE13" i="43" s="1"/>
  <c r="N104" i="46"/>
  <c r="K103" i="43"/>
  <c r="K104" i="43"/>
  <c r="K106" i="43"/>
  <c r="K109" i="43"/>
  <c r="K105" i="43"/>
  <c r="K102" i="43"/>
  <c r="K107" i="43"/>
  <c r="I105" i="43"/>
  <c r="I104" i="43"/>
  <c r="D9" i="69"/>
  <c r="C9" i="69" s="1"/>
  <c r="E56" i="39"/>
  <c r="Y11" i="43"/>
  <c r="Y13" i="43" s="1"/>
  <c r="AG11" i="43"/>
  <c r="AG13" i="43" s="1"/>
  <c r="Z11" i="43"/>
  <c r="Z13" i="43" s="1"/>
  <c r="AF11" i="43"/>
  <c r="AF13" i="43" s="1"/>
  <c r="AJ11" i="43"/>
  <c r="AJ13" i="43" s="1"/>
  <c r="D115" i="43"/>
  <c r="E115" i="43" s="1"/>
  <c r="F115" i="43" s="1"/>
  <c r="G115" i="43" s="1"/>
  <c r="H115" i="43" s="1"/>
  <c r="M101" i="43"/>
  <c r="M103" i="43" s="1"/>
  <c r="L101" i="43"/>
  <c r="J101" i="43"/>
  <c r="N101" i="43"/>
  <c r="F22" i="43"/>
  <c r="J22" i="43"/>
  <c r="E2" i="70"/>
  <c r="I102" i="43"/>
  <c r="S7" i="43"/>
  <c r="T7" i="43" s="1"/>
  <c r="V7" i="43" s="1"/>
  <c r="C23" i="43"/>
  <c r="C21" i="43" s="1"/>
  <c r="AA11" i="43"/>
  <c r="AA13" i="43" s="1"/>
  <c r="AI11" i="43"/>
  <c r="AI13" i="43" s="1"/>
  <c r="AB11" i="43"/>
  <c r="AB13" i="43" s="1"/>
  <c r="I117" i="43"/>
  <c r="J117" i="43" s="1"/>
  <c r="K117" i="43" s="1"/>
  <c r="L117" i="43" s="1"/>
  <c r="M117" i="43" s="1"/>
  <c r="D116" i="43"/>
  <c r="E116" i="43" s="1"/>
  <c r="F116" i="43" s="1"/>
  <c r="G116" i="43" s="1"/>
  <c r="H116" i="43" s="1"/>
  <c r="G22" i="43"/>
  <c r="D22" i="43" s="1"/>
  <c r="D101" i="43"/>
  <c r="D102" i="43" s="1"/>
  <c r="H22" i="43"/>
  <c r="D9" i="11"/>
  <c r="C9" i="11" s="1"/>
  <c r="C101" i="43"/>
  <c r="F101" i="43"/>
  <c r="F104" i="43" s="1"/>
  <c r="S3" i="43"/>
  <c r="S6" i="43"/>
  <c r="AC11" i="43"/>
  <c r="AC13" i="43" s="1"/>
  <c r="S5" i="43"/>
  <c r="AD11" i="43"/>
  <c r="AH11" i="43"/>
  <c r="AH13" i="43" s="1"/>
  <c r="I116" i="43"/>
  <c r="J116" i="43" s="1"/>
  <c r="K116" i="43" s="1"/>
  <c r="L116" i="43" s="1"/>
  <c r="M116" i="43" s="1"/>
  <c r="E101" i="43"/>
  <c r="H101" i="43"/>
  <c r="D117" i="43"/>
  <c r="E117" i="43" s="1"/>
  <c r="F117" i="43" s="1"/>
  <c r="G117" i="43" s="1"/>
  <c r="H117" i="43" s="1"/>
  <c r="G101" i="43"/>
  <c r="G106" i="43" s="1"/>
  <c r="D19" i="12"/>
  <c r="C19" i="12" s="1"/>
  <c r="D107" i="43"/>
  <c r="P13" i="1"/>
  <c r="O7" i="1"/>
  <c r="P7" i="1" s="1"/>
  <c r="AR11" i="1"/>
  <c r="T11" i="1"/>
  <c r="H14" i="74"/>
  <c r="B7" i="74" s="1"/>
  <c r="L67" i="9"/>
  <c r="M67" i="9" s="1"/>
  <c r="AB32" i="21"/>
  <c r="U32" i="21"/>
  <c r="G29" i="6"/>
  <c r="L66" i="9"/>
  <c r="M66" i="9" s="1"/>
  <c r="AA32" i="21"/>
  <c r="S32" i="21"/>
  <c r="AB39" i="33"/>
  <c r="U39" i="33"/>
  <c r="S12" i="34"/>
  <c r="AA12" i="34"/>
  <c r="G30" i="6"/>
  <c r="G31" i="6" s="1"/>
  <c r="BA557" i="3"/>
  <c r="AZ557" i="3" s="1"/>
  <c r="BD5" i="3"/>
  <c r="E68" i="39"/>
  <c r="C70" i="39"/>
  <c r="D19" i="53"/>
  <c r="D10" i="52"/>
  <c r="L63" i="9"/>
  <c r="M63" i="9" s="1"/>
  <c r="M69" i="9" s="1"/>
  <c r="N69" i="9" s="1"/>
  <c r="U32" i="39"/>
  <c r="AB32" i="39"/>
  <c r="S39" i="40"/>
  <c r="AC33" i="21"/>
  <c r="W33" i="21"/>
  <c r="AC26" i="35"/>
  <c r="W26" i="35"/>
  <c r="D8" i="53"/>
  <c r="D120" i="9"/>
  <c r="AB25" i="39"/>
  <c r="U25" i="39"/>
  <c r="U31" i="37"/>
  <c r="AB31" i="37"/>
  <c r="W28" i="21"/>
  <c r="AC28" i="21"/>
  <c r="AC41" i="33"/>
  <c r="W27" i="35"/>
  <c r="AC27" i="35"/>
  <c r="AB34" i="36"/>
  <c r="U34" i="36"/>
  <c r="AB31" i="36"/>
  <c r="U31" i="36"/>
  <c r="F107" i="43"/>
  <c r="F106" i="43"/>
  <c r="AB14" i="40"/>
  <c r="U14" i="40"/>
  <c r="BA556" i="3"/>
  <c r="AZ556" i="3" s="1"/>
  <c r="BC5" i="3"/>
  <c r="C5" i="43"/>
  <c r="T12" i="43" s="1"/>
  <c r="V12" i="43" s="1"/>
  <c r="E12" i="71"/>
  <c r="E11" i="71" s="1"/>
  <c r="E10" i="71" s="1"/>
  <c r="E9" i="71" s="1"/>
  <c r="V13" i="71"/>
  <c r="I14" i="74"/>
  <c r="B8" i="74" s="1"/>
  <c r="L65" i="9"/>
  <c r="M65" i="9" s="1"/>
  <c r="W19" i="37"/>
  <c r="AC19" i="37"/>
  <c r="W17" i="37"/>
  <c r="AC17" i="37"/>
  <c r="AR13" i="1"/>
  <c r="AQ13" i="1"/>
  <c r="T13" i="1"/>
  <c r="AQ12" i="1"/>
  <c r="T12" i="1"/>
  <c r="U27" i="36"/>
  <c r="AB27" i="36"/>
  <c r="S22" i="31"/>
  <c r="R22" i="31" s="1"/>
  <c r="AC44" i="33"/>
  <c r="W44" i="33"/>
  <c r="AC15" i="33"/>
  <c r="W15" i="33"/>
  <c r="AB33" i="35"/>
  <c r="U33" i="35"/>
  <c r="S34" i="36"/>
  <c r="AA34" i="36"/>
  <c r="AB17" i="39"/>
  <c r="U17" i="39"/>
  <c r="J45" i="21"/>
  <c r="F45" i="21"/>
  <c r="H45" i="21"/>
  <c r="AB9" i="34"/>
  <c r="U9" i="34"/>
  <c r="AB38" i="40"/>
  <c r="U38" i="40"/>
  <c r="W31" i="35"/>
  <c r="AC31" i="35"/>
  <c r="BL557" i="3"/>
  <c r="BM5" i="3"/>
  <c r="F29" i="6" s="1"/>
  <c r="E29" i="6" s="1"/>
  <c r="K15" i="1" s="1"/>
  <c r="B34" i="72"/>
  <c r="D17" i="53"/>
  <c r="B36" i="72" s="1"/>
  <c r="L64" i="9"/>
  <c r="M64" i="9" s="1"/>
  <c r="AC27" i="33"/>
  <c r="AC23" i="21"/>
  <c r="W23" i="21"/>
  <c r="AB19" i="33"/>
  <c r="U19" i="33"/>
  <c r="W25" i="33"/>
  <c r="AC25" i="33"/>
  <c r="S29" i="21"/>
  <c r="AA29" i="21"/>
  <c r="AC46" i="21"/>
  <c r="AB15" i="21"/>
  <c r="C7" i="43"/>
  <c r="AC15" i="37"/>
  <c r="O12" i="1"/>
  <c r="P12" i="1" s="1"/>
  <c r="P9" i="1"/>
  <c r="U20" i="36"/>
  <c r="AB20" i="36"/>
  <c r="AZ379" i="3"/>
  <c r="AZ357" i="3"/>
  <c r="AZ381" i="3"/>
  <c r="AZ380" i="3"/>
  <c r="H62" i="43"/>
  <c r="H64" i="43"/>
  <c r="S11" i="39"/>
  <c r="AZ564" i="3"/>
  <c r="AC13" i="21"/>
  <c r="W13" i="21"/>
  <c r="S28" i="34"/>
  <c r="AA36" i="40"/>
  <c r="S36" i="40"/>
  <c r="F12" i="21"/>
  <c r="J12" i="21"/>
  <c r="H12" i="21"/>
  <c r="J27" i="34"/>
  <c r="F27" i="34"/>
  <c r="H27" i="34"/>
  <c r="F25" i="36"/>
  <c r="J25" i="36"/>
  <c r="AB29" i="36"/>
  <c r="U29" i="36"/>
  <c r="J12" i="37"/>
  <c r="F12" i="37"/>
  <c r="H12" i="37"/>
  <c r="U27" i="37"/>
  <c r="AB27" i="37"/>
  <c r="AB34" i="40"/>
  <c r="U34" i="40"/>
  <c r="T14" i="43"/>
  <c r="V14" i="43" s="1"/>
  <c r="AZ13" i="3"/>
  <c r="U33" i="34"/>
  <c r="AB33" i="34"/>
  <c r="AZ343" i="3"/>
  <c r="AA15" i="37"/>
  <c r="S15" i="37"/>
  <c r="AZ497" i="3"/>
  <c r="AZ532" i="3"/>
  <c r="AC10" i="36"/>
  <c r="W10" i="36"/>
  <c r="S12" i="40"/>
  <c r="AA12" i="40"/>
  <c r="W32" i="36"/>
  <c r="AC32" i="36"/>
  <c r="AA9" i="33"/>
  <c r="S9" i="33"/>
  <c r="AB33" i="33"/>
  <c r="U33" i="33"/>
  <c r="AA38" i="33"/>
  <c r="S38" i="33"/>
  <c r="W12" i="35"/>
  <c r="AC12" i="35"/>
  <c r="AA10" i="36"/>
  <c r="S10" i="36"/>
  <c r="AC9" i="36"/>
  <c r="W9" i="36"/>
  <c r="H44" i="39"/>
  <c r="F44" i="39"/>
  <c r="AB42" i="34"/>
  <c r="U42" i="34"/>
  <c r="U44" i="34"/>
  <c r="H50" i="43"/>
  <c r="S40" i="34"/>
  <c r="AA40" i="34"/>
  <c r="U34" i="33"/>
  <c r="AB34" i="33"/>
  <c r="AC30" i="40"/>
  <c r="W30" i="40"/>
  <c r="U20" i="35"/>
  <c r="AB20" i="35"/>
  <c r="AZ372" i="3"/>
  <c r="AZ187" i="3"/>
  <c r="AB37" i="39"/>
  <c r="U37" i="39"/>
  <c r="AA42" i="33"/>
  <c r="S42" i="33"/>
  <c r="BL495" i="3"/>
  <c r="AZ495" i="3" s="1"/>
  <c r="BQ5" i="3"/>
  <c r="F28" i="6" s="1"/>
  <c r="AZ559" i="3"/>
  <c r="AZ552" i="3"/>
  <c r="U33" i="40"/>
  <c r="AB33" i="40"/>
  <c r="AC47" i="34"/>
  <c r="W47" i="34"/>
  <c r="AC31" i="34"/>
  <c r="W31" i="34"/>
  <c r="AA14" i="33"/>
  <c r="S14" i="33"/>
  <c r="U11" i="35"/>
  <c r="AB11" i="35"/>
  <c r="W44" i="34"/>
  <c r="AC44" i="34"/>
  <c r="W17" i="34"/>
  <c r="AC17" i="34"/>
  <c r="AA31" i="39"/>
  <c r="S31" i="39"/>
  <c r="AA11" i="40"/>
  <c r="S11" i="40"/>
  <c r="AB22" i="35"/>
  <c r="U22" i="35"/>
  <c r="AC44" i="39"/>
  <c r="W44" i="39"/>
  <c r="B85" i="43"/>
  <c r="C23" i="40"/>
  <c r="J33" i="36"/>
  <c r="H33" i="36"/>
  <c r="F33" i="36"/>
  <c r="F31" i="12"/>
  <c r="C31" i="12" s="1"/>
  <c r="F30" i="68"/>
  <c r="W33" i="34"/>
  <c r="G107" i="43"/>
  <c r="J107" i="43"/>
  <c r="AC39" i="34"/>
  <c r="AA27" i="40"/>
  <c r="AB27" i="40"/>
  <c r="U35" i="40"/>
  <c r="AA34" i="33"/>
  <c r="H82" i="43"/>
  <c r="H75" i="43"/>
  <c r="AC5" i="3"/>
  <c r="AZ573" i="3"/>
  <c r="AZ504" i="3"/>
  <c r="AB46" i="33"/>
  <c r="S14" i="34"/>
  <c r="S15" i="34"/>
  <c r="S29" i="35"/>
  <c r="AA29" i="35"/>
  <c r="AA12" i="36"/>
  <c r="AA41" i="33"/>
  <c r="S41" i="33"/>
  <c r="W34" i="36"/>
  <c r="AC34" i="36"/>
  <c r="W11" i="40"/>
  <c r="AC11" i="40"/>
  <c r="U11" i="21"/>
  <c r="AB11" i="21"/>
  <c r="AB36" i="39"/>
  <c r="U36" i="39"/>
  <c r="B74" i="43"/>
  <c r="AB40" i="33"/>
  <c r="AC8" i="34"/>
  <c r="J28" i="34"/>
  <c r="H28" i="34"/>
  <c r="AC36" i="35"/>
  <c r="J24" i="35"/>
  <c r="F24" i="35"/>
  <c r="J23" i="36"/>
  <c r="H23" i="36"/>
  <c r="H13" i="37"/>
  <c r="J13" i="37"/>
  <c r="J31" i="39"/>
  <c r="H31" i="39"/>
  <c r="H45" i="39"/>
  <c r="J45" i="39"/>
  <c r="AA40" i="33"/>
  <c r="S40" i="33"/>
  <c r="BA563" i="3"/>
  <c r="AZ563" i="3" s="1"/>
  <c r="BL562" i="3"/>
  <c r="BA562" i="3"/>
  <c r="AZ562" i="3" s="1"/>
  <c r="BL561" i="3"/>
  <c r="AZ561" i="3" s="1"/>
  <c r="BL560" i="3"/>
  <c r="AZ560" i="3" s="1"/>
  <c r="K5" i="4"/>
  <c r="B47" i="48" s="1"/>
  <c r="AC13" i="40"/>
  <c r="AZ503" i="3"/>
  <c r="AZ565" i="3"/>
  <c r="AZ498" i="3"/>
  <c r="AZ558" i="3"/>
  <c r="BL585" i="3"/>
  <c r="AZ585" i="3" s="1"/>
  <c r="B71" i="43"/>
  <c r="AB35" i="33"/>
  <c r="U35" i="33"/>
  <c r="AB34" i="34"/>
  <c r="U34" i="34"/>
  <c r="W8" i="35"/>
  <c r="H31" i="33"/>
  <c r="F31" i="33"/>
  <c r="J30" i="34"/>
  <c r="H30" i="34"/>
  <c r="F46" i="34"/>
  <c r="J46" i="34"/>
  <c r="AC11" i="35"/>
  <c r="W11" i="35"/>
  <c r="F14" i="39"/>
  <c r="H14" i="39"/>
  <c r="J12" i="40"/>
  <c r="H12" i="40"/>
  <c r="J40" i="40"/>
  <c r="H40" i="40"/>
  <c r="H35" i="39"/>
  <c r="J35" i="39"/>
  <c r="BA579" i="3"/>
  <c r="AZ579" i="3" s="1"/>
  <c r="BA578" i="3"/>
  <c r="AZ578" i="3" s="1"/>
  <c r="G570" i="3"/>
  <c r="BL567" i="3"/>
  <c r="AZ567" i="3" s="1"/>
  <c r="BA566" i="3"/>
  <c r="AZ566" i="3" s="1"/>
  <c r="BL545" i="3"/>
  <c r="AZ545" i="3" s="1"/>
  <c r="AZ543" i="3"/>
  <c r="AZ515" i="3"/>
  <c r="AZ508" i="3"/>
  <c r="AA35" i="39"/>
  <c r="S35" i="39"/>
  <c r="BL587" i="3"/>
  <c r="AZ587" i="3" s="1"/>
  <c r="BA586" i="3"/>
  <c r="AZ586" i="3" s="1"/>
  <c r="J26" i="33"/>
  <c r="F26" i="33"/>
  <c r="H26" i="33"/>
  <c r="H9" i="36"/>
  <c r="F9" i="36"/>
  <c r="AA10" i="37"/>
  <c r="S10" i="37"/>
  <c r="H38" i="37"/>
  <c r="F38" i="37"/>
  <c r="U8" i="39"/>
  <c r="AB8" i="39"/>
  <c r="U39" i="40"/>
  <c r="AB39" i="40"/>
  <c r="H13" i="40"/>
  <c r="F13" i="40"/>
  <c r="BA582" i="3"/>
  <c r="AZ582" i="3" s="1"/>
  <c r="BL581" i="3"/>
  <c r="AZ581" i="3" s="1"/>
  <c r="BL578" i="3"/>
  <c r="BL576" i="3"/>
  <c r="AZ576" i="3" s="1"/>
  <c r="BL575" i="3"/>
  <c r="AZ575" i="3" s="1"/>
  <c r="BA574" i="3"/>
  <c r="AZ574" i="3" s="1"/>
  <c r="G572" i="3"/>
  <c r="BL555" i="3"/>
  <c r="AZ555" i="3" s="1"/>
  <c r="BA553" i="3"/>
  <c r="AZ553" i="3" s="1"/>
  <c r="AZ430" i="3"/>
  <c r="AZ405" i="3"/>
  <c r="AZ409" i="3"/>
  <c r="AZ449" i="3"/>
  <c r="AZ481" i="3"/>
  <c r="AZ489" i="3"/>
  <c r="W29" i="33"/>
  <c r="AA44" i="33"/>
  <c r="J34" i="35"/>
  <c r="F34" i="35"/>
  <c r="J25" i="37"/>
  <c r="G552" i="3"/>
  <c r="AZ402" i="3"/>
  <c r="AZ406" i="3"/>
  <c r="AZ440" i="3"/>
  <c r="AZ445" i="3"/>
  <c r="AZ474" i="3"/>
  <c r="AZ486" i="3"/>
  <c r="AZ492" i="3"/>
  <c r="AZ450" i="3"/>
  <c r="AZ487" i="3"/>
  <c r="AZ210" i="3"/>
  <c r="AZ230" i="3"/>
  <c r="AZ252" i="3"/>
  <c r="AZ274" i="3"/>
  <c r="AZ446" i="3"/>
  <c r="AZ455" i="3"/>
  <c r="AZ476" i="3"/>
  <c r="AZ211" i="3"/>
  <c r="AZ244" i="3"/>
  <c r="AZ247" i="3"/>
  <c r="AZ278" i="3"/>
  <c r="AZ126" i="3"/>
  <c r="AZ185" i="3"/>
  <c r="AZ205" i="3"/>
  <c r="BL430" i="3"/>
  <c r="G435" i="3"/>
  <c r="BL440" i="3"/>
  <c r="BA444" i="3"/>
  <c r="AZ444" i="3" s="1"/>
  <c r="BL447" i="3"/>
  <c r="AZ447" i="3" s="1"/>
  <c r="BA451" i="3"/>
  <c r="AZ451" i="3" s="1"/>
  <c r="G457" i="3"/>
  <c r="BA462" i="3"/>
  <c r="AZ462" i="3" s="1"/>
  <c r="BL465" i="3"/>
  <c r="AZ465" i="3" s="1"/>
  <c r="BL469" i="3"/>
  <c r="G474" i="3"/>
  <c r="BL484" i="3"/>
  <c r="AZ484" i="3" s="1"/>
  <c r="BA491" i="3"/>
  <c r="AZ491" i="3" s="1"/>
  <c r="BL308" i="3"/>
  <c r="AZ308" i="3" s="1"/>
  <c r="G339" i="3"/>
  <c r="G358" i="3"/>
  <c r="BL367" i="3"/>
  <c r="AZ367" i="3" s="1"/>
  <c r="BL381" i="3"/>
  <c r="BA385" i="3"/>
  <c r="AZ385" i="3" s="1"/>
  <c r="BA386" i="3"/>
  <c r="AZ386" i="3" s="1"/>
  <c r="BA392" i="3"/>
  <c r="AZ392" i="3" s="1"/>
  <c r="AZ397" i="3"/>
  <c r="BA214" i="3"/>
  <c r="AZ214" i="3" s="1"/>
  <c r="G218" i="3"/>
  <c r="BL219" i="3"/>
  <c r="AZ219" i="3" s="1"/>
  <c r="BL224" i="3"/>
  <c r="AZ224" i="3" s="1"/>
  <c r="BL230" i="3"/>
  <c r="BA235" i="3"/>
  <c r="AZ235" i="3" s="1"/>
  <c r="AZ239" i="3"/>
  <c r="BL242" i="3"/>
  <c r="AZ242" i="3" s="1"/>
  <c r="BA245" i="3"/>
  <c r="AZ245" i="3" s="1"/>
  <c r="BA248" i="3"/>
  <c r="AZ248" i="3" s="1"/>
  <c r="BL252" i="3"/>
  <c r="BA257" i="3"/>
  <c r="AZ257" i="3" s="1"/>
  <c r="AZ262" i="3"/>
  <c r="BA270" i="3"/>
  <c r="AZ270" i="3" s="1"/>
  <c r="AZ293" i="3"/>
  <c r="AZ122" i="3"/>
  <c r="BL433" i="3"/>
  <c r="AZ433" i="3" s="1"/>
  <c r="BL443" i="3"/>
  <c r="AZ443" i="3" s="1"/>
  <c r="G453" i="3"/>
  <c r="BA456" i="3"/>
  <c r="AZ456" i="3" s="1"/>
  <c r="G460" i="3"/>
  <c r="G464" i="3"/>
  <c r="BA469" i="3"/>
  <c r="AZ469" i="3" s="1"/>
  <c r="BA473" i="3"/>
  <c r="AZ473" i="3" s="1"/>
  <c r="G478" i="3"/>
  <c r="G490" i="3"/>
  <c r="G307" i="3"/>
  <c r="BL324" i="3"/>
  <c r="AZ324" i="3" s="1"/>
  <c r="BA331" i="3"/>
  <c r="AZ331" i="3" s="1"/>
  <c r="BA335" i="3"/>
  <c r="AZ335" i="3" s="1"/>
  <c r="BA350" i="3"/>
  <c r="AZ350" i="3" s="1"/>
  <c r="BL395" i="3"/>
  <c r="AZ395" i="3" s="1"/>
  <c r="G396" i="3"/>
  <c r="BA208" i="3"/>
  <c r="AZ208" i="3" s="1"/>
  <c r="BL210" i="3"/>
  <c r="BL211" i="3"/>
  <c r="G212" i="3"/>
  <c r="BA216" i="3"/>
  <c r="AZ216" i="3" s="1"/>
  <c r="BA217" i="3"/>
  <c r="AZ217" i="3" s="1"/>
  <c r="G221" i="3"/>
  <c r="BA222" i="3"/>
  <c r="AZ222" i="3" s="1"/>
  <c r="G226" i="3"/>
  <c r="BA227" i="3"/>
  <c r="AZ227" i="3" s="1"/>
  <c r="BA228" i="3"/>
  <c r="AZ228" i="3" s="1"/>
  <c r="G232" i="3"/>
  <c r="BL232" i="3"/>
  <c r="AZ232" i="3" s="1"/>
  <c r="BL237" i="3"/>
  <c r="AZ237" i="3" s="1"/>
  <c r="G238" i="3"/>
  <c r="BA240" i="3"/>
  <c r="AZ240" i="3" s="1"/>
  <c r="BA250" i="3"/>
  <c r="AZ250" i="3" s="1"/>
  <c r="BL254" i="3"/>
  <c r="AZ254" i="3" s="1"/>
  <c r="G255" i="3"/>
  <c r="BL259" i="3"/>
  <c r="AZ259" i="3" s="1"/>
  <c r="G260" i="3"/>
  <c r="G266" i="3"/>
  <c r="BL266" i="3"/>
  <c r="AZ266" i="3" s="1"/>
  <c r="BL267" i="3"/>
  <c r="AZ267" i="3" s="1"/>
  <c r="G268" i="3"/>
  <c r="BA272" i="3"/>
  <c r="AZ272" i="3" s="1"/>
  <c r="BL274" i="3"/>
  <c r="BL277" i="3"/>
  <c r="AZ277" i="3" s="1"/>
  <c r="BL278" i="3"/>
  <c r="G279" i="3"/>
  <c r="G284" i="3"/>
  <c r="BA285" i="3"/>
  <c r="AZ285" i="3" s="1"/>
  <c r="BL285" i="3"/>
  <c r="AZ289" i="3"/>
  <c r="BL301" i="3"/>
  <c r="AZ301" i="3" s="1"/>
  <c r="G127" i="3"/>
  <c r="AZ137" i="3"/>
  <c r="AZ177" i="3"/>
  <c r="AZ193" i="3"/>
  <c r="G287" i="3"/>
  <c r="AZ290" i="3"/>
  <c r="BA292" i="3"/>
  <c r="AZ292" i="3" s="1"/>
  <c r="G295" i="3"/>
  <c r="BL297" i="3"/>
  <c r="AZ297" i="3" s="1"/>
  <c r="BA121" i="3"/>
  <c r="AZ121" i="3" s="1"/>
  <c r="AZ134" i="3"/>
  <c r="G289" i="3"/>
  <c r="BL294" i="3"/>
  <c r="AZ294" i="3" s="1"/>
  <c r="BA117" i="3"/>
  <c r="AZ117" i="3" s="1"/>
  <c r="BL126" i="3"/>
  <c r="BA133" i="3"/>
  <c r="AZ133" i="3" s="1"/>
  <c r="BL138" i="3"/>
  <c r="AZ138" i="3" s="1"/>
  <c r="BL141" i="3"/>
  <c r="AZ141" i="3" s="1"/>
  <c r="BA148" i="3"/>
  <c r="AZ148" i="3" s="1"/>
  <c r="BA153" i="3"/>
  <c r="AZ153" i="3" s="1"/>
  <c r="BA154" i="3"/>
  <c r="AZ154" i="3" s="1"/>
  <c r="BL158" i="3"/>
  <c r="AZ158" i="3" s="1"/>
  <c r="BL161" i="3"/>
  <c r="AZ161" i="3" s="1"/>
  <c r="BL167" i="3"/>
  <c r="AZ167" i="3" s="1"/>
  <c r="BL178" i="3"/>
  <c r="AZ178" i="3" s="1"/>
  <c r="BL187" i="3"/>
  <c r="BA192" i="3"/>
  <c r="AZ192" i="3" s="1"/>
  <c r="BA197" i="3"/>
  <c r="AZ197" i="3" s="1"/>
  <c r="BA198" i="3"/>
  <c r="AZ198" i="3" s="1"/>
  <c r="BL205" i="3"/>
  <c r="BA207" i="3"/>
  <c r="AZ207" i="3" s="1"/>
  <c r="BL19" i="3"/>
  <c r="AZ19" i="3" s="1"/>
  <c r="BL23" i="3"/>
  <c r="AZ23" i="3" s="1"/>
  <c r="BA25" i="3"/>
  <c r="AZ25" i="3" s="1"/>
  <c r="BA26" i="3"/>
  <c r="AZ26" i="3" s="1"/>
  <c r="BL28" i="3"/>
  <c r="AZ28" i="3" s="1"/>
  <c r="BA30" i="3"/>
  <c r="AZ30" i="3" s="1"/>
  <c r="BL38" i="3"/>
  <c r="BA39" i="3"/>
  <c r="AZ39" i="3" s="1"/>
  <c r="AZ40" i="3"/>
  <c r="BL48" i="3"/>
  <c r="BL64" i="3"/>
  <c r="BA73" i="3"/>
  <c r="AZ73" i="3" s="1"/>
  <c r="BL77" i="3"/>
  <c r="AZ77" i="3" s="1"/>
  <c r="AZ81" i="3"/>
  <c r="AZ87" i="3"/>
  <c r="D59" i="71"/>
  <c r="O58" i="71"/>
  <c r="O59" i="71"/>
  <c r="C36" i="71"/>
  <c r="D35" i="71"/>
  <c r="D43" i="71"/>
  <c r="C44" i="71"/>
  <c r="D47" i="71"/>
  <c r="C48" i="71"/>
  <c r="Y16" i="71"/>
  <c r="Z16" i="71" s="1"/>
  <c r="Y15" i="71"/>
  <c r="Z15" i="71" s="1"/>
  <c r="BA288" i="3"/>
  <c r="AZ288" i="3" s="1"/>
  <c r="G300" i="3"/>
  <c r="BA116" i="3"/>
  <c r="AZ116" i="3" s="1"/>
  <c r="BL129" i="3"/>
  <c r="AZ129" i="3" s="1"/>
  <c r="BA132" i="3"/>
  <c r="AZ132" i="3" s="1"/>
  <c r="BA136" i="3"/>
  <c r="AZ136" i="3" s="1"/>
  <c r="BL142" i="3"/>
  <c r="AZ142" i="3" s="1"/>
  <c r="BL145" i="3"/>
  <c r="AZ145" i="3" s="1"/>
  <c r="BL151" i="3"/>
  <c r="AZ151" i="3" s="1"/>
  <c r="BL162" i="3"/>
  <c r="AZ162" i="3" s="1"/>
  <c r="BL171" i="3"/>
  <c r="AZ171" i="3" s="1"/>
  <c r="BA176" i="3"/>
  <c r="AZ176" i="3" s="1"/>
  <c r="BA181" i="3"/>
  <c r="AZ181" i="3" s="1"/>
  <c r="BA182" i="3"/>
  <c r="AZ182" i="3" s="1"/>
  <c r="BL189" i="3"/>
  <c r="AZ189" i="3" s="1"/>
  <c r="BA196" i="3"/>
  <c r="AZ196" i="3" s="1"/>
  <c r="BA201" i="3"/>
  <c r="AZ201" i="3" s="1"/>
  <c r="BA202" i="3"/>
  <c r="AZ202" i="3" s="1"/>
  <c r="BL206" i="3"/>
  <c r="AZ206" i="3" s="1"/>
  <c r="BL20" i="3"/>
  <c r="AZ20" i="3" s="1"/>
  <c r="BA22" i="3"/>
  <c r="AZ22" i="3" s="1"/>
  <c r="BL24" i="3"/>
  <c r="AZ24" i="3" s="1"/>
  <c r="BL29" i="3"/>
  <c r="AZ29" i="3" s="1"/>
  <c r="BA54" i="3"/>
  <c r="AZ54" i="3" s="1"/>
  <c r="BA70" i="3"/>
  <c r="AZ70" i="3" s="1"/>
  <c r="AC21" i="34"/>
  <c r="W21" i="34"/>
  <c r="AB23" i="71"/>
  <c r="AB19" i="71"/>
  <c r="AB16" i="71"/>
  <c r="AB20" i="71"/>
  <c r="Y26" i="71"/>
  <c r="Z26" i="71" s="1"/>
  <c r="Y25" i="71"/>
  <c r="Z25" i="71" s="1"/>
  <c r="C27" i="71"/>
  <c r="Y22" i="71"/>
  <c r="Z22" i="71" s="1"/>
  <c r="BA89" i="3"/>
  <c r="AZ89" i="3" s="1"/>
  <c r="AZ92" i="3"/>
  <c r="AZ99" i="3"/>
  <c r="S73" i="71"/>
  <c r="B72" i="71"/>
  <c r="B71" i="71" s="1"/>
  <c r="BL32" i="3"/>
  <c r="AZ32" i="3" s="1"/>
  <c r="BA38" i="3"/>
  <c r="BL42" i="3"/>
  <c r="AZ42" i="3" s="1"/>
  <c r="BA48" i="3"/>
  <c r="G54" i="3"/>
  <c r="BL58" i="3"/>
  <c r="AZ58" i="3" s="1"/>
  <c r="BA64" i="3"/>
  <c r="AZ64" i="3" s="1"/>
  <c r="G70" i="3"/>
  <c r="BA88" i="3"/>
  <c r="AZ88" i="3" s="1"/>
  <c r="BA91" i="3"/>
  <c r="AZ91" i="3" s="1"/>
  <c r="BL96" i="3"/>
  <c r="AZ96" i="3" s="1"/>
  <c r="BA100" i="3"/>
  <c r="AZ100" i="3" s="1"/>
  <c r="BL102" i="3"/>
  <c r="AZ102" i="3" s="1"/>
  <c r="BA105" i="3"/>
  <c r="AZ105" i="3" s="1"/>
  <c r="BL108" i="3"/>
  <c r="AZ108" i="3" s="1"/>
  <c r="G111" i="3"/>
  <c r="B13" i="1"/>
  <c r="E13" i="1" s="1"/>
  <c r="W21" i="21"/>
  <c r="AC21" i="21"/>
  <c r="AB21" i="21"/>
  <c r="U21" i="21"/>
  <c r="U21" i="33"/>
  <c r="AB21" i="33"/>
  <c r="AA21" i="37"/>
  <c r="S21" i="37"/>
  <c r="B75" i="43"/>
  <c r="C29" i="39"/>
  <c r="B55" i="43"/>
  <c r="AA25" i="40"/>
  <c r="S25" i="40"/>
  <c r="D80" i="71"/>
  <c r="C79" i="71"/>
  <c r="D79" i="71" s="1"/>
  <c r="X23" i="71"/>
  <c r="X18" i="71"/>
  <c r="B24" i="71"/>
  <c r="B25" i="71" s="1"/>
  <c r="S25" i="71" s="1"/>
  <c r="X19" i="71"/>
  <c r="X20" i="71"/>
  <c r="X25" i="71"/>
  <c r="X24" i="71"/>
  <c r="AB26" i="71"/>
  <c r="F28" i="71"/>
  <c r="F29" i="71" s="1"/>
  <c r="V29" i="71" s="1"/>
  <c r="AB24" i="71"/>
  <c r="AB27" i="71"/>
  <c r="X32" i="71"/>
  <c r="X28" i="71"/>
  <c r="P61" i="67"/>
  <c r="P74" i="67"/>
  <c r="X15" i="71"/>
  <c r="AA14" i="71"/>
  <c r="AB14" i="71"/>
  <c r="Y11" i="71"/>
  <c r="Z11" i="71" s="1"/>
  <c r="AB10" i="71"/>
  <c r="Y7" i="71"/>
  <c r="Z7" i="71" s="1"/>
  <c r="BL85" i="3"/>
  <c r="AZ85" i="3" s="1"/>
  <c r="BL90" i="3"/>
  <c r="AZ90" i="3" s="1"/>
  <c r="B7" i="1"/>
  <c r="E7" i="1" s="1"/>
  <c r="F3" i="35"/>
  <c r="AB29" i="39"/>
  <c r="U29" i="39"/>
  <c r="B20" i="71"/>
  <c r="B19" i="71" s="1"/>
  <c r="S21" i="71"/>
  <c r="D32" i="71"/>
  <c r="C33" i="71"/>
  <c r="E31" i="71"/>
  <c r="E32" i="71" s="1"/>
  <c r="E33" i="71" s="1"/>
  <c r="U33" i="71" s="1"/>
  <c r="AA30" i="71"/>
  <c r="F59" i="71"/>
  <c r="Q60" i="71"/>
  <c r="AB18" i="71"/>
  <c r="F20" i="71"/>
  <c r="F19" i="71" s="1"/>
  <c r="Y18" i="71"/>
  <c r="Z18" i="71" s="1"/>
  <c r="Y19" i="71"/>
  <c r="Z19" i="71" s="1"/>
  <c r="G36" i="3"/>
  <c r="G46" i="3"/>
  <c r="BL50" i="3"/>
  <c r="AZ50" i="3" s="1"/>
  <c r="BA56" i="3"/>
  <c r="AZ56" i="3" s="1"/>
  <c r="G62" i="3"/>
  <c r="BL66" i="3"/>
  <c r="AZ66" i="3" s="1"/>
  <c r="BA74" i="3"/>
  <c r="AZ74" i="3" s="1"/>
  <c r="BA79" i="3"/>
  <c r="AZ79" i="3" s="1"/>
  <c r="BL83" i="3"/>
  <c r="AZ83" i="3" s="1"/>
  <c r="BL93" i="3"/>
  <c r="AZ93" i="3" s="1"/>
  <c r="BL99" i="3"/>
  <c r="G101" i="3"/>
  <c r="BA103" i="3"/>
  <c r="AZ103" i="3" s="1"/>
  <c r="G106" i="3"/>
  <c r="BA110" i="3"/>
  <c r="AZ110" i="3" s="1"/>
  <c r="BL112" i="3"/>
  <c r="AZ112" i="3" s="1"/>
  <c r="E59" i="43"/>
  <c r="B57" i="43" s="1"/>
  <c r="I15" i="66"/>
  <c r="D1" i="66" s="1"/>
  <c r="E10" i="66" s="1"/>
  <c r="AC18" i="36"/>
  <c r="W18" i="36"/>
  <c r="T57" i="71"/>
  <c r="D57" i="71"/>
  <c r="AA28" i="71"/>
  <c r="AA25" i="71"/>
  <c r="AA20" i="71"/>
  <c r="X26" i="71"/>
  <c r="B27" i="71"/>
  <c r="B28" i="71" s="1"/>
  <c r="B29" i="71" s="1"/>
  <c r="S29" i="71" s="1"/>
  <c r="B48" i="71"/>
  <c r="B49" i="71" s="1"/>
  <c r="S49" i="71" s="1"/>
  <c r="C21" i="71"/>
  <c r="Y20" i="71"/>
  <c r="Z20" i="71" s="1"/>
  <c r="Y21" i="71"/>
  <c r="Z21" i="71" s="1"/>
  <c r="AA22" i="71"/>
  <c r="E23" i="71"/>
  <c r="E24" i="71" s="1"/>
  <c r="E25" i="71" s="1"/>
  <c r="U25" i="71" s="1"/>
  <c r="Y24" i="71"/>
  <c r="Z24" i="71" s="1"/>
  <c r="Y23" i="71"/>
  <c r="Z23" i="71" s="1"/>
  <c r="AA26" i="71"/>
  <c r="X29" i="71"/>
  <c r="X27" i="71"/>
  <c r="Y31" i="71"/>
  <c r="Z31" i="71" s="1"/>
  <c r="Y29" i="71"/>
  <c r="Z29" i="71" s="1"/>
  <c r="E36" i="71"/>
  <c r="E37" i="71" s="1"/>
  <c r="U37" i="71" s="1"/>
  <c r="E56" i="71"/>
  <c r="E57" i="71" s="1"/>
  <c r="U57" i="71" s="1"/>
  <c r="D77" i="71"/>
  <c r="C76" i="71"/>
  <c r="AD12" i="43"/>
  <c r="AD10" i="43"/>
  <c r="AA15" i="71"/>
  <c r="AA3" i="71"/>
  <c r="AA18" i="71"/>
  <c r="AB17" i="71"/>
  <c r="P27" i="6"/>
  <c r="O60" i="71"/>
  <c r="D60" i="71"/>
  <c r="AB21" i="71"/>
  <c r="AA21" i="71"/>
  <c r="Y30" i="71"/>
  <c r="Z30" i="71" s="1"/>
  <c r="AB22" i="71"/>
  <c r="AA23" i="71"/>
  <c r="F17" i="71"/>
  <c r="F16" i="71" s="1"/>
  <c r="F15" i="71" s="1"/>
  <c r="F14" i="71" s="1"/>
  <c r="F13" i="71" s="1"/>
  <c r="F12" i="71" s="1"/>
  <c r="F11" i="71" s="1"/>
  <c r="F10" i="71" s="1"/>
  <c r="C16" i="71"/>
  <c r="AB30" i="71"/>
  <c r="AB31" i="71"/>
  <c r="B15" i="71"/>
  <c r="B14" i="71" s="1"/>
  <c r="B13" i="71" s="1"/>
  <c r="X14" i="71"/>
  <c r="AA11" i="71"/>
  <c r="AB5" i="71"/>
  <c r="AB11" i="71"/>
  <c r="AA10" i="71"/>
  <c r="X21" i="71"/>
  <c r="AA27" i="71"/>
  <c r="B31" i="71"/>
  <c r="B32" i="71" s="1"/>
  <c r="B33" i="71" s="1"/>
  <c r="S33" i="71" s="1"/>
  <c r="X30" i="71"/>
  <c r="Y17" i="71"/>
  <c r="Z17" i="71" s="1"/>
  <c r="X17" i="71"/>
  <c r="AA16" i="71"/>
  <c r="Y14" i="71"/>
  <c r="Z14" i="71" s="1"/>
  <c r="AA8" i="71"/>
  <c r="AA6" i="71"/>
  <c r="X7" i="71"/>
  <c r="AA17" i="71"/>
  <c r="AB8" i="71"/>
  <c r="Y10" i="71"/>
  <c r="Z10" i="71" s="1"/>
  <c r="AB6" i="71"/>
  <c r="AA7" i="71"/>
  <c r="Y5" i="71"/>
  <c r="Z5" i="71" s="1"/>
  <c r="X8" i="71"/>
  <c r="AB7" i="71"/>
  <c r="X5" i="71"/>
  <c r="Y6" i="71"/>
  <c r="Z6" i="71" s="1"/>
  <c r="AA5" i="71"/>
  <c r="X6"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T11" i="43"/>
  <c r="V11" i="43" s="1"/>
  <c r="Y9" i="71"/>
  <c r="Z9" i="71" s="1"/>
  <c r="Y8" i="71"/>
  <c r="AA9" i="71"/>
  <c r="AB3" i="71"/>
  <c r="C35" i="43"/>
  <c r="E35" i="43" s="1"/>
  <c r="C36" i="43"/>
  <c r="E36" i="43" s="1"/>
  <c r="C39" i="43"/>
  <c r="C37" i="43"/>
  <c r="E37" i="43" s="1"/>
  <c r="X9" i="71"/>
  <c r="AB9" i="71"/>
  <c r="T15" i="43"/>
  <c r="V15" i="43" s="1"/>
  <c r="Z8" i="71"/>
  <c r="Y3" i="71"/>
  <c r="Z3" i="71" s="1"/>
  <c r="F9" i="71"/>
  <c r="F8" i="71" s="1"/>
  <c r="F7" i="71" s="1"/>
  <c r="F6" i="71" s="1"/>
  <c r="F5" i="71" s="1"/>
  <c r="AF3" i="71"/>
  <c r="P22" i="43" s="1"/>
  <c r="C29" i="43"/>
  <c r="C34" i="43"/>
  <c r="C33" i="43"/>
  <c r="T16" i="43"/>
  <c r="V16" i="43" s="1"/>
  <c r="T8" i="43"/>
  <c r="V8" i="43" s="1"/>
  <c r="C38" i="43"/>
  <c r="G36" i="43"/>
  <c r="I36" i="43" s="1"/>
  <c r="B10" i="70"/>
  <c r="B6" i="70"/>
  <c r="I1" i="73"/>
  <c r="B39" i="1" s="1"/>
  <c r="B12" i="70"/>
  <c r="B7" i="70"/>
  <c r="B11" i="70"/>
  <c r="B8" i="70"/>
  <c r="B9" i="70"/>
  <c r="B13" i="70"/>
  <c r="M22" i="15"/>
  <c r="L47" i="15"/>
  <c r="F16" i="15"/>
  <c r="M6" i="15"/>
  <c r="L48" i="67"/>
  <c r="M23" i="67"/>
  <c r="F8" i="67"/>
  <c r="F6" i="67"/>
  <c r="F16" i="67"/>
  <c r="M28" i="15"/>
  <c r="F13" i="67"/>
  <c r="M23" i="15"/>
  <c r="M9" i="15"/>
  <c r="C76" i="15"/>
  <c r="L48" i="15"/>
  <c r="L47" i="67"/>
  <c r="F7" i="67"/>
  <c r="J15" i="67"/>
  <c r="F13" i="15"/>
  <c r="F42" i="15"/>
  <c r="F43" i="67"/>
  <c r="D4" i="73"/>
  <c r="M29" i="15"/>
  <c r="M26" i="15"/>
  <c r="M24" i="15"/>
  <c r="M27" i="15"/>
  <c r="F36" i="67"/>
  <c r="M22" i="67"/>
  <c r="F41" i="15"/>
  <c r="M27" i="67"/>
  <c r="D5" i="73"/>
  <c r="F40" i="15"/>
  <c r="M8" i="15"/>
  <c r="F8" i="15"/>
  <c r="F9" i="67"/>
  <c r="F38" i="67"/>
  <c r="F26" i="67"/>
  <c r="M6" i="67"/>
  <c r="M8" i="67"/>
  <c r="F43" i="15"/>
  <c r="M28" i="67"/>
  <c r="D3" i="73"/>
  <c r="F9" i="15"/>
  <c r="F37" i="15"/>
  <c r="F26" i="15"/>
  <c r="F42" i="67"/>
  <c r="F37" i="67"/>
  <c r="F41" i="67"/>
  <c r="F40" i="67"/>
  <c r="F38" i="15"/>
  <c r="M26" i="67"/>
  <c r="M24" i="67"/>
  <c r="D6" i="73"/>
  <c r="F7" i="15"/>
  <c r="J15" i="15"/>
  <c r="F6" i="15"/>
  <c r="M29" i="67"/>
  <c r="C76" i="67"/>
  <c r="D7" i="73"/>
  <c r="F36" i="15"/>
  <c r="M9" i="67"/>
  <c r="C48" i="69" l="1"/>
  <c r="C30" i="11"/>
  <c r="C48" i="11"/>
  <c r="K1" i="73"/>
  <c r="E20" i="43"/>
  <c r="M28" i="43" s="1"/>
  <c r="J7" i="36"/>
  <c r="D109" i="43"/>
  <c r="F103" i="43"/>
  <c r="F102" i="43"/>
  <c r="D103" i="43"/>
  <c r="D106" i="43"/>
  <c r="F105" i="43"/>
  <c r="F109" i="43"/>
  <c r="B118" i="43"/>
  <c r="C118" i="43" s="1"/>
  <c r="I107" i="43"/>
  <c r="G118" i="43"/>
  <c r="H118" i="43" s="1"/>
  <c r="Q16" i="1"/>
  <c r="F28" i="12" s="1"/>
  <c r="H16" i="1"/>
  <c r="G16" i="1"/>
  <c r="H10" i="40" s="1"/>
  <c r="AB10" i="40" s="1"/>
  <c r="F69" i="67"/>
  <c r="C27" i="67"/>
  <c r="F71" i="67"/>
  <c r="Q71" i="67"/>
  <c r="M7" i="67"/>
  <c r="J6" i="67" s="1"/>
  <c r="J18" i="67" s="1"/>
  <c r="F50" i="67"/>
  <c r="F68" i="67"/>
  <c r="F65" i="67"/>
  <c r="F66" i="67"/>
  <c r="F64" i="67"/>
  <c r="L59" i="67"/>
  <c r="Q61" i="67" s="1"/>
  <c r="L58" i="67"/>
  <c r="Q60" i="67" s="1"/>
  <c r="N59" i="67"/>
  <c r="J57" i="67"/>
  <c r="J55" i="67" s="1"/>
  <c r="J58" i="67" s="1"/>
  <c r="Q50" i="67" s="1"/>
  <c r="L56" i="67"/>
  <c r="I54" i="67"/>
  <c r="F70" i="67"/>
  <c r="J57" i="15"/>
  <c r="J55" i="15" s="1"/>
  <c r="J58" i="15" s="1"/>
  <c r="Q50" i="15" s="1"/>
  <c r="I54" i="15"/>
  <c r="C6" i="15"/>
  <c r="C32" i="15" s="1"/>
  <c r="F31" i="15"/>
  <c r="C27" i="15"/>
  <c r="F51" i="15"/>
  <c r="Q71" i="15"/>
  <c r="F64" i="15"/>
  <c r="F65" i="15"/>
  <c r="F71" i="15"/>
  <c r="L58" i="15"/>
  <c r="Q60" i="15" s="1"/>
  <c r="L59" i="15"/>
  <c r="Q74" i="15" s="1"/>
  <c r="N59" i="15"/>
  <c r="F66" i="15"/>
  <c r="M7" i="15"/>
  <c r="J6" i="15" s="1"/>
  <c r="J18" i="15" s="1"/>
  <c r="F50" i="15"/>
  <c r="F68" i="15"/>
  <c r="F69" i="15"/>
  <c r="M102" i="43"/>
  <c r="M104" i="43"/>
  <c r="B115" i="43"/>
  <c r="I115" i="43"/>
  <c r="J115" i="43" s="1"/>
  <c r="K115" i="43" s="1"/>
  <c r="L115" i="43" s="1"/>
  <c r="M115" i="43" s="1"/>
  <c r="B116" i="43"/>
  <c r="C116" i="43" s="1"/>
  <c r="D118" i="43"/>
  <c r="E118" i="43" s="1"/>
  <c r="F118" i="43" s="1"/>
  <c r="I118" i="43"/>
  <c r="J118" i="43" s="1"/>
  <c r="K118" i="43" s="1"/>
  <c r="L118" i="43" s="1"/>
  <c r="M118" i="43" s="1"/>
  <c r="I109" i="43"/>
  <c r="I106" i="43"/>
  <c r="E106" i="43"/>
  <c r="E107" i="43"/>
  <c r="M107" i="43"/>
  <c r="M109" i="43"/>
  <c r="E109" i="43"/>
  <c r="E104" i="43"/>
  <c r="N102" i="43"/>
  <c r="N106" i="43"/>
  <c r="N109" i="43"/>
  <c r="N107" i="43"/>
  <c r="N105" i="43"/>
  <c r="N103" i="43"/>
  <c r="M106" i="43"/>
  <c r="E102" i="43"/>
  <c r="E105" i="43"/>
  <c r="D104" i="43"/>
  <c r="D105" i="43"/>
  <c r="J104" i="43"/>
  <c r="J106" i="43"/>
  <c r="J103" i="43"/>
  <c r="J105" i="43"/>
  <c r="J102" i="43"/>
  <c r="J109" i="43"/>
  <c r="AD13" i="43"/>
  <c r="G105" i="43"/>
  <c r="G102" i="43"/>
  <c r="G103" i="43"/>
  <c r="G109" i="43"/>
  <c r="G104" i="43"/>
  <c r="N104" i="43"/>
  <c r="M105" i="43"/>
  <c r="E103" i="43"/>
  <c r="H102" i="43"/>
  <c r="H104" i="43"/>
  <c r="H109" i="43"/>
  <c r="H107" i="43"/>
  <c r="H105" i="43"/>
  <c r="H103" i="43"/>
  <c r="H106" i="43"/>
  <c r="C104" i="43"/>
  <c r="C105" i="43"/>
  <c r="C106" i="43"/>
  <c r="C103" i="43"/>
  <c r="C109" i="43"/>
  <c r="C107" i="43"/>
  <c r="C102" i="43"/>
  <c r="L102" i="43"/>
  <c r="L104" i="43"/>
  <c r="L106" i="43"/>
  <c r="L103" i="43"/>
  <c r="L109" i="43"/>
  <c r="L107" i="43"/>
  <c r="L105" i="43"/>
  <c r="F27" i="69"/>
  <c r="F27" i="68"/>
  <c r="F27" i="11"/>
  <c r="F31" i="67"/>
  <c r="C6" i="67"/>
  <c r="C32" i="67" s="1"/>
  <c r="F51" i="67"/>
  <c r="D76" i="71"/>
  <c r="C75" i="71"/>
  <c r="D75" i="71" s="1"/>
  <c r="AC31" i="39"/>
  <c r="W31" i="39"/>
  <c r="AC23" i="36"/>
  <c r="W23" i="36"/>
  <c r="AB28" i="34"/>
  <c r="U28" i="34"/>
  <c r="F48" i="68"/>
  <c r="C48" i="68"/>
  <c r="C30" i="68"/>
  <c r="W33" i="36"/>
  <c r="AC33" i="36"/>
  <c r="AB44" i="39"/>
  <c r="U44" i="39"/>
  <c r="AB27" i="34"/>
  <c r="U27" i="34"/>
  <c r="AC12" i="21"/>
  <c r="W12" i="21"/>
  <c r="AA45" i="21"/>
  <c r="S45" i="21"/>
  <c r="BL5" i="3"/>
  <c r="D121" i="9"/>
  <c r="D7" i="52" s="1"/>
  <c r="D6" i="52"/>
  <c r="BA5" i="3"/>
  <c r="E27" i="6" s="1"/>
  <c r="D20" i="53"/>
  <c r="B40" i="72" s="1"/>
  <c r="B38" i="72"/>
  <c r="T5" i="43"/>
  <c r="V5" i="43" s="1"/>
  <c r="T3" i="43"/>
  <c r="V3" i="43" s="1"/>
  <c r="T13" i="43"/>
  <c r="V13" i="43" s="1"/>
  <c r="T10" i="43"/>
  <c r="V10" i="43" s="1"/>
  <c r="T6" i="43"/>
  <c r="V6" i="43" s="1"/>
  <c r="J7" i="37"/>
  <c r="H7" i="34"/>
  <c r="AB7" i="34" s="1"/>
  <c r="T49" i="34" s="1"/>
  <c r="G49" i="34" s="1"/>
  <c r="B12" i="71"/>
  <c r="B11" i="71" s="1"/>
  <c r="B10" i="71" s="1"/>
  <c r="B9" i="71" s="1"/>
  <c r="S13" i="71"/>
  <c r="Q59" i="71"/>
  <c r="Q58" i="71"/>
  <c r="AZ48" i="3"/>
  <c r="D48" i="71"/>
  <c r="C49" i="71"/>
  <c r="AB38" i="37"/>
  <c r="U38" i="37"/>
  <c r="AB9" i="36"/>
  <c r="U9" i="36"/>
  <c r="AB35" i="39"/>
  <c r="U35" i="39"/>
  <c r="AC12" i="40"/>
  <c r="W12" i="40"/>
  <c r="W30" i="34"/>
  <c r="AC30" i="34"/>
  <c r="AC45" i="39"/>
  <c r="W45" i="39"/>
  <c r="W13" i="37"/>
  <c r="AC13" i="37"/>
  <c r="S24" i="35"/>
  <c r="AA24" i="35"/>
  <c r="AC28" i="34"/>
  <c r="W28" i="34"/>
  <c r="E28" i="6"/>
  <c r="F30" i="6"/>
  <c r="F31" i="6" s="1"/>
  <c r="U12" i="37"/>
  <c r="AB12" i="37"/>
  <c r="AA27" i="34"/>
  <c r="S27" i="34"/>
  <c r="S12" i="21"/>
  <c r="AA12" i="21"/>
  <c r="W45" i="21"/>
  <c r="AC45" i="21"/>
  <c r="E12" i="6"/>
  <c r="E13" i="6"/>
  <c r="E10" i="6"/>
  <c r="E14" i="6"/>
  <c r="E15" i="6"/>
  <c r="D16" i="71"/>
  <c r="C15" i="71"/>
  <c r="T33" i="71"/>
  <c r="D33" i="71"/>
  <c r="AC34" i="35"/>
  <c r="W34" i="35"/>
  <c r="S38" i="37"/>
  <c r="AA38" i="37"/>
  <c r="AC26" i="33"/>
  <c r="W26" i="33"/>
  <c r="AB12" i="40"/>
  <c r="U12" i="40"/>
  <c r="J7" i="34"/>
  <c r="W7" i="34" s="1"/>
  <c r="C37" i="71"/>
  <c r="D36" i="71"/>
  <c r="W25" i="37"/>
  <c r="AC25" i="37"/>
  <c r="AA13" i="40"/>
  <c r="S13" i="40"/>
  <c r="U26" i="33"/>
  <c r="AB26" i="33"/>
  <c r="AB40" i="40"/>
  <c r="U40" i="40"/>
  <c r="AB14" i="39"/>
  <c r="U14" i="39"/>
  <c r="W46" i="34"/>
  <c r="AC46" i="34"/>
  <c r="AA31" i="33"/>
  <c r="S31" i="33"/>
  <c r="U45" i="39"/>
  <c r="AB45" i="39"/>
  <c r="AB13" i="37"/>
  <c r="U13" i="37"/>
  <c r="AC24" i="35"/>
  <c r="W24" i="35"/>
  <c r="AA33" i="36"/>
  <c r="S33" i="36"/>
  <c r="S12" i="37"/>
  <c r="AA12" i="37"/>
  <c r="W25" i="36"/>
  <c r="AC25" i="36"/>
  <c r="W27" i="34"/>
  <c r="AC27" i="34"/>
  <c r="F68" i="39"/>
  <c r="E70" i="39"/>
  <c r="E11" i="6"/>
  <c r="D27" i="71"/>
  <c r="C28" i="71"/>
  <c r="S9" i="36"/>
  <c r="AA9" i="36"/>
  <c r="W35" i="39"/>
  <c r="AC35" i="39"/>
  <c r="U30" i="34"/>
  <c r="AB30" i="34"/>
  <c r="B20" i="31"/>
  <c r="B21" i="31" s="1"/>
  <c r="G35" i="43"/>
  <c r="I35" i="43" s="1"/>
  <c r="T2" i="43"/>
  <c r="V2" i="43" s="1"/>
  <c r="T4" i="43"/>
  <c r="V4" i="43" s="1"/>
  <c r="T9" i="43"/>
  <c r="V9" i="43" s="1"/>
  <c r="K120" i="9"/>
  <c r="F7" i="36"/>
  <c r="H7" i="36"/>
  <c r="F7" i="34"/>
  <c r="S7" i="34" s="1"/>
  <c r="C20" i="71"/>
  <c r="D21" i="71"/>
  <c r="U21" i="71" s="1"/>
  <c r="T21" i="71"/>
  <c r="AZ38" i="3"/>
  <c r="D44" i="71"/>
  <c r="C45" i="71"/>
  <c r="AA34" i="35"/>
  <c r="S34" i="35"/>
  <c r="AB13" i="40"/>
  <c r="U13" i="40"/>
  <c r="AA26" i="33"/>
  <c r="S26" i="33"/>
  <c r="W40" i="40"/>
  <c r="AC40" i="40"/>
  <c r="S14" i="39"/>
  <c r="AA14" i="39"/>
  <c r="AA46" i="34"/>
  <c r="S46" i="34"/>
  <c r="U31" i="33"/>
  <c r="AB31" i="33"/>
  <c r="U31" i="39"/>
  <c r="AB31" i="39"/>
  <c r="AB23" i="36"/>
  <c r="U23" i="36"/>
  <c r="AB33" i="36"/>
  <c r="U33" i="36"/>
  <c r="AA44" i="39"/>
  <c r="S44" i="39"/>
  <c r="AZ5" i="3"/>
  <c r="W12" i="37"/>
  <c r="AC12" i="37"/>
  <c r="AA25" i="36"/>
  <c r="S25" i="36"/>
  <c r="U12" i="21"/>
  <c r="AB12" i="21"/>
  <c r="P6" i="1"/>
  <c r="C13" i="12" s="1"/>
  <c r="U45" i="21"/>
  <c r="AB45" i="21"/>
  <c r="G5" i="3"/>
  <c r="B3" i="3" s="1"/>
  <c r="E287" i="3" s="1"/>
  <c r="E8" i="71"/>
  <c r="E7" i="71" s="1"/>
  <c r="E6" i="71" s="1"/>
  <c r="E5" i="71" s="1"/>
  <c r="V9" i="71"/>
  <c r="H7" i="37"/>
  <c r="AB7" i="37" s="1"/>
  <c r="T42" i="37" s="1"/>
  <c r="G42" i="37" s="1"/>
  <c r="U10" i="40"/>
  <c r="H7" i="33"/>
  <c r="J7" i="33"/>
  <c r="D65" i="40"/>
  <c r="E63" i="40"/>
  <c r="F48" i="35"/>
  <c r="S7" i="36"/>
  <c r="AA7" i="36"/>
  <c r="R36" i="36" s="1"/>
  <c r="AC7" i="37"/>
  <c r="V42" i="37" s="1"/>
  <c r="I42" i="37" s="1"/>
  <c r="W7" i="37"/>
  <c r="U7" i="37"/>
  <c r="AB7" i="36"/>
  <c r="T36" i="36" s="1"/>
  <c r="G36" i="36" s="1"/>
  <c r="U7" i="36"/>
  <c r="U7" i="34"/>
  <c r="F7" i="33"/>
  <c r="E58" i="21"/>
  <c r="AC7" i="36"/>
  <c r="V36" i="36" s="1"/>
  <c r="I36" i="36" s="1"/>
  <c r="W7" i="36"/>
  <c r="F7" i="37"/>
  <c r="G37" i="43"/>
  <c r="I37" i="43" s="1"/>
  <c r="P24" i="43"/>
  <c r="B66" i="40" s="1"/>
  <c r="P21" i="43"/>
  <c r="E39" i="43"/>
  <c r="G39" i="43"/>
  <c r="I39" i="43" s="1"/>
  <c r="P25" i="43"/>
  <c r="P23" i="43"/>
  <c r="B71" i="39" s="1"/>
  <c r="C30" i="43"/>
  <c r="E30" i="43" s="1"/>
  <c r="E29" i="43"/>
  <c r="E38" i="43"/>
  <c r="G38" i="43"/>
  <c r="I38" i="43" s="1"/>
  <c r="G34" i="43"/>
  <c r="I34" i="43" s="1"/>
  <c r="E34" i="43"/>
  <c r="G33" i="43"/>
  <c r="I33" i="43" s="1"/>
  <c r="E33" i="43"/>
  <c r="M11" i="67"/>
  <c r="J10" i="67" s="1"/>
  <c r="F11" i="15"/>
  <c r="M11" i="15"/>
  <c r="F11" i="67"/>
  <c r="B2" i="70"/>
  <c r="B3" i="70" s="1"/>
  <c r="C16" i="67"/>
  <c r="G1" i="73"/>
  <c r="C16" i="15"/>
  <c r="C14" i="67"/>
  <c r="C17" i="67"/>
  <c r="C17" i="15"/>
  <c r="C14" i="15"/>
  <c r="C18" i="67" l="1"/>
  <c r="C15" i="67"/>
  <c r="P28" i="43"/>
  <c r="M17" i="67"/>
  <c r="N28" i="43"/>
  <c r="F59" i="67"/>
  <c r="O28" i="43"/>
  <c r="B40" i="1"/>
  <c r="F25" i="12" s="1"/>
  <c r="AC7" i="34"/>
  <c r="V49" i="34" s="1"/>
  <c r="I49" i="34" s="1"/>
  <c r="AA7" i="34"/>
  <c r="R49" i="34" s="1"/>
  <c r="F10" i="39"/>
  <c r="S10" i="39" s="1"/>
  <c r="C49" i="67"/>
  <c r="Q73" i="15"/>
  <c r="Q74" i="67"/>
  <c r="J10" i="39"/>
  <c r="H10" i="39"/>
  <c r="F10" i="40"/>
  <c r="J10" i="40"/>
  <c r="AC10" i="40" s="1"/>
  <c r="Q61" i="15"/>
  <c r="J5" i="67"/>
  <c r="J26" i="67" s="1"/>
  <c r="J29" i="67" s="1"/>
  <c r="Q73" i="67"/>
  <c r="J10" i="15"/>
  <c r="J5" i="15" s="1"/>
  <c r="J24" i="15" s="1"/>
  <c r="M17" i="15"/>
  <c r="C15" i="15"/>
  <c r="C18" i="15"/>
  <c r="C49" i="15"/>
  <c r="F59" i="15"/>
  <c r="C115" i="43"/>
  <c r="D113" i="43"/>
  <c r="C26" i="43"/>
  <c r="C47" i="11"/>
  <c r="D45" i="11" s="1"/>
  <c r="C47" i="68"/>
  <c r="D45" i="68" s="1"/>
  <c r="F45" i="68"/>
  <c r="F45" i="69"/>
  <c r="C29" i="69"/>
  <c r="D27" i="69" s="1"/>
  <c r="C47" i="69"/>
  <c r="D45" i="69" s="1"/>
  <c r="AY6" i="3"/>
  <c r="E3" i="6"/>
  <c r="E464" i="3"/>
  <c r="E268" i="3"/>
  <c r="E396" i="3"/>
  <c r="E54" i="3"/>
  <c r="G68" i="39"/>
  <c r="F70" i="39"/>
  <c r="E266" i="3"/>
  <c r="T37" i="71"/>
  <c r="D37" i="71"/>
  <c r="E358" i="3"/>
  <c r="E60" i="40"/>
  <c r="E65" i="39"/>
  <c r="E62" i="39"/>
  <c r="E57" i="40"/>
  <c r="K20" i="6"/>
  <c r="K24" i="6"/>
  <c r="M24" i="6" s="1"/>
  <c r="I24" i="6" s="1"/>
  <c r="S24" i="6" s="1"/>
  <c r="K14" i="1"/>
  <c r="K21" i="6"/>
  <c r="K22" i="6"/>
  <c r="M22" i="6" s="1"/>
  <c r="I22" i="6" s="1"/>
  <c r="S22" i="6" s="1"/>
  <c r="K25" i="6"/>
  <c r="M25" i="6" s="1"/>
  <c r="I25" i="6" s="1"/>
  <c r="S25" i="6" s="1"/>
  <c r="K23" i="6"/>
  <c r="M23" i="6" s="1"/>
  <c r="I23" i="6" s="1"/>
  <c r="S23" i="6" s="1"/>
  <c r="E30" i="6"/>
  <c r="K26" i="6"/>
  <c r="M26" i="6" s="1"/>
  <c r="I26" i="6" s="1"/>
  <c r="S26" i="6" s="1"/>
  <c r="K19" i="6"/>
  <c r="S6" i="1" s="1"/>
  <c r="E552" i="3"/>
  <c r="E221" i="3"/>
  <c r="E69" i="3"/>
  <c r="E114" i="3"/>
  <c r="E278" i="3"/>
  <c r="E415" i="3"/>
  <c r="E395" i="3"/>
  <c r="E172" i="3"/>
  <c r="E445" i="3"/>
  <c r="E550" i="3"/>
  <c r="E535" i="3"/>
  <c r="E237" i="3"/>
  <c r="E217" i="3"/>
  <c r="E530" i="3"/>
  <c r="E565" i="3"/>
  <c r="E305"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20" i="3"/>
  <c r="E45" i="3"/>
  <c r="E277" i="3"/>
  <c r="E224" i="3"/>
  <c r="E177" i="3"/>
  <c r="E193" i="3"/>
  <c r="E133" i="3"/>
  <c r="E286" i="3"/>
  <c r="E312" i="3"/>
  <c r="E575" i="3"/>
  <c r="AD6" i="3"/>
  <c r="AC6" i="3" s="1"/>
  <c r="E499" i="3"/>
  <c r="E542" i="3"/>
  <c r="R6" i="3"/>
  <c r="E502" i="3"/>
  <c r="E421" i="3"/>
  <c r="E442" i="3"/>
  <c r="E466" i="3"/>
  <c r="E487" i="3"/>
  <c r="E541" i="3"/>
  <c r="E398" i="3"/>
  <c r="E430" i="3"/>
  <c r="E416" i="3"/>
  <c r="E449" i="3"/>
  <c r="E459" i="3"/>
  <c r="E374" i="3"/>
  <c r="I3" i="6"/>
  <c r="E566" i="3"/>
  <c r="AP6" i="3"/>
  <c r="E500" i="3"/>
  <c r="E554" i="3"/>
  <c r="E582" i="3"/>
  <c r="E517" i="3"/>
  <c r="E413" i="3"/>
  <c r="E491" i="3"/>
  <c r="E520" i="3"/>
  <c r="E417" i="3"/>
  <c r="E436" i="3"/>
  <c r="E479" i="3"/>
  <c r="E39" i="3"/>
  <c r="E56" i="3"/>
  <c r="E90" i="3"/>
  <c r="E37" i="3"/>
  <c r="E57" i="3"/>
  <c r="E95" i="3"/>
  <c r="E131" i="3"/>
  <c r="E152" i="3"/>
  <c r="E187" i="3"/>
  <c r="E132" i="3"/>
  <c r="E155" i="3"/>
  <c r="E192" i="3"/>
  <c r="E240" i="3"/>
  <c r="E258" i="3"/>
  <c r="E297" i="3"/>
  <c r="E241" i="3"/>
  <c r="E259" i="3"/>
  <c r="E292" i="3"/>
  <c r="E348" i="3"/>
  <c r="E378" i="3"/>
  <c r="E349" i="3"/>
  <c r="E375" i="3"/>
  <c r="E389" i="3"/>
  <c r="E504" i="3"/>
  <c r="E544" i="3"/>
  <c r="E58" i="3"/>
  <c r="E76" i="3"/>
  <c r="E110" i="3"/>
  <c r="E59" i="3"/>
  <c r="E540" i="3"/>
  <c r="E462" i="3"/>
  <c r="E521" i="3"/>
  <c r="E446" i="3"/>
  <c r="E47" i="3"/>
  <c r="E98" i="3"/>
  <c r="E65" i="3"/>
  <c r="E138" i="3"/>
  <c r="E195" i="3"/>
  <c r="E163" i="3"/>
  <c r="E248" i="3"/>
  <c r="E209" i="3"/>
  <c r="E386" i="3"/>
  <c r="E354" i="3"/>
  <c r="E584" i="3"/>
  <c r="E66" i="3"/>
  <c r="E24" i="3"/>
  <c r="E48" i="3"/>
  <c r="E87" i="3"/>
  <c r="E250" i="3"/>
  <c r="E341" i="3"/>
  <c r="Y6" i="3"/>
  <c r="E51" i="3"/>
  <c r="E19" i="3"/>
  <c r="E154" i="3"/>
  <c r="E179" i="3"/>
  <c r="E222" i="3"/>
  <c r="E323" i="3"/>
  <c r="E373" i="3"/>
  <c r="E82" i="3"/>
  <c r="E124" i="3"/>
  <c r="E270" i="3"/>
  <c r="E390" i="3"/>
  <c r="E533" i="3"/>
  <c r="S6" i="3"/>
  <c r="AR6" i="3"/>
  <c r="E523" i="3"/>
  <c r="E561" i="3"/>
  <c r="E506" i="3"/>
  <c r="E418" i="3"/>
  <c r="E439" i="3"/>
  <c r="E338" i="3"/>
  <c r="E380" i="3"/>
  <c r="E231" i="3"/>
  <c r="E298" i="3"/>
  <c r="E216" i="3"/>
  <c r="E185" i="3"/>
  <c r="E135" i="3"/>
  <c r="E161" i="3"/>
  <c r="E117" i="3"/>
  <c r="E252" i="3"/>
  <c r="E204" i="3"/>
  <c r="E145" i="3"/>
  <c r="E107" i="3"/>
  <c r="E330" i="3"/>
  <c r="E519" i="3"/>
  <c r="Q6" i="3"/>
  <c r="E573" i="3"/>
  <c r="E529" i="3"/>
  <c r="E458" i="3"/>
  <c r="E481" i="3"/>
  <c r="E406" i="3"/>
  <c r="E424" i="3"/>
  <c r="E465" i="3"/>
  <c r="E344" i="3"/>
  <c r="E562" i="3"/>
  <c r="W6" i="3"/>
  <c r="AE6" i="3"/>
  <c r="E577" i="3"/>
  <c r="E537" i="3"/>
  <c r="E450" i="3"/>
  <c r="E471" i="3"/>
  <c r="E433" i="3"/>
  <c r="E475" i="3"/>
  <c r="E72" i="3"/>
  <c r="E73" i="3"/>
  <c r="E146" i="3"/>
  <c r="E203" i="3"/>
  <c r="E171" i="3"/>
  <c r="E256" i="3"/>
  <c r="E214" i="3"/>
  <c r="E274" i="3"/>
  <c r="E315" i="3"/>
  <c r="E357" i="3"/>
  <c r="E318" i="3"/>
  <c r="E14" i="3"/>
  <c r="E31" i="3"/>
  <c r="E93" i="3"/>
  <c r="E75" i="3"/>
  <c r="E473" i="3"/>
  <c r="E15" i="3"/>
  <c r="E79" i="3"/>
  <c r="E100" i="3"/>
  <c r="E137" i="3"/>
  <c r="E234" i="3"/>
  <c r="E299" i="3"/>
  <c r="E325" i="3"/>
  <c r="AQ6" i="3"/>
  <c r="E52" i="3"/>
  <c r="E112" i="3"/>
  <c r="E123" i="3"/>
  <c r="E364" i="3"/>
  <c r="E20" i="3"/>
  <c r="E265" i="3"/>
  <c r="E524" i="3"/>
  <c r="E125" i="3"/>
  <c r="E319" i="3"/>
  <c r="E528" i="3"/>
  <c r="E553" i="3"/>
  <c r="E153" i="3"/>
  <c r="E361" i="3"/>
  <c r="N6" i="3"/>
  <c r="E328" i="3"/>
  <c r="E347" i="3"/>
  <c r="E583" i="3"/>
  <c r="AA6" i="3"/>
  <c r="X6" i="3"/>
  <c r="E399" i="3"/>
  <c r="E336" i="3"/>
  <c r="E280" i="3"/>
  <c r="E246" i="3"/>
  <c r="E293" i="3"/>
  <c r="E169" i="3"/>
  <c r="E61" i="3"/>
  <c r="E290" i="3"/>
  <c r="E207" i="3"/>
  <c r="E271" i="3"/>
  <c r="E164" i="3"/>
  <c r="E313" i="3"/>
  <c r="K6" i="3"/>
  <c r="E532" i="3"/>
  <c r="E560" i="3"/>
  <c r="E437" i="3"/>
  <c r="E472" i="3"/>
  <c r="E527" i="3"/>
  <c r="E438" i="3"/>
  <c r="E288" i="3"/>
  <c r="E587" i="3"/>
  <c r="E571" i="3"/>
  <c r="E429" i="3"/>
  <c r="E468" i="3"/>
  <c r="E496" i="3"/>
  <c r="E454" i="3"/>
  <c r="E55" i="3"/>
  <c r="E168" i="3"/>
  <c r="E150" i="3"/>
  <c r="E208" i="3"/>
  <c r="E257" i="3"/>
  <c r="E351" i="3"/>
  <c r="E394" i="3"/>
  <c r="E362" i="3"/>
  <c r="E580" i="3"/>
  <c r="E74" i="3"/>
  <c r="E32" i="3"/>
  <c r="E409" i="3"/>
  <c r="E455" i="3"/>
  <c r="E38" i="3"/>
  <c r="E170" i="3"/>
  <c r="E194" i="3"/>
  <c r="E219" i="3"/>
  <c r="E392" i="3"/>
  <c r="E147" i="3"/>
  <c r="E340" i="3"/>
  <c r="E50" i="3"/>
  <c r="E176" i="3"/>
  <c r="E365" i="3"/>
  <c r="E175" i="3"/>
  <c r="E304" i="3"/>
  <c r="E526" i="3"/>
  <c r="E343" i="3"/>
  <c r="E213" i="3"/>
  <c r="E322" i="3"/>
  <c r="E508" i="3"/>
  <c r="E302" i="3"/>
  <c r="E239" i="3"/>
  <c r="E509" i="3"/>
  <c r="E516" i="3"/>
  <c r="E579" i="3"/>
  <c r="E569" i="3"/>
  <c r="E431" i="3"/>
  <c r="E247" i="3"/>
  <c r="E229" i="3"/>
  <c r="E201" i="3"/>
  <c r="E151" i="3"/>
  <c r="E397" i="3"/>
  <c r="E314" i="3"/>
  <c r="E568" i="3"/>
  <c r="E511" i="3"/>
  <c r="I6" i="3"/>
  <c r="E536" i="3"/>
  <c r="AK6" i="3"/>
  <c r="E549" i="3"/>
  <c r="E434" i="3"/>
  <c r="E306" i="3"/>
  <c r="E368" i="3"/>
  <c r="E296" i="3"/>
  <c r="E244" i="3"/>
  <c r="E262" i="3"/>
  <c r="E196" i="3"/>
  <c r="E136" i="3"/>
  <c r="E156" i="3"/>
  <c r="E236" i="3"/>
  <c r="E148" i="3"/>
  <c r="E269" i="3"/>
  <c r="E122" i="3"/>
  <c r="E89" i="3"/>
  <c r="E140" i="3"/>
  <c r="E85" i="3"/>
  <c r="E223" i="3"/>
  <c r="E197" i="3"/>
  <c r="E116" i="3"/>
  <c r="E173" i="3"/>
  <c r="E105" i="3"/>
  <c r="E327" i="3"/>
  <c r="E379" i="3"/>
  <c r="E576" i="3"/>
  <c r="E585" i="3"/>
  <c r="Z6" i="3"/>
  <c r="U6" i="3"/>
  <c r="AG6" i="3"/>
  <c r="E515" i="3"/>
  <c r="AO6" i="3"/>
  <c r="E411" i="3"/>
  <c r="E448" i="3"/>
  <c r="E485" i="3"/>
  <c r="E548" i="3"/>
  <c r="P6" i="3"/>
  <c r="E414" i="3"/>
  <c r="E400" i="3"/>
  <c r="E432" i="3"/>
  <c r="E443" i="3"/>
  <c r="E477" i="3"/>
  <c r="E345" i="3"/>
  <c r="E367" i="3"/>
  <c r="E505" i="3"/>
  <c r="E557" i="3"/>
  <c r="E547" i="3"/>
  <c r="E581" i="3"/>
  <c r="AS6" i="3"/>
  <c r="E531" i="3"/>
  <c r="E403" i="3"/>
  <c r="E444" i="3"/>
  <c r="E476" i="3"/>
  <c r="E489" i="3"/>
  <c r="E546" i="3"/>
  <c r="E404" i="3"/>
  <c r="E447" i="3"/>
  <c r="E28" i="3"/>
  <c r="E71" i="3"/>
  <c r="E88" i="3"/>
  <c r="E27" i="3"/>
  <c r="E92" i="3"/>
  <c r="E121" i="3"/>
  <c r="E162" i="3"/>
  <c r="E182" i="3"/>
  <c r="E126" i="3"/>
  <c r="E166" i="3"/>
  <c r="E186" i="3"/>
  <c r="E211" i="3"/>
  <c r="E272" i="3"/>
  <c r="E210" i="3"/>
  <c r="E273" i="3"/>
  <c r="E291" i="3"/>
  <c r="E316" i="3"/>
  <c r="E331" i="3"/>
  <c r="E377" i="3"/>
  <c r="E334" i="3"/>
  <c r="E384" i="3"/>
  <c r="AM6" i="3"/>
  <c r="E30" i="3"/>
  <c r="E44" i="3"/>
  <c r="E109" i="3"/>
  <c r="E29" i="3"/>
  <c r="E480" i="3"/>
  <c r="E441" i="3"/>
  <c r="E484" i="3"/>
  <c r="E425" i="3"/>
  <c r="E467" i="3"/>
  <c r="E64" i="3"/>
  <c r="E103" i="3"/>
  <c r="E160" i="3"/>
  <c r="E142" i="3"/>
  <c r="E200" i="3"/>
  <c r="E267" i="3"/>
  <c r="E249" i="3"/>
  <c r="E371" i="3"/>
  <c r="E492" i="3"/>
  <c r="E23" i="3"/>
  <c r="E84" i="3"/>
  <c r="E67" i="3"/>
  <c r="E33" i="3"/>
  <c r="E144" i="3"/>
  <c r="E184" i="3"/>
  <c r="E233" i="3"/>
  <c r="E355" i="3"/>
  <c r="E381" i="3"/>
  <c r="E68" i="3"/>
  <c r="E63" i="3"/>
  <c r="E81" i="3"/>
  <c r="E118" i="3"/>
  <c r="E264" i="3"/>
  <c r="E283" i="3"/>
  <c r="E309" i="3"/>
  <c r="E513" i="3"/>
  <c r="E21" i="3"/>
  <c r="E261" i="3"/>
  <c r="E282" i="3"/>
  <c r="E329" i="3"/>
  <c r="E510" i="3"/>
  <c r="E205" i="3"/>
  <c r="E514" i="3"/>
  <c r="M6" i="3"/>
  <c r="E387" i="3"/>
  <c r="E215" i="3"/>
  <c r="E134" i="3"/>
  <c r="E180" i="3"/>
  <c r="E253" i="3"/>
  <c r="E493" i="3"/>
  <c r="E543" i="3"/>
  <c r="E486" i="3"/>
  <c r="E422" i="3"/>
  <c r="AH6" i="3"/>
  <c r="E498" i="3"/>
  <c r="E483" i="3"/>
  <c r="E463" i="3"/>
  <c r="E25" i="3"/>
  <c r="E178" i="3"/>
  <c r="E202" i="3"/>
  <c r="E346" i="3"/>
  <c r="E372" i="3"/>
  <c r="E60" i="3"/>
  <c r="E428" i="3"/>
  <c r="E96" i="3"/>
  <c r="E174" i="3"/>
  <c r="E324" i="3"/>
  <c r="E35" i="3"/>
  <c r="E206" i="3"/>
  <c r="AF6" i="3"/>
  <c r="E158" i="3"/>
  <c r="E22" i="3"/>
  <c r="E461" i="3"/>
  <c r="E149" i="3"/>
  <c r="E534" i="3"/>
  <c r="E469" i="3"/>
  <c r="E408" i="3"/>
  <c r="E497" i="3"/>
  <c r="E470" i="3"/>
  <c r="E41" i="3"/>
  <c r="E225" i="3"/>
  <c r="E391" i="3"/>
  <c r="E94" i="3"/>
  <c r="E78" i="3"/>
  <c r="E383" i="3"/>
  <c r="E183" i="3"/>
  <c r="E366" i="3"/>
  <c r="E426" i="3"/>
  <c r="E539" i="3"/>
  <c r="E165" i="3"/>
  <c r="E559" i="3"/>
  <c r="V6" i="3"/>
  <c r="E320" i="3"/>
  <c r="E230" i="3"/>
  <c r="E254" i="3"/>
  <c r="E167" i="3"/>
  <c r="E369" i="3"/>
  <c r="E405" i="3"/>
  <c r="E360" i="3"/>
  <c r="E494" i="3"/>
  <c r="E26" i="3"/>
  <c r="E198" i="3"/>
  <c r="E243" i="3"/>
  <c r="AL6" i="3"/>
  <c r="E482" i="3"/>
  <c r="E220" i="3"/>
  <c r="E86" i="3"/>
  <c r="E102" i="3"/>
  <c r="E83" i="3"/>
  <c r="E53" i="3"/>
  <c r="E227" i="3"/>
  <c r="E407" i="3"/>
  <c r="T6" i="3"/>
  <c r="E456" i="3"/>
  <c r="E451" i="3"/>
  <c r="E452" i="3"/>
  <c r="E104" i="3"/>
  <c r="E281" i="3"/>
  <c r="E488" i="3"/>
  <c r="E522" i="3"/>
  <c r="E370" i="3"/>
  <c r="E501" i="3"/>
  <c r="E503" i="3"/>
  <c r="E545" i="3"/>
  <c r="E352" i="3"/>
  <c r="E128" i="3"/>
  <c r="E311" i="3"/>
  <c r="AB6" i="3"/>
  <c r="E335" i="3"/>
  <c r="E189" i="3"/>
  <c r="E91" i="3"/>
  <c r="E77" i="3"/>
  <c r="E199" i="3"/>
  <c r="E393" i="3"/>
  <c r="E564" i="3"/>
  <c r="E427" i="3"/>
  <c r="E507" i="3"/>
  <c r="E440" i="3"/>
  <c r="E376" i="3"/>
  <c r="J6" i="3"/>
  <c r="E419" i="3"/>
  <c r="E401" i="3"/>
  <c r="E40" i="3"/>
  <c r="E108" i="3"/>
  <c r="E119" i="3"/>
  <c r="E242" i="3"/>
  <c r="E276" i="3"/>
  <c r="E333" i="3"/>
  <c r="L6" i="3"/>
  <c r="E43" i="3"/>
  <c r="E412" i="3"/>
  <c r="E129" i="3"/>
  <c r="E275" i="3"/>
  <c r="E342" i="3"/>
  <c r="E34" i="3"/>
  <c r="E251" i="3"/>
  <c r="E80" i="3"/>
  <c r="E308" i="3"/>
  <c r="E130" i="3"/>
  <c r="E141" i="3"/>
  <c r="E512" i="3"/>
  <c r="E13" i="3"/>
  <c r="E139" i="3"/>
  <c r="E356" i="3"/>
  <c r="E190" i="3"/>
  <c r="E49" i="3"/>
  <c r="E326" i="3"/>
  <c r="E567" i="3"/>
  <c r="E551" i="3"/>
  <c r="E294" i="3"/>
  <c r="E525" i="3"/>
  <c r="E556" i="3"/>
  <c r="E420" i="3"/>
  <c r="E115" i="3"/>
  <c r="E332" i="3"/>
  <c r="E42" i="3"/>
  <c r="E18" i="3"/>
  <c r="E235" i="3"/>
  <c r="E113" i="3"/>
  <c r="E17" i="3"/>
  <c r="E558" i="3"/>
  <c r="E16" i="3"/>
  <c r="E538" i="3"/>
  <c r="E321" i="3"/>
  <c r="E157" i="3"/>
  <c r="E363" i="3"/>
  <c r="E310" i="3"/>
  <c r="E317" i="3"/>
  <c r="E563" i="3"/>
  <c r="E572" i="3"/>
  <c r="E490" i="3"/>
  <c r="E127" i="3"/>
  <c r="E36" i="3"/>
  <c r="C19" i="71"/>
  <c r="D19" i="71" s="1"/>
  <c r="D20" i="71"/>
  <c r="E289" i="3"/>
  <c r="E435" i="3"/>
  <c r="E279" i="3"/>
  <c r="E46" i="3"/>
  <c r="E460" i="3"/>
  <c r="E59" i="40"/>
  <c r="E64" i="39"/>
  <c r="E457" i="3"/>
  <c r="E238" i="3"/>
  <c r="T49" i="71"/>
  <c r="D49" i="71"/>
  <c r="E70" i="3"/>
  <c r="E101" i="3"/>
  <c r="E226" i="3"/>
  <c r="D45" i="71"/>
  <c r="T45" i="71"/>
  <c r="E62" i="3"/>
  <c r="E218" i="3"/>
  <c r="C29" i="71"/>
  <c r="D28" i="71"/>
  <c r="E61" i="39"/>
  <c r="E56" i="40"/>
  <c r="E453" i="3"/>
  <c r="E295" i="3"/>
  <c r="E106" i="3"/>
  <c r="E212" i="3"/>
  <c r="C14" i="71"/>
  <c r="D15" i="71"/>
  <c r="E16" i="6"/>
  <c r="E474" i="3"/>
  <c r="E255" i="3"/>
  <c r="E111" i="3"/>
  <c r="B8" i="71"/>
  <c r="B7" i="71" s="1"/>
  <c r="B6" i="71" s="1"/>
  <c r="B5" i="71" s="1"/>
  <c r="S9" i="71"/>
  <c r="E31" i="6"/>
  <c r="E260" i="3"/>
  <c r="E478" i="3"/>
  <c r="E307" i="3"/>
  <c r="E232" i="3"/>
  <c r="E58" i="40"/>
  <c r="E63" i="39"/>
  <c r="E570" i="3"/>
  <c r="E339" i="3"/>
  <c r="E284" i="3"/>
  <c r="E300"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C53" i="67"/>
  <c r="C10" i="67"/>
  <c r="C5" i="67" s="1"/>
  <c r="C53" i="15"/>
  <c r="C10" i="15"/>
  <c r="C5" i="15" s="1"/>
  <c r="E6" i="76"/>
  <c r="C48" i="67" l="1"/>
  <c r="C60" i="67" s="1"/>
  <c r="W10" i="40"/>
  <c r="F22" i="11"/>
  <c r="F24" i="67"/>
  <c r="C24" i="67" s="1"/>
  <c r="F24" i="15"/>
  <c r="C24" i="15" s="1"/>
  <c r="F22" i="69"/>
  <c r="F41" i="69" s="1"/>
  <c r="F22" i="68"/>
  <c r="F41" i="68" s="1"/>
  <c r="AA10" i="39"/>
  <c r="J26" i="15"/>
  <c r="J29" i="15" s="1"/>
  <c r="S10" i="40"/>
  <c r="AA10" i="40"/>
  <c r="AR6" i="1"/>
  <c r="AQ6" i="1"/>
  <c r="T6" i="1"/>
  <c r="AB10" i="39"/>
  <c r="U10" i="39"/>
  <c r="M21" i="6"/>
  <c r="I21" i="6" s="1"/>
  <c r="S21" i="6" s="1"/>
  <c r="S8" i="1"/>
  <c r="M20" i="6"/>
  <c r="I20" i="6" s="1"/>
  <c r="S20" i="6" s="1"/>
  <c r="S7" i="1"/>
  <c r="S16" i="1" s="1"/>
  <c r="AC10" i="39"/>
  <c r="W10" i="39"/>
  <c r="J24" i="67"/>
  <c r="C19" i="15"/>
  <c r="C20" i="15" s="1"/>
  <c r="C26" i="15" s="1"/>
  <c r="C48" i="15"/>
  <c r="C60" i="15" s="1"/>
  <c r="H6" i="3"/>
  <c r="E6" i="3" s="1"/>
  <c r="E66" i="39"/>
  <c r="M14" i="1"/>
  <c r="C34" i="69"/>
  <c r="K16" i="1"/>
  <c r="H68" i="39"/>
  <c r="G70" i="39"/>
  <c r="M19" i="6"/>
  <c r="K27" i="6"/>
  <c r="C17" i="4"/>
  <c r="B4" i="52" s="1"/>
  <c r="B43" i="72" s="1"/>
  <c r="L18" i="9"/>
  <c r="D3" i="34"/>
  <c r="E6" i="6"/>
  <c r="D14" i="12"/>
  <c r="L6" i="12" s="1"/>
  <c r="D3" i="21"/>
  <c r="D19" i="11"/>
  <c r="C19" i="11" s="1"/>
  <c r="D3" i="37"/>
  <c r="D3" i="33"/>
  <c r="M18" i="9"/>
  <c r="B118" i="9" s="1"/>
  <c r="B14" i="74" s="1"/>
  <c r="B1" i="74" s="1"/>
  <c r="D37" i="11"/>
  <c r="D14" i="71"/>
  <c r="C13" i="71"/>
  <c r="T29" i="71"/>
  <c r="D29"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6" i="3"/>
  <c r="AY289" i="3"/>
  <c r="AY183" i="3"/>
  <c r="AY261" i="3"/>
  <c r="AY284" i="3"/>
  <c r="AY252" i="3"/>
  <c r="AY363" i="3"/>
  <c r="AY319" i="3"/>
  <c r="AY489" i="3"/>
  <c r="AY412" i="3"/>
  <c r="AY497" i="3"/>
  <c r="AY43" i="3"/>
  <c r="AY229" i="3"/>
  <c r="AY212" i="3"/>
  <c r="AY379" i="3"/>
  <c r="AY343" i="3"/>
  <c r="AY478" i="3"/>
  <c r="AY436" i="3"/>
  <c r="AY417" i="3"/>
  <c r="AY557" i="3"/>
  <c r="AY540" i="3"/>
  <c r="AY539" i="3"/>
  <c r="AY105" i="3"/>
  <c r="AY100" i="3"/>
  <c r="AY69" i="3"/>
  <c r="AY52" i="3"/>
  <c r="AY20" i="3"/>
  <c r="AY198" i="3"/>
  <c r="AY193" i="3"/>
  <c r="AY173" i="3"/>
  <c r="AY141" i="3"/>
  <c r="AY134" i="3"/>
  <c r="AY291" i="3"/>
  <c r="AY255" i="3"/>
  <c r="AY270" i="3"/>
  <c r="AY238" i="3"/>
  <c r="AY227" i="3"/>
  <c r="AY373" i="3"/>
  <c r="AY368" i="3"/>
  <c r="AY507" i="3"/>
  <c r="BB6" i="3"/>
  <c r="AY88" i="3"/>
  <c r="AY29" i="3"/>
  <c r="AY181" i="3"/>
  <c r="AY161" i="3"/>
  <c r="AY121" i="3"/>
  <c r="AY258" i="3"/>
  <c r="AY215" i="3"/>
  <c r="AY370" i="3"/>
  <c r="AY341" i="3"/>
  <c r="AY309" i="3"/>
  <c r="AY483" i="3"/>
  <c r="AY480" i="3"/>
  <c r="AY449" i="3"/>
  <c r="AY438" i="3"/>
  <c r="AY406" i="3"/>
  <c r="AY503" i="3"/>
  <c r="AY580" i="3"/>
  <c r="AY572" i="3"/>
  <c r="AY536" i="3"/>
  <c r="AY520" i="3"/>
  <c r="AY552" i="3"/>
  <c r="AY532" i="3"/>
  <c r="AY496" i="3"/>
  <c r="AY523" i="3"/>
  <c r="AY81" i="3"/>
  <c r="AY64" i="3"/>
  <c r="AY174" i="3"/>
  <c r="AY153" i="3"/>
  <c r="AY113" i="3"/>
  <c r="AY267" i="3"/>
  <c r="AY250" i="3"/>
  <c r="AY361" i="3"/>
  <c r="AY337" i="3"/>
  <c r="AY305" i="3"/>
  <c r="AY320" i="3"/>
  <c r="AY479" i="3"/>
  <c r="AY476" i="3"/>
  <c r="AY434" i="3"/>
  <c r="AY402" i="3"/>
  <c r="AY415" i="3"/>
  <c r="AY505" i="3"/>
  <c r="AY538" i="3"/>
  <c r="AY515" i="3"/>
  <c r="AY551" i="3"/>
  <c r="AY545" i="3"/>
  <c r="BP6" i="3"/>
  <c r="AY493" i="3"/>
  <c r="AY62" i="3"/>
  <c r="AY19" i="3"/>
  <c r="AY172" i="3"/>
  <c r="AY151" i="3"/>
  <c r="AY301" i="3"/>
  <c r="AY248" i="3"/>
  <c r="AY394" i="3"/>
  <c r="AY359" i="3"/>
  <c r="AY315" i="3"/>
  <c r="AY485" i="3"/>
  <c r="AY408" i="3"/>
  <c r="AY500" i="3"/>
  <c r="AY547" i="3"/>
  <c r="AY568" i="3"/>
  <c r="AY107" i="3"/>
  <c r="AY54" i="3"/>
  <c r="AY200" i="3"/>
  <c r="AY164" i="3"/>
  <c r="AY143" i="3"/>
  <c r="AY293" i="3"/>
  <c r="AY240" i="3"/>
  <c r="AY386" i="3"/>
  <c r="AY351" i="3"/>
  <c r="AY307" i="3"/>
  <c r="AY477" i="3"/>
  <c r="AY400" i="3"/>
  <c r="AY521" i="3"/>
  <c r="AY566" i="3"/>
  <c r="BT6" i="3"/>
  <c r="AY103" i="3"/>
  <c r="AY67" i="3"/>
  <c r="AY50" i="3"/>
  <c r="AY160" i="3"/>
  <c r="AY139" i="3"/>
  <c r="AY74" i="3"/>
  <c r="AY123" i="3"/>
  <c r="AY204" i="3"/>
  <c r="AY209" i="3"/>
  <c r="AY455" i="3"/>
  <c r="AY116" i="3"/>
  <c r="AY326" i="3"/>
  <c r="AY573" i="3"/>
  <c r="AY84" i="3"/>
  <c r="AY162" i="3"/>
  <c r="AY286" i="3"/>
  <c r="AY384" i="3"/>
  <c r="AY72" i="3"/>
  <c r="AY275" i="3"/>
  <c r="AY324" i="3"/>
  <c r="AY419" i="3"/>
  <c r="AY543" i="3"/>
  <c r="AY21" i="3"/>
  <c r="AY396" i="3"/>
  <c r="AY445" i="3"/>
  <c r="AY522" i="3"/>
  <c r="AY79" i="3"/>
  <c r="AY265" i="3"/>
  <c r="AY451" i="3"/>
  <c r="AY71" i="3"/>
  <c r="AY257" i="3"/>
  <c r="AY44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486" i="3"/>
  <c r="AY404" i="3"/>
  <c r="AY182" i="3"/>
  <c r="AY239" i="3"/>
  <c r="AY93" i="3"/>
  <c r="AY150" i="3"/>
  <c r="AY340" i="3"/>
  <c r="AY525" i="3"/>
  <c r="AY577" i="3"/>
  <c r="AY205" i="3"/>
  <c r="AY321" i="3"/>
  <c r="AY461" i="3"/>
  <c r="AY537" i="3"/>
  <c r="AY110" i="3"/>
  <c r="AY216" i="3"/>
  <c r="AY482" i="3"/>
  <c r="AY22" i="3"/>
  <c r="AY339" i="3"/>
  <c r="AY191" i="3"/>
  <c r="AY31" i="3"/>
  <c r="AY147" i="3"/>
  <c r="AY244" i="3"/>
  <c r="AY481" i="3"/>
  <c r="AY89" i="3"/>
  <c r="AY146" i="3"/>
  <c r="BS6" i="3"/>
  <c r="AY356" i="3"/>
  <c r="BN6" i="3"/>
  <c r="AY122" i="3"/>
  <c r="AY418" i="3"/>
  <c r="AY30" i="3"/>
  <c r="AY421" i="3"/>
  <c r="AY208" i="3"/>
  <c r="AY82" i="3"/>
  <c r="AY132" i="3"/>
  <c r="AY292" i="3"/>
  <c r="AY220" i="3"/>
  <c r="AY199" i="3"/>
  <c r="AY355" i="3"/>
  <c r="BO6" i="3"/>
  <c r="AY53" i="3"/>
  <c r="AY126" i="3"/>
  <c r="AY389" i="3"/>
  <c r="AY226" i="3"/>
  <c r="AY454" i="3"/>
  <c r="AY518" i="3"/>
  <c r="AY235" i="3"/>
  <c r="AY399" i="3"/>
  <c r="AY140" i="3"/>
  <c r="AY528" i="3"/>
  <c r="AY288" i="3"/>
  <c r="AY413" i="3"/>
  <c r="AY350" i="3"/>
  <c r="AY562" i="3"/>
  <c r="AY302" i="3"/>
  <c r="AY40" i="3"/>
  <c r="AY467" i="3"/>
  <c r="AY508" i="3"/>
  <c r="AY385" i="3"/>
  <c r="AY564" i="3"/>
  <c r="AY296" i="3"/>
  <c r="AY175" i="3"/>
  <c r="AY583"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347" i="3"/>
  <c r="AY425" i="3"/>
  <c r="AY36" i="3"/>
  <c r="AY222" i="3"/>
  <c r="AY279" i="3"/>
  <c r="AY435" i="3"/>
  <c r="AY49" i="3"/>
  <c r="AY304" i="3"/>
  <c r="AY548" i="3"/>
  <c r="AY102" i="3"/>
  <c r="AY474"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E2" i="76"/>
  <c r="B2" i="43"/>
  <c r="C26" i="69"/>
  <c r="D22" i="69" s="1"/>
  <c r="C38" i="67"/>
  <c r="C38" i="15"/>
  <c r="C66" i="67"/>
  <c r="B6" i="76"/>
  <c r="C23" i="67" l="1"/>
  <c r="C29" i="67" s="1"/>
  <c r="C44" i="69"/>
  <c r="D41" i="69" s="1"/>
  <c r="AQ7" i="1"/>
  <c r="AR7" i="1"/>
  <c r="T7" i="1"/>
  <c r="T8" i="1"/>
  <c r="T16" i="1" s="1"/>
  <c r="AQ8" i="1"/>
  <c r="AR8" i="1"/>
  <c r="C23" i="15"/>
  <c r="C29" i="15" s="1"/>
  <c r="J14" i="15" s="1"/>
  <c r="C66" i="15"/>
  <c r="B2" i="34"/>
  <c r="B3" i="34" s="1"/>
  <c r="C20" i="11"/>
  <c r="C12" i="71"/>
  <c r="T13" i="71"/>
  <c r="D13" i="71"/>
  <c r="U13" i="71" s="1"/>
  <c r="C8" i="74"/>
  <c r="C7" i="74"/>
  <c r="I19" i="6"/>
  <c r="M27" i="6"/>
  <c r="C35" i="69"/>
  <c r="C38" i="69"/>
  <c r="D17" i="12"/>
  <c r="C17" i="12" s="1"/>
  <c r="O14" i="1"/>
  <c r="O16" i="1" s="1"/>
  <c r="M16" i="1"/>
  <c r="D19" i="6"/>
  <c r="C18" i="4"/>
  <c r="D23" i="6"/>
  <c r="D12" i="6"/>
  <c r="D13" i="6"/>
  <c r="E61" i="40"/>
  <c r="H23" i="6"/>
  <c r="D26" i="6"/>
  <c r="D21" i="6"/>
  <c r="D11" i="6"/>
  <c r="D29" i="6"/>
  <c r="H21" i="6"/>
  <c r="M19" i="9"/>
  <c r="C118" i="9" s="1"/>
  <c r="C14" i="74" s="1"/>
  <c r="B2" i="74" s="1"/>
  <c r="H26" i="6"/>
  <c r="D25" i="6"/>
  <c r="D8" i="6"/>
  <c r="D9" i="6"/>
  <c r="H22" i="6"/>
  <c r="D15" i="6"/>
  <c r="D24" i="6"/>
  <c r="D5" i="6"/>
  <c r="D10" i="6"/>
  <c r="H25" i="6"/>
  <c r="H20" i="6"/>
  <c r="D22" i="6"/>
  <c r="D14" i="6"/>
  <c r="D6" i="6"/>
  <c r="L19" i="9"/>
  <c r="H24" i="6"/>
  <c r="D20" i="6"/>
  <c r="D28" i="6"/>
  <c r="D30" i="6" s="1"/>
  <c r="D20" i="12"/>
  <c r="C20" i="12" s="1"/>
  <c r="C18" i="12" s="1"/>
  <c r="D10" i="11"/>
  <c r="C10" i="11" s="1"/>
  <c r="D10" i="68"/>
  <c r="D10" i="69"/>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67" l="1"/>
  <c r="J22" i="67" s="1"/>
  <c r="C36" i="67"/>
  <c r="C33" i="67"/>
  <c r="J59" i="67"/>
  <c r="C57" i="67"/>
  <c r="C64" i="67" s="1"/>
  <c r="J19" i="67"/>
  <c r="C13" i="67"/>
  <c r="C37" i="67" s="1"/>
  <c r="Q49" i="67"/>
  <c r="C36" i="15"/>
  <c r="J59" i="15"/>
  <c r="J19" i="15"/>
  <c r="C33" i="15"/>
  <c r="Q49" i="15"/>
  <c r="C57" i="15"/>
  <c r="C61" i="15" s="1"/>
  <c r="C13" i="15"/>
  <c r="C56" i="15" s="1"/>
  <c r="C65" i="15" s="1"/>
  <c r="D16" i="6"/>
  <c r="R22" i="6"/>
  <c r="R21" i="6"/>
  <c r="R8" i="1" s="1"/>
  <c r="C4" i="52"/>
  <c r="B45" i="72" s="1"/>
  <c r="A7" i="51"/>
  <c r="B7" i="72" s="1"/>
  <c r="A10" i="51"/>
  <c r="B9" i="72" s="1"/>
  <c r="S19" i="6"/>
  <c r="S27" i="6" s="1"/>
  <c r="I27" i="6"/>
  <c r="I70" i="39"/>
  <c r="J68" i="39"/>
  <c r="C10" i="69"/>
  <c r="C8" i="69" s="1"/>
  <c r="C5" i="69" s="1"/>
  <c r="D19" i="69"/>
  <c r="R24" i="6"/>
  <c r="H19" i="6"/>
  <c r="H27" i="6" s="1"/>
  <c r="D27" i="6"/>
  <c r="D31" i="6" s="1"/>
  <c r="P14" i="1"/>
  <c r="P16" i="1" s="1"/>
  <c r="C11" i="12" s="1"/>
  <c r="C11" i="71"/>
  <c r="D12" i="71"/>
  <c r="D8" i="74"/>
  <c r="D7" i="74"/>
  <c r="C10" i="68"/>
  <c r="D19" i="68"/>
  <c r="R25" i="6"/>
  <c r="R26" i="6"/>
  <c r="L16" i="1"/>
  <c r="N16" i="1"/>
  <c r="B21" i="1" s="1"/>
  <c r="C28" i="11" s="1"/>
  <c r="C27" i="11" s="1"/>
  <c r="R20" i="6"/>
  <c r="R7" i="1" s="1"/>
  <c r="R23" i="6"/>
  <c r="I63" i="40"/>
  <c r="H65" i="40"/>
  <c r="I58" i="21"/>
  <c r="J58" i="21" s="1"/>
  <c r="K58" i="21" s="1"/>
  <c r="L58" i="21" s="1"/>
  <c r="M58" i="21" s="1"/>
  <c r="N58" i="21" s="1"/>
  <c r="O58" i="21" s="1"/>
  <c r="H7" i="21" s="1"/>
  <c r="J7" i="21"/>
  <c r="F7" i="21"/>
  <c r="J48" i="35"/>
  <c r="J22" i="15"/>
  <c r="J13" i="15"/>
  <c r="J23" i="15" s="1"/>
  <c r="J13" i="67" l="1"/>
  <c r="J23" i="67" s="1"/>
  <c r="C61" i="67"/>
  <c r="B23" i="1"/>
  <c r="B24" i="1"/>
  <c r="F50" i="68" s="1"/>
  <c r="C29" i="68"/>
  <c r="D27" i="68" s="1"/>
  <c r="C29" i="11"/>
  <c r="D27" i="11" s="1"/>
  <c r="C44" i="11"/>
  <c r="D41" i="11" s="1"/>
  <c r="C44" i="68"/>
  <c r="D41" i="68" s="1"/>
  <c r="C24" i="11"/>
  <c r="Q70" i="67"/>
  <c r="C75" i="67"/>
  <c r="C56" i="67"/>
  <c r="C65" i="67" s="1"/>
  <c r="C75" i="15"/>
  <c r="C37" i="15"/>
  <c r="C64" i="15"/>
  <c r="Q70" i="15"/>
  <c r="F50" i="11"/>
  <c r="C19" i="68"/>
  <c r="D37" i="68"/>
  <c r="R19" i="6"/>
  <c r="C23" i="69"/>
  <c r="I6" i="6"/>
  <c r="I5" i="6"/>
  <c r="K68" i="39"/>
  <c r="J70" i="39"/>
  <c r="C10" i="71"/>
  <c r="D11" i="71"/>
  <c r="C15" i="12"/>
  <c r="C12" i="12"/>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11" l="1"/>
  <c r="F11" i="12"/>
  <c r="F34" i="68"/>
  <c r="C37" i="68" s="1"/>
  <c r="J53" i="67"/>
  <c r="J53" i="15"/>
  <c r="M59" i="67"/>
  <c r="M59" i="15"/>
  <c r="C29" i="12"/>
  <c r="D28" i="12" s="1"/>
  <c r="C26" i="12"/>
  <c r="D25" i="12" s="1"/>
  <c r="F50" i="69"/>
  <c r="C23" i="11"/>
  <c r="C26" i="68"/>
  <c r="D22" i="68" s="1"/>
  <c r="C26" i="11"/>
  <c r="D22" i="11" s="1"/>
  <c r="C25" i="11"/>
  <c r="R27" i="6"/>
  <c r="R6" i="1"/>
  <c r="C39" i="69"/>
  <c r="C43" i="69" s="1"/>
  <c r="C42" i="69"/>
  <c r="C9" i="71"/>
  <c r="D10" i="71"/>
  <c r="K70" i="39"/>
  <c r="L68" i="39"/>
  <c r="C20" i="69"/>
  <c r="C24" i="68"/>
  <c r="W7" i="35"/>
  <c r="AC7" i="35"/>
  <c r="V38" i="35" s="1"/>
  <c r="I38" i="35" s="1"/>
  <c r="J65" i="40"/>
  <c r="K63" i="40"/>
  <c r="I52" i="21"/>
  <c r="J52" i="21" s="1"/>
  <c r="U7" i="35"/>
  <c r="AB7" i="35"/>
  <c r="T38" i="35" s="1"/>
  <c r="G38" i="35" s="1"/>
  <c r="R49" i="21"/>
  <c r="E48" i="21"/>
  <c r="G52" i="21"/>
  <c r="H52" i="21" s="1"/>
  <c r="G53" i="21"/>
  <c r="H53" i="21" s="1"/>
  <c r="F7" i="35"/>
  <c r="M21" i="67"/>
  <c r="F35" i="67"/>
  <c r="F35" i="15"/>
  <c r="M21" i="15"/>
  <c r="C22" i="11" l="1"/>
  <c r="C31" i="11" s="1"/>
  <c r="L56" i="15"/>
  <c r="Q52" i="15"/>
  <c r="F1" i="15"/>
  <c r="J60" i="15"/>
  <c r="C36" i="11"/>
  <c r="C37" i="11"/>
  <c r="C34" i="11"/>
  <c r="F1" i="67"/>
  <c r="Q52" i="67"/>
  <c r="J60" i="67"/>
  <c r="C36" i="68"/>
  <c r="C34" i="68"/>
  <c r="C23" i="12"/>
  <c r="C14" i="12"/>
  <c r="C16" i="12" s="1"/>
  <c r="C21" i="12" s="1"/>
  <c r="C22" i="12" s="1"/>
  <c r="C34" i="15"/>
  <c r="C31" i="15" s="1"/>
  <c r="C30" i="15" s="1"/>
  <c r="C39" i="15" s="1"/>
  <c r="F63" i="15"/>
  <c r="C62" i="15" s="1"/>
  <c r="C59" i="15" s="1"/>
  <c r="C58" i="15" s="1"/>
  <c r="C67" i="15" s="1"/>
  <c r="C68" i="15" s="1"/>
  <c r="J20" i="15"/>
  <c r="J17" i="15" s="1"/>
  <c r="J16" i="15" s="1"/>
  <c r="J25" i="15" s="1"/>
  <c r="F63" i="67"/>
  <c r="C62" i="67" s="1"/>
  <c r="C59" i="67" s="1"/>
  <c r="C58" i="67" s="1"/>
  <c r="C67" i="67" s="1"/>
  <c r="C68" i="67" s="1"/>
  <c r="C34" i="67"/>
  <c r="C31" i="67" s="1"/>
  <c r="C30" i="67" s="1"/>
  <c r="C39" i="67" s="1"/>
  <c r="J20" i="67"/>
  <c r="J17" i="67" s="1"/>
  <c r="J16" i="67" s="1"/>
  <c r="J25" i="67" s="1"/>
  <c r="R16" i="1"/>
  <c r="C28" i="69"/>
  <c r="C27" i="69" s="1"/>
  <c r="C25" i="69"/>
  <c r="C22" i="69" s="1"/>
  <c r="C8" i="71"/>
  <c r="T9" i="71"/>
  <c r="D9" i="71"/>
  <c r="U9" i="71" s="1"/>
  <c r="L70" i="39"/>
  <c r="M68" i="39"/>
  <c r="C41" i="69"/>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C30" i="12" l="1"/>
  <c r="C28" i="12" s="1"/>
  <c r="C27" i="12"/>
  <c r="C25" i="12" s="1"/>
  <c r="C38" i="11"/>
  <c r="C35" i="11"/>
  <c r="C33" i="11" s="1"/>
  <c r="Q48" i="15"/>
  <c r="L46" i="15"/>
  <c r="L46" i="67"/>
  <c r="Q48" i="67"/>
  <c r="C35" i="68"/>
  <c r="C38" i="68"/>
  <c r="C31" i="69"/>
  <c r="Q67" i="67"/>
  <c r="L57" i="67"/>
  <c r="L60" i="67" s="1"/>
  <c r="Q67" i="15"/>
  <c r="L57" i="15"/>
  <c r="L60" i="15" s="1"/>
  <c r="C71" i="67"/>
  <c r="C71" i="15"/>
  <c r="C80" i="67"/>
  <c r="C79" i="67" s="1"/>
  <c r="Q69" i="67"/>
  <c r="Q68" i="67" s="1"/>
  <c r="C40" i="67"/>
  <c r="C40" i="15"/>
  <c r="Q69" i="15"/>
  <c r="Q68" i="15" s="1"/>
  <c r="C80" i="15"/>
  <c r="C79" i="15" s="1"/>
  <c r="N68" i="39"/>
  <c r="M70" i="39"/>
  <c r="C49" i="69"/>
  <c r="C51" i="69" s="1"/>
  <c r="D8" i="71"/>
  <c r="C7" i="71"/>
  <c r="R39" i="35"/>
  <c r="E38" i="35"/>
  <c r="M63" i="40"/>
  <c r="L65" i="40"/>
  <c r="C32" i="12" l="1"/>
  <c r="B2" i="12" s="1"/>
  <c r="B3" i="12" s="1"/>
  <c r="C33" i="68"/>
  <c r="C42" i="68" s="1"/>
  <c r="C42" i="11"/>
  <c r="C39" i="11"/>
  <c r="C43" i="11" s="1"/>
  <c r="C52" i="69"/>
  <c r="B2" i="69" s="1"/>
  <c r="B3" i="69" s="1"/>
  <c r="C43" i="67"/>
  <c r="Q65" i="67"/>
  <c r="Q47" i="67"/>
  <c r="Q53" i="67" s="1"/>
  <c r="Q56" i="67"/>
  <c r="D2" i="67"/>
  <c r="C83" i="67"/>
  <c r="C82" i="67" s="1"/>
  <c r="Q65" i="15"/>
  <c r="B2" i="15"/>
  <c r="B3" i="15" s="1"/>
  <c r="Q47" i="15"/>
  <c r="Q53" i="15" s="1"/>
  <c r="Q56" i="15"/>
  <c r="C83" i="15"/>
  <c r="C82" i="15" s="1"/>
  <c r="C43" i="15"/>
  <c r="C46" i="15"/>
  <c r="Q57" i="67"/>
  <c r="Q66" i="67"/>
  <c r="Q57" i="15"/>
  <c r="Q66" i="15"/>
  <c r="C45" i="67"/>
  <c r="C46" i="67" s="1"/>
  <c r="C6" i="71"/>
  <c r="D7" i="71"/>
  <c r="F7" i="39"/>
  <c r="O68" i="39"/>
  <c r="O70" i="39" s="1"/>
  <c r="N70" i="39"/>
  <c r="C39" i="35"/>
  <c r="B2" i="35" s="1"/>
  <c r="B3" i="35" s="1"/>
  <c r="C38" i="35"/>
  <c r="N63" i="40"/>
  <c r="M65" i="40"/>
  <c r="E43" i="35"/>
  <c r="F43" i="35" s="1"/>
  <c r="E42" i="35"/>
  <c r="F42" i="35" s="1"/>
  <c r="I43" i="35"/>
  <c r="J43" i="35" s="1"/>
  <c r="D20" i="9"/>
  <c r="D19" i="9"/>
  <c r="D21" i="9" l="1"/>
  <c r="D102" i="9"/>
  <c r="C39" i="68"/>
  <c r="C43" i="68" s="1"/>
  <c r="C41" i="68" s="1"/>
  <c r="D103" i="9"/>
  <c r="C41" i="11"/>
  <c r="C46" i="11"/>
  <c r="C45" i="11" s="1"/>
  <c r="C57" i="69"/>
  <c r="C56" i="69" s="1"/>
  <c r="Q62" i="15"/>
  <c r="Q75" i="67"/>
  <c r="Q62" i="67"/>
  <c r="Q75" i="15"/>
  <c r="B2" i="67"/>
  <c r="B3" i="67"/>
  <c r="S7" i="39"/>
  <c r="AA7" i="39"/>
  <c r="R47" i="39" s="1"/>
  <c r="D6" i="71"/>
  <c r="C5" i="71"/>
  <c r="J7" i="39"/>
  <c r="H7" i="39"/>
  <c r="O63" i="40"/>
  <c r="O65" i="40" s="1"/>
  <c r="N65" i="40"/>
  <c r="C46" i="68" l="1"/>
  <c r="C45" i="68" s="1"/>
  <c r="C49" i="68" s="1"/>
  <c r="C51" i="68" s="1"/>
  <c r="C49" i="11"/>
  <c r="C51" i="11" s="1"/>
  <c r="C52" i="11" s="1"/>
  <c r="B2" i="11" s="1"/>
  <c r="B3" i="11" s="1"/>
  <c r="U7" i="39"/>
  <c r="AB7" i="39"/>
  <c r="T47" i="39" s="1"/>
  <c r="G47" i="39" s="1"/>
  <c r="E47" i="39"/>
  <c r="AC7" i="39"/>
  <c r="V47" i="39" s="1"/>
  <c r="I47" i="39" s="1"/>
  <c r="W7" i="39"/>
  <c r="D5" i="71"/>
  <c r="M20" i="43"/>
  <c r="J7" i="40"/>
  <c r="F7" i="40"/>
  <c r="H7" i="40"/>
  <c r="R48" i="39" l="1"/>
  <c r="C47" i="39" s="1"/>
  <c r="C56" i="11"/>
  <c r="C57" i="11" s="1"/>
  <c r="E52" i="39"/>
  <c r="F52" i="39" s="1"/>
  <c r="E51" i="39"/>
  <c r="F51" i="39" s="1"/>
  <c r="G51" i="39"/>
  <c r="H51" i="39" s="1"/>
  <c r="G52" i="39"/>
  <c r="H52" i="39" s="1"/>
  <c r="I51" i="39"/>
  <c r="J51" i="39" s="1"/>
  <c r="I52" i="39"/>
  <c r="J52" i="39" s="1"/>
  <c r="U7" i="40"/>
  <c r="AB7" i="40"/>
  <c r="T42" i="40" s="1"/>
  <c r="G42" i="40" s="1"/>
  <c r="AA7" i="40"/>
  <c r="R42" i="40" s="1"/>
  <c r="S7" i="40"/>
  <c r="AC7" i="40"/>
  <c r="V42" i="40" s="1"/>
  <c r="I42" i="40" s="1"/>
  <c r="W7" i="40"/>
  <c r="C48" i="39" l="1"/>
  <c r="B56" i="39" s="1"/>
  <c r="F56" i="39" s="1"/>
  <c r="B60" i="39"/>
  <c r="F60" i="39" s="1"/>
  <c r="B57" i="39"/>
  <c r="F57" i="39" s="1"/>
  <c r="B63" i="39"/>
  <c r="F63" i="39" s="1"/>
  <c r="B62" i="39"/>
  <c r="F62" i="39" s="1"/>
  <c r="B64" i="39"/>
  <c r="F64" i="39" s="1"/>
  <c r="B61" i="39"/>
  <c r="F61" i="39" s="1"/>
  <c r="B58" i="39"/>
  <c r="F58" i="39" s="1"/>
  <c r="B59" i="39"/>
  <c r="F59" i="39" s="1"/>
  <c r="I46" i="40"/>
  <c r="J46" i="40" s="1"/>
  <c r="R43" i="40"/>
  <c r="E42" i="40"/>
  <c r="G47" i="40"/>
  <c r="H47" i="40" s="1"/>
  <c r="G46" i="40"/>
  <c r="H46" i="40" s="1"/>
  <c r="B65" i="39" l="1"/>
  <c r="F65" i="39" s="1"/>
  <c r="F66" i="39"/>
  <c r="B2" i="39" s="1"/>
  <c r="C42" i="40"/>
  <c r="C43" i="40"/>
  <c r="E47" i="40"/>
  <c r="F47" i="40" s="1"/>
  <c r="E46" i="40"/>
  <c r="F46" i="40" s="1"/>
  <c r="I47" i="40"/>
  <c r="J47" i="40" s="1"/>
  <c r="B3" i="39" l="1"/>
  <c r="C6"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l="1"/>
  <c r="C57" i="68"/>
  <c r="C56" i="68" s="1"/>
  <c r="C19" i="9"/>
  <c r="G19" i="9" l="1"/>
  <c r="G21" i="9" s="1"/>
  <c r="C102" i="9"/>
  <c r="C21" i="9"/>
  <c r="D22" i="9"/>
  <c r="B3" i="68"/>
  <c r="D34" i="9"/>
  <c r="C20" i="9"/>
  <c r="D35" i="9"/>
  <c r="C103" i="9" l="1"/>
  <c r="G20" i="9"/>
  <c r="C32" i="9" s="1"/>
  <c r="C35" i="9" l="1"/>
  <c r="H118" i="9"/>
  <c r="D14" i="74" l="1"/>
  <c r="H101" i="9"/>
  <c r="H4" i="52"/>
  <c r="I118" i="9"/>
  <c r="H119" i="9"/>
  <c r="H5" i="52" s="1"/>
  <c r="C104" i="9"/>
  <c r="C34" i="9"/>
  <c r="D118" i="9" s="1"/>
  <c r="F118" i="9"/>
  <c r="G118" i="9" l="1"/>
  <c r="G4" i="52" s="1"/>
  <c r="B52" i="72" s="1"/>
  <c r="F119" i="9"/>
  <c r="F5" i="52" s="1"/>
  <c r="B53" i="72" s="1"/>
  <c r="F4" i="52"/>
  <c r="B51" i="72" s="1"/>
  <c r="H102" i="9"/>
  <c r="D7" i="53" s="1"/>
  <c r="B21" i="72" s="1"/>
  <c r="E118" i="9"/>
  <c r="E4" i="52" s="1"/>
  <c r="B48" i="72" s="1"/>
  <c r="I4" i="52"/>
  <c r="C105" i="9"/>
  <c r="D119" i="9"/>
  <c r="D5" i="52" s="1"/>
  <c r="B49" i="72" s="1"/>
  <c r="D4" i="52"/>
  <c r="B47" i="72" s="1"/>
  <c r="D45" i="9"/>
  <c r="D5" i="53"/>
  <c r="H107" i="9"/>
  <c r="M48" i="9"/>
  <c r="F14" i="74"/>
  <c r="E14" i="74"/>
  <c r="B5" i="74"/>
  <c r="B20" i="72" l="1"/>
  <c r="D6" i="53"/>
  <c r="B22" i="72" s="1"/>
  <c r="C5" i="74"/>
  <c r="D5" i="74"/>
  <c r="D122" i="9"/>
  <c r="H108" i="9"/>
  <c r="D15" i="53" s="1"/>
  <c r="B31" i="72" s="1"/>
  <c r="D13" i="53"/>
  <c r="C78" i="9"/>
  <c r="C73" i="9" s="1"/>
  <c r="C64" i="9"/>
  <c r="C63" i="9" s="1"/>
  <c r="C67" i="9" s="1"/>
  <c r="C85" i="9"/>
  <c r="D52" i="9"/>
  <c r="C93" i="9"/>
  <c r="C86" i="9" s="1"/>
  <c r="C72" i="9"/>
  <c r="D55" i="9"/>
  <c r="M53" i="9" s="1"/>
  <c r="D53" i="9"/>
  <c r="C95" i="9" l="1"/>
  <c r="C96" i="9" s="1"/>
  <c r="C79" i="9"/>
  <c r="C80" i="9" s="1"/>
  <c r="E80" i="9" s="1"/>
  <c r="E81" i="9" s="1"/>
  <c r="D59" i="9"/>
  <c r="M55" i="9" s="1"/>
  <c r="C68" i="9"/>
  <c r="D54" i="9" s="1"/>
  <c r="D123" i="9"/>
  <c r="D9" i="52" s="1"/>
  <c r="D8" i="52"/>
  <c r="G14" i="74"/>
  <c r="B6" i="74" s="1"/>
  <c r="D14" i="53"/>
  <c r="B32" i="72" s="1"/>
  <c r="B30" i="72"/>
  <c r="E96" i="9" l="1"/>
  <c r="E97" i="9" s="1"/>
  <c r="C97" i="9"/>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<sst xmlns="http://schemas.openxmlformats.org/spreadsheetml/2006/main" count="7992" uniqueCount="3326">
  <si>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</si>
  <si>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</si>
  <si>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</si>
  <si>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</si>
  <si>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</si>
  <si>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</si>
  <si>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</si>
  <si>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</si>
  <si>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</si>
  <si>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</si>
  <si>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</si>
  <si>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</si>
  <si>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</si>
  <si>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</si>
  <si>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</si>
  <si>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</si>
  <si>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</si>
  <si>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</si>
  <si>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</si>
  <si>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</si>
  <si>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</si>
  <si>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</si>
  <si>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</si>
  <si>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</si>
  <si>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</si>
  <si>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</si>
  <si>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</si>
  <si>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</si>
  <si>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</si>
  <si>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</si>
  <si>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</si>
  <si>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</si>
  <si>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</si>
  <si>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</si>
  <si>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</si>
  <si>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</si>
  <si>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</si>
  <si>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</si>
  <si>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</si>
  <si>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</si>
  <si>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</si>
  <si>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</si>
  <si>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</si>
  <si>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</si>
  <si>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</si>
  <si>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</si>
  <si>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</si>
  <si>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</si>
  <si>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</si>
  <si>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</si>
  <si>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</si>
  <si>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</si>
  <si>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</si>
  <si>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</si>
  <si>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</si>
  <si>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</si>
  <si>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</si>
  <si>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</si>
  <si>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</si>
  <si>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</si>
  <si>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</si>
  <si>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</si>
  <si>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</si>
  <si>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</si>
  <si>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</si>
  <si>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</si>
  <si>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</si>
  <si>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</si>
  <si>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</si>
  <si>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</si>
  <si>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</si>
  <si>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</si>
  <si>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</si>
  <si>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</si>
  <si>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</si>
  <si>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</si>
  <si>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</si>
  <si>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</si>
  <si>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</si>
  <si>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</si>
  <si>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</si>
  <si>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</si>
  <si>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</si>
  <si>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</si>
  <si>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</si>
  <si>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</si>
  <si>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</si>
  <si>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</si>
  <si>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</si>
  <si>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</si>
  <si>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</si>
  <si>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</si>
  <si>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</si>
  <si>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</si>
  <si>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</si>
  <si>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</si>
  <si>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</si>
  <si>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</si>
  <si>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</si>
  <si>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</si>
  <si>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</si>
  <si>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</si>
  <si>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</si>
  <si>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</si>
  <si>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</si>
  <si>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</si>
  <si>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</si>
  <si>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</si>
  <si>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</si>
  <si>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</si>
  <si>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</si>
  <si>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</si>
  <si>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</si>
  <si>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</si>
  <si>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</si>
  <si>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</si>
  <si>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</si>
  <si>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</si>
  <si>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</si>
  <si>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</si>
  <si>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</si>
  <si>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</si>
  <si>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</si>
  <si>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</si>
  <si>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</si>
  <si>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</si>
  <si>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</si>
  <si>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</si>
  <si>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</si>
  <si>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</si>
  <si>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</si>
  <si>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</si>
  <si>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</si>
  <si>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</si>
  <si>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</si>
  <si>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</si>
  <si>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</si>
  <si>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</si>
  <si>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</si>
  <si>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</si>
  <si>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</si>
  <si>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</si>
  <si>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</si>
  <si>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</si>
  <si>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</si>
  <si>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</si>
  <si>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</si>
  <si>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</si>
  <si>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</si>
  <si>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</si>
  <si>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</si>
  <si>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</si>
  <si>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</si>
  <si>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</si>
  <si>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</si>
  <si>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</si>
  <si>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</si>
  <si>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</si>
  <si>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</si>
  <si>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</si>
  <si>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</si>
  <si>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</si>
  <si>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</si>
  <si>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</si>
  <si>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</si>
  <si>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</si>
  <si>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</si>
  <si>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</si>
  <si>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</si>
  <si>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</si>
  <si>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</si>
  <si>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</si>
  <si>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</si>
  <si>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</si>
  <si>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</si>
  <si>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</si>
  <si>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</si>
  <si>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</si>
  <si>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</si>
  <si>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</si>
  <si>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</si>
  <si>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</si>
  <si>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</si>
  <si>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</si>
  <si>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</si>
  <si>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</si>
  <si>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</si>
  <si>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</si>
  <si>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</si>
  <si>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</si>
  <si>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</si>
  <si>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</si>
  <si>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</si>
  <si>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</si>
  <si>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</si>
  <si>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</si>
  <si>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</si>
  <si>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</si>
  <si>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</si>
  <si>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</si>
  <si>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</si>
  <si>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</si>
  <si>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</si>
  <si>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</si>
  <si>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</si>
  <si>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</si>
  <si>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</si>
  <si>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</si>
  <si>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</si>
  <si>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</si>
  <si>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</si>
  <si>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</si>
  <si>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</si>
  <si>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</si>
  <si>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</si>
  <si>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</si>
  <si>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</si>
  <si>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</si>
  <si>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</si>
  <si>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</si>
  <si>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</si>
  <si>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</si>
  <si>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</si>
  <si>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</si>
  <si>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</si>
  <si>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</si>
  <si>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</si>
  <si>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</si>
  <si>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</si>
  <si>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</si>
  <si>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</si>
  <si>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</si>
  <si>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</si>
  <si>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</si>
  <si>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</si>
  <si>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</si>
  <si>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</si>
  <si>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</si>
  <si>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</si>
  <si>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</si>
  <si>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</si>
  <si>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</si>
  <si>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</si>
  <si>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</si>
  <si>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</si>
  <si>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</si>
  <si>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</si>
  <si>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</si>
  <si>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</si>
  <si>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</si>
  <si>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</si>
  <si>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</si>
  <si>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</si>
  <si>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</si>
  <si>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</si>
  <si>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</si>
  <si>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</si>
  <si>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</si>
  <si>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</si>
  <si>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</si>
  <si>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</si>
  <si>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</si>
  <si>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</si>
  <si>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</si>
  <si>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</si>
  <si>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</si>
  <si>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</si>
  <si>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</si>
  <si>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</si>
  <si>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</si>
  <si>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</si>
  <si>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</si>
  <si>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</si>
  <si>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</si>
  <si>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</si>
  <si>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</si>
  <si>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</si>
  <si>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</si>
  <si>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</si>
  <si>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</si>
  <si>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</si>
  <si>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</si>
  <si>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</si>
  <si>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</si>
  <si>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</si>
  <si>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</si>
  <si>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</si>
  <si>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</si>
  <si>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</si>
  <si>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</si>
  <si>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</si>
  <si>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</si>
  <si>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</si>
  <si>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</si>
  <si>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</si>
  <si>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</si>
  <si>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</si>
  <si>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</si>
  <si>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</si>
  <si>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</si>
  <si>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</si>
  <si>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</si>
  <si>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</si>
  <si>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</si>
  <si>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</si>
  <si>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</si>
  <si>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</si>
  <si>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</si>
  <si>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</si>
  <si>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</si>
  <si>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</si>
  <si>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</si>
  <si>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</si>
  <si>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</si>
  <si>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</si>
  <si>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</si>
  <si>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</si>
  <si>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</si>
  <si>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</si>
  <si>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</si>
  <si>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</si>
  <si>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</si>
  <si>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</si>
  <si>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</si>
  <si>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</si>
  <si>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</si>
  <si>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</si>
  <si>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</si>
  <si>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</si>
  <si>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</si>
  <si>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</si>
  <si>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</si>
  <si>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</si>
  <si>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</si>
  <si>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</si>
  <si>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</si>
  <si>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</si>
  <si>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</si>
  <si>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</si>
  <si>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</si>
  <si>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</si>
  <si>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</si>
  <si>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</si>
  <si>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</si>
  <si>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</si>
  <si>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</si>
  <si>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</si>
  <si>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</si>
  <si>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</si>
  <si>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</si>
  <si>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</si>
  <si>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</si>
  <si>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</si>
  <si>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</si>
  <si>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</si>
  <si>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</si>
  <si>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</si>
  <si>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</si>
  <si>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</si>
  <si>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</si>
  <si>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</si>
  <si>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</si>
  <si>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</si>
  <si>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</si>
  <si>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</si>
  <si>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</si>
  <si>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</si>
  <si>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</si>
  <si>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</si>
  <si>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</si>
  <si>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</si>
  <si>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</si>
  <si>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</si>
  <si>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</si>
  <si>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</si>
  <si>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</si>
  <si>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</si>
  <si>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</si>
  <si>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</si>
  <si>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</si>
  <si>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</si>
  <si>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</si>
  <si>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</si>
  <si>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</si>
  <si>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</si>
  <si>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</si>
  <si>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</si>
  <si>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</si>
  <si>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</si>
  <si>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</si>
  <si>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</si>
  <si>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</si>
  <si>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</si>
  <si>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</si>
  <si>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</si>
  <si>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</si>
  <si>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</si>
  <si>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</si>
  <si>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</si>
  <si>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</si>
  <si>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</si>
  <si>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</si>
  <si>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</si>
  <si>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</si>
  <si>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</si>
  <si>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</si>
  <si>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</si>
  <si>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</si>
  <si>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</si>
  <si>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</si>
  <si>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</si>
  <si>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</si>
  <si>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</si>
  <si>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</si>
  <si>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</si>
  <si>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</si>
  <si>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</si>
  <si>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</si>
  <si>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</si>
  <si>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</si>
  <si>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</si>
  <si>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</si>
  <si>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</si>
  <si>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</si>
  <si>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</si>
  <si>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</si>
  <si>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</si>
  <si>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</si>
  <si>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</si>
  <si>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</si>
  <si>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</si>
  <si>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</si>
  <si>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</si>
  <si>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</si>
  <si>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</si>
  <si>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</si>
  <si>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</si>
  <si>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</si>
  <si>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</si>
  <si>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</si>
  <si>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</si>
  <si>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</si>
  <si>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</si>
  <si>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</si>
  <si>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</si>
  <si>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</si>
  <si>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</si>
  <si>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</si>
  <si>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</si>
  <si>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</si>
  <si>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</si>
  <si>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</si>
  <si>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</si>
  <si>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</si>
  <si>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</si>
  <si>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</si>
  <si>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</si>
  <si>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</si>
  <si>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</si>
  <si>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</si>
  <si>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</si>
  <si>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</si>
  <si>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</si>
  <si>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</si>
  <si>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</si>
  <si>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</si>
  <si>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</si>
  <si>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</si>
  <si>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</si>
  <si>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</si>
  <si>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</si>
  <si>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</si>
  <si>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</si>
  <si>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</si>
  <si>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</si>
  <si>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</si>
  <si>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</si>
  <si>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</si>
  <si>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</si>
  <si>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</si>
  <si>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</si>
  <si>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</si>
  <si>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</si>
  <si>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</si>
  <si>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</si>
  <si>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</si>
  <si>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</si>
  <si>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</si>
  <si>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</si>
  <si>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</si>
  <si>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</si>
  <si>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</si>
  <si>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</si>
  <si>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</si>
  <si>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</si>
  <si>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</si>
  <si>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</si>
  <si>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</si>
  <si>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</si>
  <si>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</si>
  <si>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</si>
  <si>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</si>
  <si>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</si>
  <si>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</si>
  <si>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</si>
  <si>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</si>
  <si>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</si>
  <si>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</si>
  <si>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</si>
  <si>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</si>
  <si>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</si>
  <si>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</si>
  <si>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</si>
  <si>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</si>
  <si>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</si>
  <si>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</si>
  <si>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</si>
  <si>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</si>
  <si>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</si>
  <si>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</si>
  <si>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</si>
  <si>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</si>
  <si>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</si>
  <si>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</si>
  <si>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</si>
  <si>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</si>
  <si>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</si>
  <si>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</si>
  <si>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</si>
  <si>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</si>
  <si>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</si>
  <si>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</si>
  <si>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</si>
  <si>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</si>
  <si>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</si>
  <si>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</si>
  <si>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</si>
  <si>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</si>
  <si>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</si>
  <si>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</si>
  <si>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</si>
  <si>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</si>
  <si>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</si>
  <si>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</si>
  <si>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</si>
  <si>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</si>
  <si>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</si>
  <si>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</si>
  <si>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</si>
  <si>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</si>
  <si>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</si>
  <si>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</si>
  <si>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</si>
  <si>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</si>
  <si>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</si>
  <si>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</si>
  <si>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</si>
  <si>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</si>
  <si>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</si>
  <si>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</si>
  <si>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</si>
  <si>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</si>
  <si>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</si>
  <si>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</si>
  <si>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</si>
  <si>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</si>
  <si>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</si>
  <si>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</si>
  <si>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</si>
  <si>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</si>
  <si>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</si>
  <si>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</si>
  <si>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</si>
  <si>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</si>
  <si>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</si>
  <si>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</si>
  <si>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</si>
  <si>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</si>
  <si>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</si>
  <si>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</si>
  <si>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</si>
  <si>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</si>
  <si>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</si>
  <si>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</si>
  <si>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</si>
  <si>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</si>
  <si>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</si>
  <si>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</si>
  <si>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</si>
  <si>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</si>
  <si>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</si>
  <si>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</si>
  <si>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</si>
  <si>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</si>
  <si>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</si>
  <si>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</si>
  <si>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</si>
  <si>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</si>
  <si>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</si>
  <si>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</si>
  <si>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</si>
  <si>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</si>
  <si>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</si>
  <si>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</si>
  <si>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</si>
  <si>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</si>
  <si>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</si>
  <si>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</si>
  <si>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</si>
  <si>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</si>
  <si>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</si>
  <si>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</si>
  <si>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</si>
  <si>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</si>
  <si>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</si>
  <si>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</si>
  <si>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</si>
  <si>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</si>
  <si>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</si>
  <si>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</si>
  <si>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</si>
  <si>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</si>
  <si>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</si>
  <si>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</si>
  <si>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</si>
  <si>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</si>
  <si>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</si>
  <si>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</si>
  <si>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</si>
  <si>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</si>
  <si>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</si>
  <si>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</si>
  <si>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</si>
  <si>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</si>
  <si>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</si>
  <si>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</si>
  <si>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</si>
  <si>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</si>
  <si>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</si>
  <si>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</si>
  <si>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</si>
  <si>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</si>
  <si>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</si>
  <si>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</si>
  <si>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</si>
  <si>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</si>
  <si>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</si>
  <si>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</si>
  <si>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</si>
  <si>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</si>
  <si>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</si>
  <si>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</si>
  <si>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</si>
  <si>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</si>
  <si>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</si>
  <si>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</si>
  <si>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</si>
  <si>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</si>
  <si>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</si>
  <si>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</si>
  <si>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</si>
  <si>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</si>
  <si>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</si>
  <si>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</si>
  <si>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</si>
  <si>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</si>
  <si>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</si>
  <si>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</si>
  <si>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</si>
  <si>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</si>
  <si>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</si>
  <si>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</si>
  <si>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</si>
  <si>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</si>
  <si>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</si>
  <si>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</si>
  <si>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</si>
  <si>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</si>
  <si>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</si>
  <si>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</si>
  <si>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</si>
  <si>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</si>
  <si>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</si>
  <si>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</si>
  <si>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</si>
  <si>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</si>
  <si>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</si>
  <si>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</si>
  <si>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</si>
  <si>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</si>
  <si>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</si>
  <si>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</si>
  <si>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</si>
  <si>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</si>
  <si>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</si>
  <si>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</si>
  <si>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</si>
  <si>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</si>
  <si>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</si>
  <si>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</si>
  <si>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</si>
  <si>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</si>
  <si>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</si>
  <si>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</si>
  <si>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</si>
  <si>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</si>
  <si>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</si>
  <si>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</si>
  <si>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</si>
  <si>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</si>
  <si>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</si>
  <si>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</si>
  <si>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</si>
  <si>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</si>
  <si>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</si>
  <si>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</si>
  <si>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</si>
  <si>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</si>
  <si>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</si>
  <si>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</si>
  <si>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</si>
  <si>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</si>
  <si>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</si>
  <si>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</si>
  <si>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</si>
  <si>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</si>
  <si>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</si>
  <si>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</si>
  <si>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</si>
  <si>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</si>
  <si>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</si>
  <si>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</si>
  <si>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</si>
  <si>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</si>
  <si>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</si>
  <si>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</si>
  <si>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</si>
  <si>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</si>
  <si>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</si>
  <si>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</si>
  <si>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</si>
  <si>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</si>
  <si>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</si>
  <si>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</si>
  <si>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</si>
  <si>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</si>
  <si>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</si>
  <si>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</si>
  <si>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</si>
  <si>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</si>
  <si>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</si>
  <si>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</si>
  <si>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</si>
  <si>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</si>
  <si>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</si>
  <si>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</si>
  <si>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</si>
  <si>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</si>
  <si>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</si>
  <si>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</si>
  <si>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</si>
  <si>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</si>
  <si>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</si>
  <si>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</si>
  <si>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</si>
  <si>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</si>
  <si>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</si>
  <si>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</si>
  <si>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</si>
  <si>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</si>
  <si>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</si>
  <si>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</si>
  <si>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</si>
  <si>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</si>
  <si>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</si>
  <si>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</si>
  <si>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</si>
  <si>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</si>
  <si>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</si>
  <si>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</si>
  <si>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</si>
  <si>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</si>
  <si>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</si>
  <si>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</si>
  <si>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</si>
  <si>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</si>
  <si>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</si>
  <si>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</si>
  <si>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</si>
  <si>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</si>
  <si>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</si>
  <si>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</si>
  <si>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</si>
  <si>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</si>
  <si>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</si>
  <si>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</si>
  <si>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</si>
  <si>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</si>
  <si>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</si>
  <si>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</si>
  <si>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</si>
  <si>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</si>
  <si>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</si>
  <si>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</si>
  <si>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</si>
  <si>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</si>
  <si>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</si>
  <si>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</si>
  <si>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</si>
  <si>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</si>
  <si>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</si>
  <si>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</si>
  <si>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</si>
  <si>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</si>
  <si>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</si>
  <si>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</si>
  <si>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</si>
  <si>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</si>
  <si>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</si>
  <si>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</si>
  <si>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</si>
  <si>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</si>
  <si>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</si>
  <si>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</si>
  <si>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</si>
  <si>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</si>
  <si>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</si>
  <si>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</si>
  <si>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</si>
  <si>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</si>
  <si>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</si>
  <si>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</si>
  <si>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</si>
  <si>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</si>
  <si>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</si>
  <si>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</si>
  <si>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</si>
  <si>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</si>
  <si>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</si>
  <si>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</si>
  <si>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</si>
  <si>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</si>
  <si>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</si>
  <si>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</si>
  <si>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</si>
  <si>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</si>
  <si>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</si>
  <si>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</si>
  <si>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</si>
  <si>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</si>
  <si>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</si>
  <si>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</si>
  <si>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</si>
  <si>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</si>
  <si>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</si>
  <si>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</si>
  <si>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</si>
  <si>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</si>
  <si>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</si>
  <si>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</si>
  <si>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</si>
  <si>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</si>
  <si>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</si>
  <si>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</si>
  <si>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</si>
  <si>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</si>
  <si>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</si>
  <si>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</si>
  <si>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</si>
  <si>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</si>
  <si>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</si>
  <si>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</si>
  <si>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</si>
  <si>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</si>
  <si>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</si>
  <si>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</si>
  <si>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</si>
  <si>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</si>
  <si>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</si>
  <si>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</si>
  <si>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</si>
  <si>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</si>
  <si>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</si>
  <si>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</si>
  <si>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</si>
  <si>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</si>
  <si>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</si>
  <si>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</si>
  <si>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</si>
  <si>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</si>
  <si>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</si>
  <si>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</si>
  <si>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</si>
  <si>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</si>
  <si>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</si>
  <si>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</si>
  <si>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</si>
  <si>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</si>
  <si>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</si>
  <si>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</si>
  <si>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</si>
  <si>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</si>
  <si>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</si>
  <si>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</si>
  <si>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</si>
  <si>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</si>
  <si>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</si>
  <si>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</si>
  <si>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</si>
  <si>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</si>
  <si>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</si>
  <si>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</si>
  <si>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</si>
  <si>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</si>
  <si>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</si>
  <si>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</si>
  <si>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</si>
  <si>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</si>
  <si>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</si>
  <si>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</si>
  <si>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</si>
  <si>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</si>
  <si>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</si>
  <si>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</si>
  <si>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</si>
  <si>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</si>
  <si>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</si>
  <si>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</si>
  <si>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</si>
  <si>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</si>
  <si>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</si>
  <si>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</si>
  <si>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</si>
  <si>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</si>
  <si>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</si>
  <si>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</si>
  <si>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</si>
  <si>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</si>
  <si>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</si>
  <si>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</si>
  <si>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</si>
  <si>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</si>
  <si>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</si>
  <si>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</si>
  <si>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</si>
  <si>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</si>
  <si>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</si>
  <si>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</si>
  <si>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</si>
  <si>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</si>
  <si>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</si>
  <si>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</si>
  <si>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</si>
  <si>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</si>
  <si>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</si>
  <si>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</si>
  <si>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</si>
  <si>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</si>
  <si>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</si>
  <si>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</si>
  <si>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</si>
  <si>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</si>
  <si>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</si>
  <si>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</si>
  <si>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</si>
  <si>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</si>
  <si>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</si>
  <si>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</si>
  <si>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</si>
  <si>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</si>
  <si>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</si>
  <si>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</si>
  <si>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</si>
  <si>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</si>
  <si>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</si>
  <si>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</si>
  <si>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</si>
  <si>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</si>
  <si>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</si>
  <si>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</si>
  <si>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</si>
  <si>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</si>
  <si>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</si>
  <si>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</si>
  <si>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</si>
  <si>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</si>
  <si>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</si>
  <si>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</si>
  <si>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</si>
  <si>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</si>
  <si>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</si>
  <si>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</si>
  <si>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</si>
  <si>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</si>
  <si>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</si>
  <si>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</si>
  <si>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</si>
  <si>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</si>
  <si>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</si>
  <si>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</si>
  <si>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</si>
  <si>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</si>
  <si>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</si>
  <si>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</si>
  <si>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</si>
  <si>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</si>
  <si>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</si>
  <si>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</si>
  <si>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</si>
  <si>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</si>
  <si>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</si>
  <si>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</si>
  <si>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</si>
  <si>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</si>
  <si>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</si>
  <si>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</si>
  <si>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</si>
  <si>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</si>
  <si>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</si>
  <si>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</si>
  <si>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</si>
  <si>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</si>
  <si>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</si>
  <si>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</si>
  <si>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</si>
  <si>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</si>
  <si>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</si>
  <si>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</si>
  <si>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</si>
  <si>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</si>
  <si>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</si>
  <si>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</si>
  <si>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</si>
  <si>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</si>
  <si>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</si>
  <si>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</si>
  <si>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</si>
  <si>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</si>
  <si>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</si>
  <si>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</si>
  <si>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</si>
  <si>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</si>
  <si>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</si>
  <si>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</si>
  <si>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</si>
  <si>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</si>
  <si>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</si>
  <si>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</si>
  <si>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</si>
  <si>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</si>
  <si>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</si>
  <si>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</si>
  <si>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</si>
  <si>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</si>
  <si>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</si>
  <si>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</si>
  <si>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</si>
  <si>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</si>
  <si>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</si>
  <si>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</si>
  <si>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</si>
  <si>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</si>
  <si>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</si>
  <si>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</si>
  <si>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</si>
  <si>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</si>
  <si>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</si>
  <si>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</si>
  <si>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</si>
  <si>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</si>
  <si>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</si>
  <si>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</si>
  <si>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</si>
  <si>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</si>
  <si>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</si>
  <si>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</si>
  <si>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</si>
  <si>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</si>
  <si>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</si>
  <si>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</si>
  <si>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</si>
  <si>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</si>
  <si>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</si>
  <si>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</si>
  <si>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</si>
  <si>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</si>
  <si>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</si>
  <si>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</si>
  <si>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</si>
  <si>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</si>
  <si>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</si>
  <si>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</si>
  <si>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</si>
  <si>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</si>
  <si>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</si>
  <si>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</si>
  <si>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</si>
  <si>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</si>
  <si>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</si>
  <si>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</si>
  <si>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</si>
  <si>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</si>
  <si>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</si>
  <si>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</si>
  <si>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</si>
  <si>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</si>
  <si>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</si>
  <si>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</si>
  <si>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</si>
  <si>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</si>
  <si>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</si>
  <si>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</si>
  <si>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</si>
  <si>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</si>
  <si>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</si>
  <si>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</si>
  <si>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</si>
  <si>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</si>
  <si>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</si>
  <si>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</si>
  <si>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</si>
  <si>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</si>
  <si>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</si>
  <si>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</si>
  <si>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</si>
  <si>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</si>
  <si>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</si>
  <si>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</si>
  <si>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</si>
  <si>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</si>
  <si>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</si>
  <si>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</si>
  <si>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</si>
  <si>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</si>
  <si>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</si>
  <si>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</si>
  <si>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</si>
  <si>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</si>
  <si>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</si>
  <si>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</si>
  <si>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</si>
  <si>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</si>
  <si>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</si>
  <si>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</si>
  <si>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</si>
  <si>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</si>
  <si>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</si>
  <si>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</si>
  <si>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</si>
  <si>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</si>
  <si>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</si>
  <si>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</si>
  <si>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</si>
  <si>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</si>
  <si>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</si>
  <si>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</si>
  <si>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</si>
  <si>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</si>
  <si>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</si>
  <si>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</si>
  <si>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</si>
  <si>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</si>
  <si>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</si>
  <si>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</si>
  <si>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</si>
  <si>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</si>
  <si>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</si>
  <si>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</si>
  <si>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</si>
  <si>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</si>
  <si>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</si>
  <si>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</si>
  <si>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</si>
  <si>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</si>
  <si>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</si>
  <si>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</si>
  <si>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</si>
  <si>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</si>
  <si>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</si>
  <si>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</si>
  <si>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</si>
  <si>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</si>
  <si>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</si>
  <si>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</si>
  <si>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</si>
  <si>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</si>
  <si>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</si>
  <si>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</si>
  <si>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</si>
  <si>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</si>
  <si>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</si>
  <si>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</si>
  <si>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</si>
  <si>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</si>
  <si>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</si>
  <si>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</si>
  <si>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</si>
  <si>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</si>
  <si>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</si>
  <si>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</si>
  <si>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</si>
  <si>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</si>
  <si>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</si>
  <si>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</si>
  <si>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</si>
  <si>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</si>
  <si>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</si>
  <si>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</si>
  <si>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</si>
  <si>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</si>
  <si>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</si>
  <si>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</si>
  <si>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</si>
  <si>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</si>
  <si>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</si>
  <si>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</si>
  <si>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</si>
  <si>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</si>
  <si>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</si>
  <si>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</si>
  <si>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</si>
  <si>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</si>
  <si>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</si>
  <si>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</si>
  <si>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</si>
  <si>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</si>
  <si>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</si>
  <si>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</si>
  <si>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</si>
  <si>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</si>
  <si>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</si>
  <si>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</si>
  <si>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</si>
  <si>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</si>
  <si>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</si>
  <si>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</si>
  <si>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</si>
  <si>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</si>
  <si>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</si>
  <si>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</si>
  <si>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</si>
  <si>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</si>
  <si>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</si>
  <si>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</si>
  <si>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</si>
  <si>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</si>
  <si>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</si>
  <si>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</si>
  <si>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</si>
  <si>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</si>
  <si>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</si>
  <si>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</si>
  <si>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</si>
  <si>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</si>
  <si>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</si>
  <si>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</si>
  <si>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</si>
  <si>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</si>
  <si>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</si>
  <si>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</si>
  <si>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</si>
  <si>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</si>
  <si>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</si>
  <si>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</si>
  <si>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</si>
  <si>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</si>
  <si>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</si>
  <si>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</si>
  <si>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</si>
  <si>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</si>
  <si>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</si>
  <si>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</si>
  <si>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</si>
  <si>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</si>
  <si>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</si>
  <si>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</si>
  <si>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</si>
  <si>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</si>
  <si>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</si>
  <si>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</si>
  <si>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</si>
  <si>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</si>
  <si>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</si>
  <si>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</si>
  <si>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</si>
  <si>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</si>
  <si>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</si>
  <si>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</si>
  <si>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</si>
  <si>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</si>
  <si>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</si>
  <si>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</si>
  <si>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</si>
  <si>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</si>
  <si>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</si>
  <si>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</si>
  <si>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</si>
  <si>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</si>
  <si>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</si>
  <si>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</si>
  <si>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</si>
  <si>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</si>
  <si>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</si>
  <si>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</si>
  <si>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</si>
  <si>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</si>
  <si>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</si>
  <si>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</si>
  <si>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</si>
  <si>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</si>
  <si>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</si>
  <si>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</si>
  <si>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</si>
  <si>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</si>
  <si>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</si>
  <si>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</si>
  <si>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</si>
  <si>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</si>
  <si>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</si>
  <si>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</si>
  <si>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</si>
  <si>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</si>
  <si>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</si>
  <si>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</si>
  <si>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</si>
  <si>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</si>
  <si>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</si>
  <si>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</si>
  <si>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</si>
  <si>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</si>
  <si>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</si>
  <si>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</si>
  <si>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</si>
  <si>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</si>
  <si>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</si>
  <si>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</si>
  <si>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</si>
  <si>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</si>
  <si>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</si>
  <si>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</si>
  <si>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</si>
  <si>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</si>
  <si>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</si>
  <si>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</si>
  <si>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</si>
  <si>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</si>
  <si>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</si>
  <si>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</si>
  <si>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</si>
  <si>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</si>
  <si>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</si>
  <si>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</si>
  <si>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</si>
  <si>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</si>
  <si>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</si>
  <si>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</si>
  <si>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</si>
  <si>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</si>
  <si>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</si>
  <si>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</si>
  <si>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</si>
  <si>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</si>
  <si>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</si>
  <si>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</si>
  <si>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</si>
  <si>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</si>
  <si>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</si>
  <si>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</si>
  <si>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</si>
  <si>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</si>
  <si>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</si>
  <si>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</si>
  <si>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</si>
  <si>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</si>
  <si>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</si>
  <si>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</si>
  <si>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</si>
  <si>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</si>
  <si>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</si>
  <si>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</si>
  <si>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</si>
  <si>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</si>
  <si>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</si>
  <si>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</si>
  <si>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</si>
  <si>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</si>
  <si>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</si>
  <si>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</si>
  <si>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</si>
  <si>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</si>
  <si>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</si>
  <si>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</si>
  <si>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</si>
  <si>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</si>
  <si>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</si>
  <si>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</si>
  <si>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</si>
  <si>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</si>
  <si>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</si>
  <si>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</si>
  <si>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</si>
  <si>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</si>
  <si>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</si>
  <si>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</si>
  <si>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</si>
  <si>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</si>
  <si>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</si>
  <si>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</si>
  <si>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</si>
  <si>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</si>
  <si>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</si>
  <si>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</si>
  <si>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</si>
  <si>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</si>
  <si>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</si>
  <si>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</si>
  <si>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</si>
  <si>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</si>
  <si>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</si>
  <si>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</si>
  <si>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</si>
  <si>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</si>
  <si>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</si>
  <si>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</si>
  <si>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</si>
  <si>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</si>
  <si>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</si>
  <si>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</si>
  <si>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</si>
  <si>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</si>
  <si>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</si>
  <si>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</si>
  <si>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</si>
  <si>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</si>
  <si>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</si>
  <si>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</si>
  <si>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</si>
  <si>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</si>
  <si>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</si>
  <si>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</si>
  <si>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</si>
  <si>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</si>
  <si>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</si>
  <si>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</si>
  <si>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</si>
  <si>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</si>
  <si>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</si>
  <si>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</si>
  <si>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</si>
  <si>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</si>
  <si>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</si>
  <si>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</si>
  <si>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</si>
  <si>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</si>
  <si>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</si>
  <si>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</si>
  <si>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</si>
  <si>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</si>
  <si>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</si>
  <si>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</si>
  <si>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</si>
  <si>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</si>
  <si>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</si>
  <si>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</si>
  <si>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</si>
  <si>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</si>
  <si>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</si>
  <si>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</si>
  <si>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</si>
  <si>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</si>
  <si>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</si>
  <si>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</si>
  <si>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</si>
  <si>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</si>
  <si>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</si>
  <si>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</si>
  <si>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</si>
  <si>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</si>
  <si>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</si>
  <si>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</si>
  <si>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</si>
  <si>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</si>
  <si>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</si>
  <si>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</si>
  <si>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</si>
  <si>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</si>
  <si>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</si>
  <si>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</si>
  <si>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</si>
  <si>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</si>
  <si>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</si>
  <si>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</si>
  <si>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</si>
  <si>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</si>
  <si>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</si>
  <si>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</si>
  <si>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</si>
  <si>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</si>
  <si>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</si>
  <si>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</si>
  <si>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</si>
  <si>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</si>
  <si>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</si>
  <si>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</si>
  <si>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</si>
  <si>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</si>
  <si>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</si>
  <si>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</si>
  <si>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</si>
  <si>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</si>
  <si>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</si>
  <si>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</si>
  <si>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</si>
  <si>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</si>
  <si>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</si>
  <si>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</si>
  <si>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</si>
  <si>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</si>
  <si>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</si>
  <si>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</si>
  <si>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</si>
  <si>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</si>
  <si>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</si>
  <si>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</si>
  <si>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</si>
  <si>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</si>
  <si>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</si>
  <si>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</si>
  <si>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</si>
  <si>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</si>
  <si>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</si>
  <si>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</si>
  <si>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</si>
  <si>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</si>
  <si>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</si>
  <si>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</si>
  <si>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</si>
  <si>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</si>
  <si>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</si>
  <si>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</si>
  <si>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</si>
  <si>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</si>
  <si>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</si>
  <si>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</si>
  <si>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</si>
  <si>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</si>
  <si>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</si>
  <si>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</si>
  <si>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</si>
  <si>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</si>
  <si>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</si>
  <si>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</si>
  <si>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</si>
  <si>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</si>
  <si>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</si>
  <si>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</si>
  <si>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</si>
  <si>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</si>
  <si>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</si>
  <si>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</si>
  <si>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</si>
  <si>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</si>
  <si>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</si>
  <si>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</si>
  <si>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</si>
  <si>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</si>
  <si>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</si>
  <si>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</si>
  <si>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</si>
  <si>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</si>
  <si>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</si>
  <si>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</si>
  <si>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</si>
  <si>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</si>
  <si>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</si>
  <si>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</si>
  <si>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</si>
  <si>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</si>
  <si>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</si>
  <si>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</si>
  <si>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</si>
  <si>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</si>
  <si>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</si>
  <si>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</si>
  <si>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</si>
  <si>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</si>
  <si>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</si>
  <si>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</si>
  <si>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</si>
  <si>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</si>
  <si>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</si>
  <si>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</si>
  <si>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</si>
  <si>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</si>
  <si>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</si>
  <si>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</si>
  <si>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</si>
  <si>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</si>
  <si>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</si>
  <si>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</si>
  <si>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</si>
  <si>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</si>
  <si>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</si>
  <si>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</si>
  <si>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</si>
  <si>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</si>
  <si>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</si>
  <si>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</si>
  <si>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</si>
  <si>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</si>
  <si>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</si>
  <si>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</si>
  <si>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</si>
  <si>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</si>
  <si>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</si>
  <si>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</si>
  <si>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</si>
  <si>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</si>
  <si>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</si>
  <si>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</si>
  <si>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</si>
  <si>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</si>
  <si>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</si>
  <si>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</si>
  <si>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</si>
  <si>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</si>
  <si>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</si>
  <si>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</si>
  <si>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</si>
  <si>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</si>
  <si>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</si>
  <si>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</si>
  <si>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</si>
  <si>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</si>
  <si>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</si>
  <si>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</si>
  <si>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</si>
  <si>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</si>
  <si>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</si>
  <si>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</si>
  <si>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</si>
  <si>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</si>
  <si>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</si>
  <si>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</si>
  <si>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</si>
  <si>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</si>
  <si>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</si>
  <si>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</si>
  <si>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</si>
  <si>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</si>
  <si>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</si>
  <si>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</si>
  <si>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</si>
  <si>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</si>
  <si>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</si>
  <si>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</si>
  <si>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</si>
  <si>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</si>
  <si>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</si>
  <si>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</si>
  <si>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</si>
  <si>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</si>
  <si>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</si>
  <si>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</si>
  <si>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</si>
  <si>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</si>
  <si>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</si>
  <si>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</si>
  <si>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</si>
  <si>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</si>
  <si>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</si>
  <si>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</si>
  <si>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</si>
  <si>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</si>
  <si>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</si>
  <si>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</si>
  <si>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</si>
  <si>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</si>
  <si>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</si>
  <si>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</si>
  <si>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</si>
  <si>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</si>
  <si>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</si>
  <si>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</si>
  <si>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</si>
  <si>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</si>
  <si>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</si>
  <si>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</si>
  <si>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</si>
  <si>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</si>
  <si>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</si>
  <si>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</si>
  <si>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</si>
  <si>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</si>
  <si>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</si>
  <si>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</si>
  <si>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</si>
  <si>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</si>
  <si>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</si>
  <si>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</si>
  <si>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</si>
  <si>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</si>
  <si>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</si>
  <si>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</si>
  <si>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</si>
  <si>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</si>
  <si>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</si>
  <si>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</si>
  <si>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</si>
  <si>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</si>
  <si>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</si>
  <si>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</si>
  <si>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</si>
  <si>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</si>
  <si>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</si>
  <si>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</si>
  <si>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</si>
  <si>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</si>
  <si>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</si>
  <si>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</si>
  <si>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</si>
  <si>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</si>
  <si>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</si>
  <si>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</si>
  <si>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</si>
  <si>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</si>
  <si>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</si>
  <si>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</si>
  <si>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</si>
  <si>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</si>
  <si>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</si>
  <si>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</si>
  <si>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</si>
  <si>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</si>
  <si>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</si>
  <si>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</si>
  <si>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</si>
  <si>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</si>
  <si>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</si>
  <si>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</si>
  <si>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</si>
  <si>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</si>
  <si>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</si>
  <si>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</si>
  <si>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</si>
  <si>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</si>
  <si>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</si>
  <si>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</si>
  <si>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</si>
  <si>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</si>
  <si>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</si>
  <si>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</si>
  <si>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</si>
  <si>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</si>
  <si>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</si>
  <si>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</si>
  <si>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</si>
  <si>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</si>
  <si>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</si>
  <si>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</si>
  <si>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</si>
  <si>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</si>
  <si>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</si>
  <si>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</si>
  <si>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</si>
  <si>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</si>
  <si>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</si>
  <si>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</si>
  <si>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</si>
  <si>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</si>
  <si>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</si>
  <si>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</si>
  <si>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</si>
  <si>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</si>
  <si>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</si>
  <si>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</si>
  <si>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</si>
  <si>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</si>
  <si>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</si>
  <si>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</si>
  <si>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</si>
  <si>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</si>
  <si>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</si>
  <si>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</si>
  <si>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</si>
  <si>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</si>
  <si>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</si>
  <si>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</si>
  <si>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</si>
  <si>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</si>
  <si>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</si>
  <si>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</si>
  <si>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</si>
  <si>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</si>
  <si>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</si>
  <si>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</si>
  <si>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</si>
  <si>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</si>
  <si>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</si>
  <si>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</si>
  <si>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</si>
  <si>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</si>
  <si>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</si>
  <si>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</si>
  <si>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</si>
  <si>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</si>
  <si>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</si>
  <si>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</si>
  <si>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</si>
  <si>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</si>
  <si>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</si>
  <si>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</si>
  <si>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</si>
  <si>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</si>
  <si>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</si>
  <si>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</si>
  <si>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</si>
  <si>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</si>
  <si>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</si>
  <si>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</si>
  <si>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</si>
  <si>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</si>
  <si>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</si>
  <si>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</si>
  <si>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</si>
  <si>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</si>
  <si>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</si>
  <si>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</si>
  <si>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</si>
  <si>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</si>
  <si>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</si>
  <si>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</si>
  <si>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</si>
  <si>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</si>
  <si>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</si>
  <si>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</si>
  <si>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</si>
  <si>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</si>
  <si>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</si>
  <si>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</si>
  <si>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</si>
  <si>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</si>
  <si>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</si>
  <si>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</si>
  <si>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</si>
  <si>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</si>
  <si>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</si>
  <si>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</si>
  <si>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</si>
  <si>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</si>
  <si>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</si>
  <si>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</si>
  <si>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</si>
  <si>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</si>
  <si>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</si>
  <si>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</si>
  <si>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</si>
  <si>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</si>
  <si>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</si>
  <si>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</si>
  <si>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</si>
  <si>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</si>
  <si>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</si>
  <si>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</si>
  <si>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</si>
  <si>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</si>
  <si>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</si>
  <si>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</si>
  <si>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</si>
  <si>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</si>
  <si>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</si>
  <si>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</si>
  <si>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</si>
  <si>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</si>
  <si>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</si>
  <si>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</si>
  <si>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</si>
  <si>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</si>
  <si>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</si>
  <si>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</si>
  <si>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</si>
  <si>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</si>
  <si>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</si>
  <si>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</si>
  <si>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</si>
  <si>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</si>
  <si>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</si>
  <si>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</si>
  <si>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</si>
  <si>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</si>
  <si>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</si>
  <si>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</si>
  <si>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</si>
  <si>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</si>
  <si>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</si>
  <si>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</si>
  <si>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</si>
  <si>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</si>
  <si>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</si>
  <si>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</si>
  <si>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</si>
  <si>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</si>
  <si>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</si>
  <si>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</si>
  <si>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</si>
  <si>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</si>
  <si>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</si>
  <si>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</si>
  <si>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</si>
  <si>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</si>
  <si>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</si>
  <si>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</si>
  <si>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</si>
  <si>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</si>
  <si>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</si>
  <si>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</si>
  <si>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</si>
  <si>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</si>
  <si>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</si>
  <si>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</si>
  <si>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</si>
  <si>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</si>
  <si>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</si>
  <si>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</si>
  <si>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</si>
  <si>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</si>
  <si>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</si>
  <si>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</si>
  <si>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</si>
  <si>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</si>
  <si>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</si>
  <si>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</si>
  <si>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</si>
  <si>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</si>
  <si>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</si>
  <si>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</si>
  <si>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</si>
  <si>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</si>
  <si>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</si>
  <si>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</si>
  <si>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</si>
  <si>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</si>
  <si>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</si>
  <si>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</si>
  <si>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</si>
  <si>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</si>
  <si>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</si>
  <si>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</si>
  <si>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</si>
  <si>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</si>
  <si>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</si>
  <si>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</si>
  <si>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</si>
  <si>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</si>
  <si>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</si>
  <si>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</si>
  <si>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</si>
  <si>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</si>
  <si>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</si>
  <si>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</si>
  <si>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</si>
  <si>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</si>
  <si>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</si>
  <si>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</si>
  <si>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</si>
  <si>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</si>
  <si>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</si>
  <si>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</si>
  <si>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</si>
  <si>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</si>
  <si>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</si>
  <si>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</si>
  <si>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</si>
  <si>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</si>
  <si>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</si>
  <si>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</si>
  <si>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</si>
  <si>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</si>
  <si>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</si>
  <si>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</si>
  <si>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</si>
  <si>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</si>
  <si>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</si>
  <si>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</si>
  <si>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</si>
  <si>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</si>
  <si>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</si>
  <si>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</si>
  <si>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</si>
  <si>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</si>
  <si>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</si>
  <si>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</si>
  <si>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</si>
  <si>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</si>
  <si>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</si>
  <si>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</si>
  <si>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</si>
  <si>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</si>
  <si>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</si>
  <si>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</si>
  <si>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</si>
  <si>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</si>
  <si>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</si>
  <si>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</si>
  <si>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</si>
  <si>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</si>
  <si>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</si>
  <si>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</si>
  <si>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</si>
  <si>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</si>
  <si>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</si>
  <si>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</si>
  <si>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</si>
  <si>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</si>
  <si>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</si>
  <si>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</si>
  <si>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</si>
  <si>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</si>
  <si>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</si>
  <si>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</si>
  <si>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</si>
  <si>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</si>
  <si>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</si>
  <si>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</si>
  <si>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</si>
  <si>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</si>
  <si>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</si>
  <si>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</si>
  <si>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</si>
  <si>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</si>
  <si>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</si>
  <si>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</si>
  <si>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</si>
  <si>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</si>
  <si>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</si>
  <si>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</si>
  <si>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</si>
  <si>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</si>
  <si>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</si>
  <si>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</si>
  <si>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</si>
  <si>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</si>
  <si>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</si>
  <si>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</si>
  <si>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</si>
  <si>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</si>
  <si>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</si>
  <si>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</si>
  <si>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</si>
  <si>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</si>
  <si>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</si>
  <si>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</si>
  <si>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</si>
  <si>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</si>
  <si>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</si>
  <si>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</si>
  <si>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</si>
  <si>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</si>
  <si>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</si>
  <si>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</si>
  <si>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</si>
  <si>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</si>
  <si>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</si>
  <si>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</si>
  <si>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</si>
  <si>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</si>
  <si>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</si>
  <si>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</si>
  <si>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</si>
  <si>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</si>
  <si>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</si>
  <si>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</si>
  <si>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</si>
  <si>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</si>
  <si>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</si>
  <si>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</si>
  <si>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</si>
  <si>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</si>
  <si>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</si>
  <si>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</si>
  <si>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</si>
  <si>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</si>
  <si>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</si>
  <si>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</si>
  <si>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</si>
  <si>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</si>
  <si>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</si>
  <si>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</si>
  <si>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</si>
  <si>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</si>
  <si>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</si>
  <si>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</si>
  <si>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</si>
  <si>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</si>
  <si>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</si>
  <si>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</si>
  <si>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</si>
  <si>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</si>
  <si>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</si>
  <si>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</si>
  <si>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</si>
  <si>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</si>
  <si>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</si>
  <si>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</si>
  <si>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</si>
  <si>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</si>
  <si>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</si>
  <si>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</si>
  <si>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</si>
  <si>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</si>
  <si>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</si>
  <si>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</si>
  <si>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</si>
  <si>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</si>
  <si>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</si>
  <si>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</si>
  <si>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</si>
  <si>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</si>
  <si>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</si>
  <si>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</si>
  <si>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</si>
  <si>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</si>
  <si>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</si>
  <si>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</si>
  <si>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</si>
  <si>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</si>
  <si>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</si>
  <si>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</si>
  <si>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</si>
  <si>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</si>
  <si>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</si>
  <si>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</si>
  <si>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</si>
  <si>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</si>
  <si>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</si>
  <si>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</si>
  <si>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</si>
  <si>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</si>
  <si>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</si>
  <si>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</si>
  <si>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</si>
  <si>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</si>
  <si>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</si>
  <si>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</si>
  <si>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</si>
  <si>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</si>
  <si>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</si>
  <si>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</si>
  <si>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</si>
  <si>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</si>
  <si>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</si>
  <si>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</si>
  <si>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</si>
  <si>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</si>
  <si>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</si>
  <si>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</si>
  <si>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</si>
  <si>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</si>
  <si>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</si>
  <si>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</si>
  <si>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</si>
  <si>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</si>
  <si>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</si>
  <si>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</si>
  <si>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</si>
  <si>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</si>
  <si>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</si>
  <si>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</si>
  <si>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</si>
  <si>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</si>
  <si>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</si>
  <si>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</si>
  <si>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</si>
  <si>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</si>
  <si>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</si>
  <si>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</si>
  <si>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</si>
  <si>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</si>
  <si>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</si>
  <si>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</si>
  <si>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</si>
  <si>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</si>
  <si>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</si>
  <si>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</si>
  <si>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</si>
  <si>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</si>
  <si>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</si>
  <si>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</si>
  <si>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</si>
  <si>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</si>
  <si>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</si>
  <si>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</si>
  <si>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</si>
  <si>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</si>
  <si>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</si>
  <si>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</si>
  <si>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</si>
  <si>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</si>
  <si>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</si>
  <si>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</si>
  <si>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</si>
  <si>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</si>
  <si>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</si>
  <si>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</si>
  <si>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</si>
  <si>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</si>
  <si>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</si>
  <si>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</si>
  <si>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</si>
  <si>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</si>
  <si>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</si>
  <si>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</si>
  <si>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</si>
  <si>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</si>
  <si>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</si>
  <si>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</si>
  <si>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</si>
  <si>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</si>
  <si>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</si>
  <si>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</si>
  <si>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</si>
  <si>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</si>
  <si>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</si>
  <si>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</si>
  <si>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</si>
  <si>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</si>
  <si>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</si>
  <si>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</si>
  <si>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</si>
  <si>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</si>
  <si>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</si>
  <si>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</si>
  <si>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</si>
  <si>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</si>
  <si>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</si>
  <si>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</si>
  <si>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</si>
  <si>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</si>
  <si>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</si>
  <si>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</si>
  <si>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</si>
  <si>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</si>
  <si>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</si>
  <si>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</si>
  <si>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</si>
  <si>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</si>
  <si>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</si>
  <si>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</si>
  <si>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</si>
  <si>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</si>
  <si>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</si>
  <si>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</si>
  <si>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</si>
  <si>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</si>
  <si>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</si>
  <si>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</si>
  <si>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</si>
  <si>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</si>
  <si>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</si>
  <si>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</si>
  <si>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</si>
  <si>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</si>
  <si>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</si>
  <si>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</si>
  <si>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</si>
  <si>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</si>
  <si>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</si>
  <si>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</si>
  <si>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</si>
  <si>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</si>
  <si>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</si>
  <si>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</si>
  <si>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</si>
  <si>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</si>
  <si>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</si>
  <si>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</si>
  <si>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</si>
  <si>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</si>
  <si>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</si>
  <si>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</si>
  <si>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</si>
  <si>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</si>
  <si>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</si>
  <si>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</si>
  <si>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</si>
  <si>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</si>
  <si>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</si>
  <si>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</si>
  <si>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</si>
  <si>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</si>
  <si>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</si>
  <si>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</si>
  <si>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</si>
  <si>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</si>
  <si>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</si>
  <si>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</si>
  <si>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</si>
  <si>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</si>
  <si>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</si>
  <si>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</si>
  <si>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</si>
  <si>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</si>
  <si>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</si>
  <si>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</si>
  <si>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</si>
  <si>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</si>
  <si>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</si>
  <si>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</si>
  <si>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</si>
  <si>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</si>
  <si>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</si>
  <si>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</si>
  <si>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</si>
  <si>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</si>
  <si>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</si>
  <si>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</si>
  <si>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</si>
  <si>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</si>
  <si>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</si>
  <si>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</si>
  <si>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</si>
  <si>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</si>
  <si>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</si>
  <si>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</si>
  <si>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</si>
  <si>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</si>
  <si>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</si>
  <si>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</si>
  <si>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</si>
  <si>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</si>
  <si>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</si>
  <si>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</si>
  <si>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</si>
  <si>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</si>
  <si>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</si>
  <si>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</si>
  <si>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</si>
  <si>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</si>
  <si>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</si>
  <si>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</si>
  <si>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</si>
  <si>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</si>
  <si>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</si>
  <si>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</si>
  <si>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</si>
  <si>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</si>
  <si>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</si>
  <si>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</si>
  <si>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</si>
  <si>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</si>
  <si>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</si>
  <si>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</si>
  <si>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</si>
  <si>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</si>
  <si>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</si>
  <si>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</si>
  <si>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</si>
  <si>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</si>
  <si>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</si>
  <si>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</si>
  <si>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</si>
  <si>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</si>
  <si>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</si>
  <si>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</si>
  <si>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</si>
  <si>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</si>
  <si>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</si>
  <si>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</si>
  <si>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</si>
  <si>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</si>
  <si>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</si>
  <si>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</si>
  <si>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</si>
  <si>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</si>
  <si>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</si>
  <si>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</si>
  <si>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</si>
  <si>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</si>
  <si>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</si>
  <si>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</si>
  <si>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</si>
  <si>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</si>
  <si>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</si>
  <si>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</si>
  <si>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</si>
  <si>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</si>
  <si>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</si>
  <si>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</si>
  <si>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</si>
  <si>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</si>
  <si>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</si>
  <si>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</si>
  <si>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</si>
  <si>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</si>
  <si>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</si>
  <si>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</si>
  <si>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</si>
  <si>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</si>
  <si>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</si>
  <si>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</si>
  <si>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</si>
  <si>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</si>
  <si>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</si>
  <si>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</si>
  <si>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</si>
  <si>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</si>
  <si>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</si>
  <si>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</si>
  <si>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</si>
  <si>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</si>
  <si>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</si>
  <si>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</si>
  <si>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</si>
  <si>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</si>
  <si>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</si>
  <si>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</si>
  <si>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</si>
  <si>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</si>
  <si>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</si>
  <si>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</si>
  <si>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</si>
  <si>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</si>
  <si>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</si>
  <si>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</si>
  <si>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</si>
  <si>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</si>
  <si>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</si>
  <si>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</si>
  <si>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</si>
  <si>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</si>
  <si>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</si>
  <si>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</si>
  <si>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</si>
  <si>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</si>
  <si>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</si>
  <si>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</si>
  <si>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</si>
  <si>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</si>
  <si>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</si>
  <si>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</si>
  <si>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</si>
  <si>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</si>
  <si>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</si>
  <si>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</si>
  <si>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</si>
  <si>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</si>
  <si>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</si>
  <si>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</si>
  <si>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</si>
  <si>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</si>
  <si>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</si>
  <si>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</si>
  <si>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</si>
  <si>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</si>
  <si>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</si>
  <si>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</si>
  <si>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</si>
  <si>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</si>
  <si>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</si>
  <si>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</si>
  <si>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</si>
  <si>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</si>
  <si>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</si>
  <si>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</si>
  <si>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</si>
  <si>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</si>
  <si>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</si>
  <si>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</si>
  <si>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</si>
  <si>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</si>
  <si>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</si>
  <si>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</si>
  <si>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</si>
  <si>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</si>
  <si>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</si>
  <si>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</si>
  <si>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</si>
  <si>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</si>
  <si>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</si>
  <si>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</si>
  <si>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</si>
  <si>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</si>
  <si>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</si>
  <si>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</si>
  <si>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</si>
  <si>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</si>
  <si>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</si>
  <si>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</si>
  <si>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</si>
  <si>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</si>
  <si>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</si>
  <si>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</si>
  <si>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</si>
  <si>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</si>
  <si>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</si>
  <si>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</si>
  <si>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</si>
  <si>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</si>
  <si>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</si>
  <si>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</si>
  <si>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</si>
  <si>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</si>
  <si>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</si>
  <si>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</si>
  <si>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</si>
  <si>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</si>
  <si>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</si>
  <si>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</si>
  <si>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</si>
  <si>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</si>
  <si>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</si>
  <si>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</si>
  <si>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</si>
  <si>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</si>
  <si>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</si>
  <si>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</si>
  <si>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</si>
  <si>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</si>
  <si>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</si>
  <si>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</si>
  <si>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</si>
  <si>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</si>
  <si>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</si>
  <si>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</si>
  <si>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</si>
  <si>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</si>
  <si>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</si>
  <si>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</si>
  <si>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</si>
  <si>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</si>
  <si>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</si>
  <si>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</si>
  <si>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</si>
  <si>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</si>
  <si>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</si>
  <si>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</si>
  <si>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</si>
  <si>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</si>
  <si>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</si>
  <si>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</si>
  <si>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</si>
  <si>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</si>
  <si>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</si>
  <si>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</si>
  <si>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</si>
  <si>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</si>
  <si>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</si>
  <si>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</si>
  <si>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</si>
  <si>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</si>
  <si>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</si>
  <si>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</si>
  <si>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</si>
  <si>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</si>
  <si>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</si>
  <si>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</si>
  <si>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</si>
  <si>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</si>
  <si>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</si>
  <si>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</si>
  <si>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</si>
  <si>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</si>
  <si>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</si>
  <si>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</si>
  <si>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</si>
  <si>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</si>
  <si>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</si>
  <si>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</si>
  <si>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</si>
  <si>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</si>
  <si>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</si>
  <si>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</si>
  <si>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</si>
  <si>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</si>
  <si>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</si>
  <si>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</si>
  <si>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</si>
  <si>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</si>
  <si>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</si>
  <si>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</si>
  <si>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</si>
  <si>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</si>
  <si>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</si>
  <si>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</si>
  <si>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</si>
  <si>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</si>
  <si>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</si>
  <si>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</si>
  <si>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</si>
  <si>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</si>
  <si>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</si>
  <si>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</si>
  <si>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</si>
  <si>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</si>
  <si>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</si>
  <si>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</si>
  <si>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</si>
  <si>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</si>
  <si>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</si>
  <si>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</si>
  <si>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</si>
  <si>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</si>
  <si>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</si>
  <si>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</si>
  <si>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</si>
  <si>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</si>
  <si>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</si>
  <si>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</si>
  <si>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</si>
  <si>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</si>
  <si>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</si>
  <si>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</si>
  <si>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</si>
  <si>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</si>
  <si>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</si>
  <si>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</si>
  <si>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</si>
  <si>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</si>
  <si>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</si>
  <si>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</si>
  <si>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</si>
  <si>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</si>
  <si>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</si>
  <si>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</si>
  <si>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</si>
  <si>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</si>
  <si>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</si>
  <si>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</si>
  <si>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</si>
  <si>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</si>
  <si>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</si>
  <si>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</si>
  <si>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</si>
  <si>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</si>
  <si>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</si>
  <si>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</si>
  <si>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</si>
  <si>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</si>
  <si>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</si>
  <si>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</si>
  <si>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</si>
  <si>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</si>
  <si>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</si>
  <si>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</si>
  <si>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</si>
  <si>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</si>
  <si>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</si>
  <si>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</si>
  <si>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</si>
  <si>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</si>
  <si>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</si>
  <si>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</si>
  <si>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</si>
  <si>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</si>
  <si>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</si>
  <si>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</si>
  <si>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</si>
  <si>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</si>
  <si>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</si>
  <si>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</si>
  <si>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</si>
  <si>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</si>
  <si>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</si>
  <si>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</si>
  <si>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</si>
  <si>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</si>
  <si>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</si>
  <si>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</si>
  <si>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</si>
  <si>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</si>
  <si>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</si>
  <si>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</si>
  <si>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</si>
  <si>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</si>
  <si>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</si>
  <si>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</si>
  <si>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</si>
  <si>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</si>
  <si>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</si>
  <si>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</si>
  <si>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</si>
  <si>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</si>
  <si>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</si>
  <si>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</si>
  <si>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</si>
  <si>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</si>
  <si>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</si>
  <si>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</si>
  <si>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</si>
  <si>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</si>
  <si>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</si>
  <si>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</si>
  <si>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</si>
  <si>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</si>
  <si>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</si>
  <si>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</si>
  <si>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</si>
  <si>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</si>
  <si>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</si>
  <si>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</si>
  <si>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</si>
  <si>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</si>
  <si>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</si>
  <si>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</si>
  <si>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</si>
  <si>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</si>
  <si>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</si>
  <si>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</si>
  <si>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</si>
  <si>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</si>
  <si>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</si>
  <si>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</si>
  <si>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</si>
  <si>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</si>
  <si>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</si>
  <si>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</si>
  <si>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</si>
  <si>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</si>
  <si>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</si>
  <si>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</si>
  <si>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</si>
  <si>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</si>
  <si>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</si>
  <si>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</si>
  <si>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</si>
  <si>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</si>
  <si>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</si>
  <si>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</si>
  <si>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</si>
  <si>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</si>
  <si>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</si>
  <si>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</si>
  <si>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</si>
  <si>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</si>
  <si>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</si>
  <si>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</si>
  <si>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</si>
  <si>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</si>
  <si>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</si>
  <si>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</si>
  <si>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</si>
  <si>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</si>
  <si>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</si>
  <si>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</si>
  <si>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</si>
  <si>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</si>
  <si>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</si>
  <si>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</si>
  <si>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</si>
  <si>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</si>
  <si>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</si>
  <si>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</si>
  <si>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</si>
  <si>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</si>
  <si>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</si>
  <si>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</si>
  <si>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</si>
  <si>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</si>
  <si>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</si>
  <si>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</si>
  <si>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</si>
  <si>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</si>
  <si>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</si>
  <si>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</si>
  <si>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</si>
  <si>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</si>
  <si>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</si>
  <si>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</si>
  <si>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</si>
  <si>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</si>
  <si>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</si>
  <si>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</si>
  <si>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</si>
  <si>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</si>
  <si>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</si>
  <si>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</si>
  <si>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</si>
  <si>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</si>
  <si>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</si>
  <si>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</si>
  <si>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</si>
  <si>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</si>
  <si>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</si>
  <si>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</si>
  <si>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</si>
  <si>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</si>
  <si>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</si>
  <si>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</si>
  <si>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</si>
  <si>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</si>
  <si>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</si>
  <si>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</si>
  <si>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</si>
  <si>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</si>
  <si>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</si>
  <si>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</si>
  <si>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</si>
  <si>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</si>
  <si>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</si>
  <si>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</si>
  <si>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</si>
  <si>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</si>
  <si>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</si>
  <si>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</si>
  <si>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</si>
  <si>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</si>
  <si>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</si>
  <si>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</si>
  <si>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</si>
  <si>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</si>
  <si>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</si>
  <si>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</si>
  <si>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</si>
  <si>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</si>
  <si>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</si>
  <si>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</si>
  <si>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</si>
  <si>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</si>
  <si>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</si>
  <si>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</si>
  <si>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</si>
  <si>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</si>
  <si>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</si>
  <si>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</si>
  <si>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</si>
  <si>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</si>
  <si>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</si>
  <si>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</si>
  <si>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</si>
  <si>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</si>
  <si>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</si>
  <si>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</si>
  <si>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</si>
  <si>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</si>
  <si>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</si>
  <si>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</si>
  <si>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</si>
  <si>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</si>
  <si>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</si>
  <si>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</si>
  <si>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</si>
  <si>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</si>
  <si>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</si>
  <si>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</si>
  <si>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</si>
  <si>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</si>
  <si>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</si>
  <si>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</si>
  <si>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</si>
  <si>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</si>
  <si>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</si>
  <si>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</si>
  <si>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</si>
  <si>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</si>
  <si>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</si>
  <si>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</si>
  <si>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</si>
  <si>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</si>
  <si>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</si>
  <si>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</si>
  <si>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</si>
  <si>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</si>
  <si>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</si>
  <si>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</si>
  <si>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</si>
  <si>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</si>
  <si>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</si>
  <si>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</si>
  <si>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</si>
  <si>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</si>
  <si>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</si>
  <si>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</si>
  <si>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</si>
  <si>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</si>
  <si>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</si>
  <si>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</si>
  <si>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</si>
  <si>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</si>
  <si>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</si>
  <si>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</si>
  <si>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</si>
  <si>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</si>
  <si>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</si>
  <si>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</si>
  <si>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</si>
  <si>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</si>
  <si>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</si>
  <si>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</si>
  <si>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</si>
  <si>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</si>
  <si>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</si>
  <si>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</si>
  <si>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</si>
  <si>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</si>
  <si>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</si>
  <si>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</si>
  <si>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</si>
  <si>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</si>
  <si>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</si>
  <si>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</si>
  <si>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</si>
  <si>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</si>
  <si>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</si>
  <si>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</si>
  <si>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</si>
  <si>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</si>
  <si>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</si>
  <si>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</si>
  <si>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</si>
  <si>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</si>
  <si>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</si>
  <si>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</si>
  <si>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</si>
  <si>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</si>
  <si>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</si>
  <si>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</si>
  <si>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</si>
  <si>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</si>
  <si>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</si>
  <si>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</si>
  <si>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</si>
  <si>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</si>
  <si>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</si>
  <si>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</si>
  <si>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</si>
  <si>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</si>
  <si>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</si>
  <si>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</si>
  <si>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</si>
  <si>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</si>
  <si>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</si>
  <si>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</si>
  <si>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</si>
  <si>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</si>
  <si>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</si>
  <si>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</si>
  <si>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</si>
  <si>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</si>
  <si>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</si>
  <si>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</si>
  <si>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</si>
  <si>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</si>
  <si>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</si>
  <si>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</si>
  <si>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</si>
  <si>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</si>
  <si>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</si>
  <si>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</si>
  <si>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</si>
  <si>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</si>
  <si>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</si>
  <si>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</si>
  <si>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</si>
  <si>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</si>
  <si>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</si>
  <si>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</si>
  <si>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</si>
  <si>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</si>
  <si>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</si>
  <si>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</si>
  <si>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</si>
  <si>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</si>
  <si>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</si>
  <si>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</si>
  <si>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</si>
  <si>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</si>
  <si>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</si>
  <si>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</si>
  <si>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</si>
  <si>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</si>
  <si>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</si>
  <si>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</si>
  <si>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</si>
  <si>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</si>
  <si>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</si>
  <si>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</si>
  <si>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</si>
  <si>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</si>
  <si>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</si>
  <si>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</si>
  <si>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</si>
  <si>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</si>
  <si>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</si>
  <si>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</si>
  <si>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</si>
  <si>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</si>
  <si>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</si>
  <si>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</si>
  <si>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</si>
  <si>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</si>
  <si>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</si>
  <si>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</si>
  <si>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</si>
  <si>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</si>
  <si>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</si>
  <si>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</si>
  <si>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</si>
  <si>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</si>
  <si>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</si>
  <si>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</si>
  <si>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</si>
  <si>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</si>
  <si>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</si>
  <si>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</si>
  <si>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</si>
  <si>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</si>
  <si>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</si>
  <si>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</si>
  <si>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</si>
  <si>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</si>
  <si>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</si>
  <si>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</si>
  <si>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</si>
  <si>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</si>
  <si>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</si>
  <si>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</si>
  <si>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</si>
  <si>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</si>
  <si>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</si>
  <si>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</si>
  <si>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</si>
  <si>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</si>
  <si>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</si>
  <si>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</si>
  <si>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</si>
  <si>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</si>
  <si>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</si>
  <si>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</si>
  <si>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</si>
  <si>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</si>
  <si>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</si>
  <si>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</si>
  <si>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</si>
  <si>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</si>
  <si>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</si>
  <si>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</si>
  <si>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</si>
  <si>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</si>
  <si>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</si>
  <si>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</si>
  <si>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</si>
  <si>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</si>
  <si>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</si>
  <si>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</si>
  <si>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</si>
  <si>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</si>
  <si>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</si>
  <si>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</si>
  <si>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</si>
  <si>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</si>
  <si>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</si>
  <si>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</si>
  <si>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</si>
  <si>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</si>
  <si>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</si>
  <si>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</si>
  <si>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</si>
  <si>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</si>
  <si>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</si>
  <si>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</si>
  <si>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</si>
  <si>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</si>
  <si>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江心明月03A地块未售房源清单（对外销售价格，截至2021.1.27）</t>
    <phoneticPr fontId="140" type="noConversion"/>
  </si>
  <si>
    <t>序号</t>
  </si>
  <si>
    <t>项目名称</t>
  </si>
  <si>
    <t>产品类型</t>
  </si>
  <si>
    <t>楼栋</t>
  </si>
  <si>
    <t>室号</t>
  </si>
  <si>
    <t>建筑面积</t>
  </si>
  <si>
    <t>销售状态</t>
  </si>
  <si>
    <t>备案价</t>
  </si>
  <si>
    <t>补充协议价</t>
  </si>
  <si>
    <t>车位表价</t>
  </si>
  <si>
    <t>合计（元）</t>
  </si>
  <si>
    <t>春江明月西园一期</t>
  </si>
  <si>
    <t>联排</t>
  </si>
  <si>
    <t>未售</t>
  </si>
  <si>
    <t>双拼</t>
  </si>
  <si>
    <t>洋房</t>
  </si>
  <si>
    <t>备案单价</t>
    <phoneticPr fontId="140" type="noConversion"/>
  </si>
  <si>
    <t>实际单价</t>
    <phoneticPr fontId="140" type="noConversion"/>
  </si>
  <si>
    <t>地上</t>
  </si>
  <si>
    <t>住宅</t>
  </si>
  <si>
    <t>是</t>
  </si>
  <si>
    <t>洋房</t>
    <phoneticPr fontId="7" type="noConversion"/>
  </si>
  <si>
    <t>联排</t>
    <phoneticPr fontId="7" type="noConversion"/>
  </si>
  <si>
    <t>双拼</t>
    <phoneticPr fontId="7" type="noConversion"/>
  </si>
  <si>
    <t>洋房</t>
    <phoneticPr fontId="140" type="noConversion"/>
  </si>
  <si>
    <t>联排</t>
    <phoneticPr fontId="140" type="noConversion"/>
  </si>
  <si>
    <t>双拼</t>
    <phoneticPr fontId="140" type="noConversion"/>
  </si>
  <si>
    <t>出让</t>
  </si>
  <si>
    <t>成本法</t>
  </si>
  <si>
    <t>假设开发法</t>
  </si>
  <si>
    <t>在建</t>
  </si>
  <si>
    <t>项目局部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</si>
  <si>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</si>
  <si>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</si>
  <si>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</si>
  <si>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</si>
  <si>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</si>
  <si>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</si>
  <si>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</si>
  <si>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</si>
  <si>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</si>
  <si>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</si>
  <si>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</si>
  <si>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</si>
  <si>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</si>
  <si>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</si>
  <si>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</si>
  <si>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</si>
  <si>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温州市核心片区洪殿单元B-31地块</t>
  </si>
  <si>
    <t>温州市</t>
  </si>
  <si>
    <t>综合用地(含住宅)</t>
  </si>
  <si>
    <t>1.3≤容积率≤3.0</t>
  </si>
  <si>
    <t>挂牌</t>
  </si>
  <si>
    <t>城镇住宅用地(普通商品房)/零售商业用地、餐饮用地</t>
  </si>
  <si>
    <t>2021-02-03</t>
  </si>
  <si>
    <t>中建国际投资(杭州)有限公司</t>
  </si>
  <si>
    <t>5星</t>
  </si>
  <si>
    <t>温州市核心片区洪殿单元D-30地块</t>
  </si>
  <si>
    <t>1.3≤容积率≤2.0</t>
  </si>
  <si>
    <t>温州市旧城E-30b地块</t>
  </si>
  <si>
    <t>1.5≤容积率≤2.81</t>
  </si>
  <si>
    <t>城镇住宅用地(普通商品房)/零售商业用地、餐饮用地、商务金融用地</t>
  </si>
  <si>
    <t>2021-02-01</t>
  </si>
  <si>
    <t>厦门兆裕翔房地产开发有限公司</t>
  </si>
  <si>
    <t>温州市仰双片区前后京单元A-14地块</t>
  </si>
  <si>
    <t>1.3≤容积率≤2.5</t>
  </si>
  <si>
    <t>城镇住宅用地(普通商品房)/零售商业用地、餐饮用地、教育用地</t>
  </si>
  <si>
    <t>2021-01-20</t>
  </si>
  <si>
    <t>温州西部建设发展有限公司</t>
  </si>
  <si>
    <t>3星</t>
  </si>
  <si>
    <t>温州市仰双片区前后京单元A-11地块</t>
  </si>
  <si>
    <t>≥1.3,≤2.9</t>
  </si>
  <si>
    <t>城镇住宅用地(普通商品房)</t>
  </si>
  <si>
    <t>2021-01-15</t>
  </si>
  <si>
    <t>温州市鹿城区藤桥镇</t>
  </si>
  <si>
    <t>≥1.3,≤2.0</t>
  </si>
  <si>
    <t>商务金融用地、城镇住宅用地、零售商业用地、餐饮用地、批发市场用地、旅馆用地、城镇村道路用地、公园与绿地</t>
  </si>
  <si>
    <t>2020-12-30</t>
  </si>
  <si>
    <t>菜恩达集团有限公司</t>
  </si>
  <si>
    <t>4星</t>
  </si>
  <si>
    <t>温州市鹿城区南郊街道</t>
  </si>
  <si>
    <t>＞1.3,≤3.56</t>
  </si>
  <si>
    <t>城镇住宅用地、零售商业用地、餐饮用地</t>
  </si>
  <si>
    <t>2020-12-16</t>
  </si>
  <si>
    <t>中铁建设集团房地产有限公司</t>
  </si>
  <si>
    <t>温州市鹿城区双屿街道</t>
  </si>
  <si>
    <t>≥1.3且≤1.9</t>
  </si>
  <si>
    <t>2020-10-30</t>
  </si>
  <si>
    <t>温州玉利置业有限公司</t>
  </si>
  <si>
    <t>≥1.5且≤2.81</t>
  </si>
  <si>
    <t>2020-10-29</t>
  </si>
  <si>
    <t>中信房地产集团有限公司</t>
  </si>
  <si>
    <t>温州市滨江商务区03-02-21地块</t>
  </si>
  <si>
    <t>≥1.3且≤2.8</t>
  </si>
  <si>
    <t>城镇住宅用地、零售商业用地、餐饮用地、教育用地</t>
  </si>
  <si>
    <t>2020-06-11</t>
  </si>
  <si>
    <t>温州浩阔企业管理有限公司</t>
  </si>
  <si>
    <t>温州市核心片区广化单元黄龙商贸城街坊一期地块</t>
  </si>
  <si>
    <t>c-04、c-09:1.5-3.5*c-13、c-15:1.5-3.1*c-02-1:1.5-3.8</t>
  </si>
  <si>
    <t>城镇住宅用地、零售商业用地、餐饮用地、旅馆用地、商务金融用地、城镇村道路用地</t>
  </si>
  <si>
    <t>2020-05-09</t>
  </si>
  <si>
    <t>中铁建城市开发有限公司</t>
  </si>
  <si>
    <t>温州市城市中央绿轴E-13c地块</t>
  </si>
  <si>
    <t>1.5-3.2</t>
  </si>
  <si>
    <t>城镇住宅用地、零售商业用地、餐饮用地、商务金融用地</t>
  </si>
  <si>
    <t>2020-04-30</t>
  </si>
  <si>
    <t>温州市牛山片区G-03南地块</t>
  </si>
  <si>
    <t>≥1.5≤3.32</t>
  </si>
  <si>
    <t>零售商业用地、餐饮用地、旅馆用地、娱乐用地、城镇住宅用地</t>
  </si>
  <si>
    <t>2020-04-29</t>
  </si>
  <si>
    <t>杭州瑞逸企业管理有限公司</t>
  </si>
  <si>
    <t>温州市核心片区广化单元黄龙商贸城街坊二期地块</t>
  </si>
  <si>
    <t>1.5-3.0</t>
  </si>
  <si>
    <t>城镇住宅用地、零售商业用地、餐饮用地、商务金融用地、城镇村道路用地、公园与绿地</t>
  </si>
  <si>
    <t>2020-04-24</t>
  </si>
  <si>
    <t>宁波市雅拓商务服务有限公司</t>
  </si>
  <si>
    <t>1.3-3.1</t>
  </si>
  <si>
    <t>城镇住宅用地兼容零售商业用地、餐饮用地</t>
  </si>
  <si>
    <t>2020-04-20</t>
  </si>
  <si>
    <t>中建国际投资有限公司</t>
  </si>
  <si>
    <t>温州市仰双片区中央涂单元D-11地块</t>
  </si>
  <si>
    <t>1.3-3.0</t>
  </si>
  <si>
    <t>城镇住宅用地兼容零售商业用地、*餐饮用地</t>
  </si>
  <si>
    <t>中铁建设集团(温州)房地产开发有限公司</t>
  </si>
  <si>
    <t>住宅用地</t>
  </si>
  <si>
    <t>1.5-2.4</t>
  </si>
  <si>
    <t>城镇住宅用地、零售商业用地、餐饮用地、商务金融用地、教育用地、交通服务场站用地</t>
  </si>
  <si>
    <t>2020-04-15</t>
  </si>
  <si>
    <t>慈溪市涛悦置业有限公司</t>
  </si>
  <si>
    <t>温州市上陡门单元11-B-10a地块</t>
  </si>
  <si>
    <t>2020-04-02</t>
  </si>
  <si>
    <t>泰顺中浩置业有限公司</t>
  </si>
  <si>
    <t>温州市旧城隔岸垟地块</t>
  </si>
  <si>
    <t>e-24a:1.5-3.2*e-02c:1.5-1.6</t>
  </si>
  <si>
    <t>城镇住宅用地、零售商业用地、餐饮用地、商务金融用地、教育用地、公园绿地、城镇村道路用地</t>
  </si>
  <si>
    <t>福州欣益泽房地产开发有限公司</t>
  </si>
  <si>
    <t>温州市仰双片区黄龙单元瓯浦垟街坊A-24-2地块</t>
  </si>
  <si>
    <t>1.0-2.4</t>
  </si>
  <si>
    <t>城镇住宅用地兼容零售商业用地、餐饮用地、商务用地、教育用地</t>
  </si>
  <si>
    <t>2020-03-26</t>
  </si>
  <si>
    <t>温州市仰双片区中央涂单元D-32地块</t>
  </si>
  <si>
    <t>1.0-3.0</t>
  </si>
  <si>
    <t>城镇住宅用地</t>
  </si>
  <si>
    <t>2020-03-06</t>
  </si>
  <si>
    <t>温州市仰双片区中央涂单元C-31地块</t>
  </si>
  <si>
    <t>1.0-2.9</t>
  </si>
  <si>
    <t>2020-02-19</t>
  </si>
  <si>
    <t>杭州浙扬企业管理有限公司</t>
  </si>
  <si>
    <t>温州市城市中心区A-41a地块</t>
  </si>
  <si>
    <t>2020-01-17</t>
  </si>
  <si>
    <t>温州市核心片区葡萄棚单元B-04a地块</t>
  </si>
  <si>
    <t>1.0-2.81</t>
  </si>
  <si>
    <t>2020-01-15</t>
  </si>
  <si>
    <t>杭州新杰企业管理有限公司</t>
  </si>
  <si>
    <t>温州市仰双片区中央涂单元D-05b地块</t>
  </si>
  <si>
    <t>≥1.0且≤2.2</t>
  </si>
  <si>
    <t>城镇住宅用地兼容零售商业用地、餐饮用地、商务金融用地、教育用地</t>
  </si>
  <si>
    <t>2019-10-31</t>
  </si>
  <si>
    <t>温州市广化桥路周边D-4-1地块</t>
  </si>
  <si>
    <t>1.0-1.8</t>
  </si>
  <si>
    <t>2019-10-17</t>
  </si>
  <si>
    <t>杭州润仕企业管理咨询有限公司</t>
  </si>
  <si>
    <t>温州市城市中央绿轴区域G-13地块</t>
  </si>
  <si>
    <t>1.0＜容积率≤3.1</t>
  </si>
  <si>
    <t>零售商业用地、餐饮用地、商务金融用地</t>
  </si>
  <si>
    <t>2019-10-11</t>
  </si>
  <si>
    <t>保利浙南房地产开发有限公司</t>
  </si>
  <si>
    <t>温州市中央涂单元D-13a地块</t>
  </si>
  <si>
    <t>＞1.0≤2.9</t>
  </si>
  <si>
    <t>2019-09-05</t>
  </si>
  <si>
    <t>温州龙地置业有限公司,坤和建设集团股份有限公司</t>
  </si>
  <si>
    <t>温州市城市中央绿轴E-28a地块</t>
  </si>
  <si>
    <t>≥1.0≤3.5</t>
  </si>
  <si>
    <t>城镇住宅用地、零售商业用地、餐饮用地、旅馆用地、商务金融用地,公园绿地</t>
  </si>
  <si>
    <t>2019-08-07</t>
  </si>
  <si>
    <t>温州市核心片区江滨单元垟儿地块</t>
  </si>
  <si>
    <t>≥1.0≤1.9</t>
  </si>
  <si>
    <t>城镇住宅用地、零售商业用地、餐饮用地、公园绿地</t>
  </si>
  <si>
    <t>2019-07-15</t>
  </si>
  <si>
    <t>温州市垠泽置业有限公司</t>
  </si>
  <si>
    <t>温州市核心片区九山单元A-11地块</t>
  </si>
  <si>
    <t>＞1.0≤3.0</t>
  </si>
  <si>
    <t>拍卖</t>
  </si>
  <si>
    <t>2019-07-10</t>
  </si>
  <si>
    <t>苏州沛茂置业有限公司</t>
  </si>
  <si>
    <t>温州市城市中心区D-28-1地块</t>
  </si>
  <si>
    <t>≥1.0≤2.4</t>
  </si>
  <si>
    <t>2019-06-17</t>
  </si>
  <si>
    <t>温州万筑房地产开发有限公司</t>
  </si>
  <si>
    <t>温州市核心片区葡萄棚单元B-13a地块</t>
  </si>
  <si>
    <t>≥1.0≤3.3</t>
  </si>
  <si>
    <t>2019-06-12</t>
  </si>
  <si>
    <t>温州市滨江商务区洪殿片区D-06地块</t>
  </si>
  <si>
    <t>≥1.0≤3.6</t>
  </si>
  <si>
    <t>2019-06-05</t>
  </si>
  <si>
    <t>温州慕跃投资管理有限公司</t>
  </si>
  <si>
    <t>温州市城市中心区横渎北地块</t>
  </si>
  <si>
    <t>≥1.0≤3.7</t>
  </si>
  <si>
    <t>城镇住宅用地、零售商业用地、餐饮用地、商务金融用地,公园与绿地</t>
  </si>
  <si>
    <t>2019-05-31</t>
  </si>
  <si>
    <t>上海泓喆房地产开发有限公司</t>
  </si>
  <si>
    <t>温州市仰双片区黄龙单元垟田村二期东片地块</t>
  </si>
  <si>
    <t>2019-05-29</t>
  </si>
  <si>
    <t>温州森意瓯房地产开发有限公司&amp;温州市新瓯海房屋开发有限公司</t>
  </si>
  <si>
    <t>温州仰双片区黄龙单元垟田村二期西片地块</t>
  </si>
  <si>
    <t>＞1.0≤3.5</t>
  </si>
  <si>
    <t>中建一局集团房地产开发有限公司</t>
  </si>
  <si>
    <t>温州市滨江商务区老港区二期地块</t>
  </si>
  <si>
    <t>03-01-11:1.5-4.0;*03-01-17:1.5-3.58;03-01-14:1.5-5.5;03-01-19:1.5-3.5;</t>
  </si>
  <si>
    <t>商服用地(除批发市场用地外)、城镇住宅用地、教育用地、城镇村道路用地、公园与绿地</t>
  </si>
  <si>
    <t>2019-05-27</t>
  </si>
  <si>
    <t>杭州大地航空投资有限公司</t>
  </si>
  <si>
    <t>温州市核心片区站南单元A-19地块</t>
  </si>
  <si>
    <t>2019-05-15</t>
  </si>
  <si>
    <t>宁波世圆企业管理咨询有限公司</t>
  </si>
  <si>
    <t>温州市牛山片区G-07地块</t>
  </si>
  <si>
    <t>2019-05-08</t>
  </si>
  <si>
    <t>温州隆晟企业管理咨询有限公司</t>
  </si>
  <si>
    <t>温州市核心片区牛山东单元E-25b地块</t>
  </si>
  <si>
    <t>≥1.0≤3.1</t>
  </si>
  <si>
    <t>2019-05-07</t>
  </si>
  <si>
    <t>温州市仰双片区中央涂单元C-34地块</t>
  </si>
  <si>
    <t>≥1.0≤3.26</t>
  </si>
  <si>
    <t>2019-04-26</t>
  </si>
  <si>
    <t>温州竭诚商贸有限公司</t>
  </si>
  <si>
    <t>温州市七都片区北单元03-B-22地块</t>
  </si>
  <si>
    <t>2019-04-24</t>
  </si>
  <si>
    <t>温州市核心片区葡萄棚单元A-08地块</t>
  </si>
  <si>
    <t>≥1.0≤2.8</t>
  </si>
  <si>
    <t>城镇住宅用地、公园与绿地</t>
  </si>
  <si>
    <t>2019-04-17</t>
  </si>
  <si>
    <t>温州市核心片区南塘单元C-15地块</t>
  </si>
  <si>
    <t>1.0-3.5</t>
  </si>
  <si>
    <t>2019-03-07</t>
  </si>
  <si>
    <t>温州隆翔企业管理咨询有限公司</t>
  </si>
  <si>
    <t>温州市城市中心区前网D街坊东片地块</t>
  </si>
  <si>
    <t>d-46:＞1.0且≤2.4d-47:＞1.0且≤3.0d-48:＞1.0且≤3.3</t>
  </si>
  <si>
    <t>2019-03-06</t>
  </si>
  <si>
    <t>上海红星美凯龙房地产集团有限公司*江西省省属国有企业资产经营(控股)有限公司*温州天之亩投资有限公司</t>
  </si>
  <si>
    <t>葡萄棚单元里垟地块</t>
  </si>
  <si>
    <t>b-10a:≥1.0且3.50;b-11a:≥1.0且≤3.3;</t>
  </si>
  <si>
    <t>2018-12-28</t>
  </si>
  <si>
    <t>浙江百川置业有限公司*温州市大诚房地产开发有限公司</t>
  </si>
  <si>
    <t>温州市广化单元双桥村地块</t>
  </si>
  <si>
    <t>e-10:1.0-1.8;e-20:1.0-4.0*e-24:1.0-3.8</t>
  </si>
  <si>
    <t>温州融昌置业有限公司</t>
  </si>
  <si>
    <t>温州市滨江商务区老港区一期地块</t>
  </si>
  <si>
    <t>03-01-02:≥1.0且≤4.0;03-01-06:≥1.0且≤3.5;03-01-10:≥1.0且≤3.0;</t>
  </si>
  <si>
    <t>城镇住宅用地、商务金融用地、零售商业用地、餐饮用地</t>
  </si>
  <si>
    <t>杭州星江房地产开发有限公司</t>
  </si>
  <si>
    <t>温州市核心片区葡萄棚单元B-14地块</t>
  </si>
  <si>
    <t>1.0≤容≤3.5</t>
  </si>
  <si>
    <t>2018-12-20</t>
  </si>
  <si>
    <t>中铁建设集团房地产有限公司*中国铁建投资集团有限公司</t>
  </si>
  <si>
    <t>正常</t>
  </si>
  <si>
    <t>住宅</t>
    <phoneticPr fontId="31" type="noConversion"/>
  </si>
  <si>
    <t>未包含在土地购买价格中</t>
  </si>
  <si>
    <t>全部缴纳</t>
  </si>
  <si>
    <t>已包含在土地取得成本中</t>
  </si>
  <si>
    <t>备案价</t>
    <phoneticPr fontId="140" type="noConversion"/>
  </si>
  <si>
    <t>实际总价</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</si>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</sst>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2"/>
      <name val="Times New Roman"/>
      <family val="1"/>
    </font>
    <font>
      <b/>
      <sz val="12"/>
      <color theme="1"/>
      <name val="Times New Roman"/>
      <family val="1"/>
    </font>
    <font>
      <sz val="12"/>
      <name val="宋体"/>
      <family val="3"/>
      <charset val="134"/>
      <scheme val="minor"/>
    </font>
    <font>
      <sz val="12"/>
      <color indexed="8"/>
      <name val="宋体"/>
      <family val="3"/>
      <charset val="134"/>
      <scheme val="minor"/>
    </font>
    <font>
      <b/>
      <sz val="12"/>
      <name val="宋体"/>
      <family val="3"/>
      <charset val="134"/>
      <scheme val="minor"/>
    </font>
    <font>
      <sz val="12"/>
      <name val="Times New Roman"/>
      <family val="1"/>
    </font>
    <font>
      <sz val="12"/>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55" fillId="0" borderId="0"/>
  </cellStyleXfs>
  <cellXfs count="34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pplyAlignment="1">
      <alignment horizontal="center" vertical="center"/>
    </xf>
    <xf numFmtId="177" fontId="256" fillId="0" borderId="2" xfId="17" applyNumberFormat="1" applyFont="1" applyBorder="1" applyAlignment="1">
      <alignment horizontal="center" vertical="center"/>
    </xf>
    <xf numFmtId="0" fontId="257" fillId="0" borderId="1" xfId="17" applyFont="1" applyBorder="1" applyAlignment="1">
      <alignment horizontal="center" vertical="center" shrinkToFit="1"/>
    </xf>
    <xf numFmtId="0" fontId="256" fillId="0" borderId="1" xfId="0" applyFont="1" applyBorder="1" applyAlignment="1">
      <alignment horizontal="center" vertical="center"/>
    </xf>
    <xf numFmtId="0" fontId="256" fillId="0" borderId="2" xfId="17" applyFont="1" applyBorder="1" applyAlignment="1">
      <alignment horizontal="center" vertical="center"/>
    </xf>
    <xf numFmtId="0" fontId="153" fillId="0" borderId="1" xfId="0" applyFont="1" applyBorder="1" applyAlignment="1">
      <alignment horizontal="center" vertical="center"/>
    </xf>
    <xf numFmtId="177" fontId="256" fillId="0" borderId="2" xfId="17" applyNumberFormat="1" applyFont="1" applyBorder="1" applyAlignment="1">
      <alignment horizontal="center" vertical="center" wrapText="1"/>
    </xf>
    <xf numFmtId="177" fontId="256" fillId="7" borderId="2" xfId="17" applyNumberFormat="1" applyFont="1" applyFill="1" applyBorder="1" applyAlignment="1">
      <alignment horizontal="center" vertical="center" wrapText="1"/>
    </xf>
    <xf numFmtId="179" fontId="153" fillId="0" borderId="1" xfId="0" applyNumberFormat="1" applyFont="1" applyBorder="1" applyAlignment="1">
      <alignment horizontal="center" vertical="center"/>
    </xf>
    <xf numFmtId="176" fontId="153" fillId="0" borderId="1" xfId="0" applyNumberFormat="1" applyFont="1" applyBorder="1" applyAlignment="1">
      <alignment horizontal="center" vertical="center"/>
    </xf>
    <xf numFmtId="0" fontId="256" fillId="0" borderId="2" xfId="17" applyFont="1" applyBorder="1" applyAlignment="1">
      <alignment horizontal="center" vertical="center" wrapText="1"/>
    </xf>
    <xf numFmtId="0" fontId="215" fillId="0" borderId="1" xfId="17" applyFont="1" applyBorder="1" applyAlignment="1">
      <alignment horizontal="center" vertical="center" wrapText="1"/>
    </xf>
    <xf numFmtId="0" fontId="258" fillId="0" borderId="1" xfId="0" applyFont="1" applyBorder="1" applyAlignment="1">
      <alignment horizontal="center" vertical="center" shrinkToFit="1"/>
    </xf>
    <xf numFmtId="0" fontId="258" fillId="0" borderId="1" xfId="0" applyFont="1" applyBorder="1" applyAlignment="1">
      <alignment horizontal="center" vertical="center"/>
    </xf>
    <xf numFmtId="0" fontId="122" fillId="0" borderId="1" xfId="0" applyFont="1" applyBorder="1" applyAlignment="1">
      <alignment horizontal="center" vertical="center"/>
    </xf>
    <xf numFmtId="179" fontId="122" fillId="0" borderId="1" xfId="0" applyNumberFormat="1" applyFont="1" applyBorder="1" applyAlignment="1">
      <alignment horizontal="center" vertical="center"/>
    </xf>
    <xf numFmtId="49" fontId="258" fillId="0" borderId="1" xfId="0" applyNumberFormat="1" applyFont="1" applyBorder="1" applyAlignment="1">
      <alignment horizontal="center" vertical="center"/>
    </xf>
    <xf numFmtId="177" fontId="122" fillId="0" borderId="1" xfId="0" applyNumberFormat="1" applyFont="1" applyBorder="1" applyAlignment="1">
      <alignment horizontal="center" vertical="center"/>
    </xf>
    <xf numFmtId="0" fontId="259" fillId="0" borderId="0" xfId="0" applyFont="1" applyAlignment="1">
      <alignment horizontal="center" vertical="center"/>
    </xf>
    <xf numFmtId="0" fontId="259" fillId="0" borderId="0" xfId="0" applyFont="1" applyAlignment="1">
      <alignment horizontal="center" vertical="center" shrinkToFit="1"/>
    </xf>
    <xf numFmtId="0" fontId="260" fillId="0" borderId="0" xfId="0" applyFont="1" applyAlignment="1">
      <alignment horizontal="center" vertical="center"/>
    </xf>
    <xf numFmtId="186" fontId="260" fillId="0" borderId="0" xfId="0" applyNumberFormat="1" applyFont="1" applyAlignment="1">
      <alignment horizontal="center" vertical="center"/>
    </xf>
    <xf numFmtId="49" fontId="259" fillId="0" borderId="0" xfId="0" applyNumberFormat="1" applyFont="1" applyAlignment="1">
      <alignment horizontal="center" vertical="center"/>
    </xf>
    <xf numFmtId="186" fontId="139" fillId="0" borderId="0" xfId="0" applyNumberFormat="1" applyFont="1" applyAlignment="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37" fillId="0" borderId="0" xfId="0" applyFont="1" applyAlignment="1">
      <alignment horizontal="center" vertical="center" shrinkToFit="1"/>
    </xf>
    <xf numFmtId="176" fontId="260" fillId="0" borderId="0" xfId="0" applyNumberFormat="1" applyFont="1" applyAlignment="1">
      <alignment horizontal="center" vertical="center"/>
    </xf>
    <xf numFmtId="0" fontId="55" fillId="0" borderId="0" xfId="18"/>
    <xf numFmtId="0" fontId="55" fillId="5" borderId="0" xfId="18" applyFill="1"/>
    <xf numFmtId="0" fontId="0" fillId="5" borderId="0" xfId="0" applyFill="1">
      <alignment vertical="center"/>
    </xf>
    <xf numFmtId="0" fontId="55" fillId="0" borderId="0" xfId="18" applyFill="1"/>
    <xf numFmtId="0" fontId="0" fillId="0" borderId="0" xfId="0" applyFill="1">
      <alignment vertical="center"/>
    </xf>
    <xf numFmtId="0" fontId="97" fillId="0" borderId="9" xfId="0" applyNumberFormat="1" applyFont="1" applyFill="1" applyBorder="1" applyAlignment="1" applyProtection="1">
      <alignment horizontal="center" vertical="center" wrapText="1"/>
      <protection locked="0"/>
    </xf>
    <xf numFmtId="49" fontId="37" fillId="0" borderId="0" xfId="0" applyNumberFormat="1" applyFont="1" applyAlignment="1">
      <alignment horizontal="center" vertical="center"/>
    </xf>
    <xf numFmtId="186" fontId="49" fillId="17"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141" fillId="0" borderId="13" xfId="17" applyNumberFormat="1" applyFont="1" applyBorder="1" applyAlignment="1">
      <alignment horizontal="center" vertical="center" wrapText="1"/>
    </xf>
    <xf numFmtId="49" fontId="254" fillId="0" borderId="2" xfId="17" applyNumberFormat="1" applyFont="1" applyBorder="1" applyAlignment="1">
      <alignment horizontal="center" vertical="center" wrapText="1"/>
    </xf>
    <xf numFmtId="0" fontId="126" fillId="0" borderId="4" xfId="0" applyFont="1" applyBorder="1" applyAlignment="1">
      <alignment horizontal="center" vertical="center"/>
    </xf>
    <xf numFmtId="0" fontId="126" fillId="0" borderId="60" xfId="0" applyFont="1" applyBorder="1" applyAlignment="1">
      <alignment horizontal="center" vertical="center"/>
    </xf>
    <xf numFmtId="0" fontId="141" fillId="0" borderId="13" xfId="17" applyFont="1" applyBorder="1" applyAlignment="1">
      <alignment horizontal="center" vertical="center"/>
    </xf>
    <xf numFmtId="0" fontId="254" fillId="0" borderId="2" xfId="17" applyFont="1" applyBorder="1" applyAlignment="1">
      <alignment horizontal="center" vertical="center"/>
    </xf>
    <xf numFmtId="0" fontId="141" fillId="0" borderId="22" xfId="17" applyFont="1" applyBorder="1" applyAlignment="1">
      <alignment horizontal="center" vertical="center"/>
    </xf>
    <xf numFmtId="0" fontId="254" fillId="0" borderId="7" xfId="17" applyFont="1" applyBorder="1" applyAlignment="1">
      <alignment horizontal="center" vertical="center"/>
    </xf>
    <xf numFmtId="0" fontId="139" fillId="0" borderId="13" xfId="17" applyFont="1" applyBorder="1" applyAlignment="1">
      <alignment horizontal="center" vertical="center"/>
    </xf>
    <xf numFmtId="0" fontId="255" fillId="0" borderId="2" xfId="17" applyFont="1" applyBorder="1" applyAlignment="1">
      <alignment horizontal="center" vertical="center"/>
    </xf>
    <xf numFmtId="176" fontId="141" fillId="0" borderId="13" xfId="0" applyNumberFormat="1" applyFont="1" applyBorder="1" applyAlignment="1" applyProtection="1">
      <alignment horizontal="center" vertical="center"/>
      <protection locked="0"/>
    </xf>
    <xf numFmtId="176" fontId="254" fillId="0" borderId="2" xfId="0" applyNumberFormat="1" applyFont="1" applyBorder="1" applyAlignment="1" applyProtection="1">
      <alignment horizontal="center"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151440</xdr:colOff>
      <xdr:row>0</xdr:row>
      <xdr:rowOff>0</xdr:rowOff>
    </xdr:from>
    <xdr:to>
      <xdr:col>12</xdr:col>
      <xdr:colOff>101600</xdr:colOff>
      <xdr:row>16</xdr:row>
      <xdr:rowOff>128786</xdr:rowOff>
    </xdr:to>
    <xdr:pic>
      <xdr:nvPicPr>
        <xdr:cNvPr id="2" name="图片 1">
          <a:extLst>
            <a:ext uri="{FF2B5EF4-FFF2-40B4-BE49-F238E27FC236}">
              <a16:creationId xmlns:a16="http://schemas.microsoft.com/office/drawing/2014/main" xmlns="" id="{274E1C60-9F82-43D0-AE17-F5791431952D}"/>
            </a:ext>
          </a:extLst>
        </xdr:cNvPr>
        <xdr:cNvPicPr>
          <a:picLocks noChangeAspect="1"/>
        </xdr:cNvPicPr>
      </xdr:nvPicPr>
      <xdr:blipFill>
        <a:blip xmlns:r="http://schemas.openxmlformats.org/officeDocument/2006/relationships" r:embed="rId1"/>
        <a:stretch>
          <a:fillRect/>
        </a:stretch>
      </xdr:blipFill>
      <xdr:spPr>
        <a:xfrm>
          <a:off x="151440" y="0"/>
          <a:ext cx="7265360" cy="2973586"/>
        </a:xfrm>
        <a:prstGeom prst="rect">
          <a:avLst/>
        </a:prstGeom>
      </xdr:spPr>
    </xdr:pic>
    <xdr:clientData/>
  </xdr:twoCellAnchor>
  <xdr:twoCellAnchor editAs="oneCell">
    <xdr:from>
      <xdr:col>0</xdr:col>
      <xdr:colOff>190501</xdr:colOff>
      <xdr:row>17</xdr:row>
      <xdr:rowOff>6350</xdr:rowOff>
    </xdr:from>
    <xdr:to>
      <xdr:col>12</xdr:col>
      <xdr:colOff>285751</xdr:colOff>
      <xdr:row>33</xdr:row>
      <xdr:rowOff>117403</xdr:rowOff>
    </xdr:to>
    <xdr:pic>
      <xdr:nvPicPr>
        <xdr:cNvPr id="3" name="图片 2">
          <a:extLst>
            <a:ext uri="{FF2B5EF4-FFF2-40B4-BE49-F238E27FC236}">
              <a16:creationId xmlns:a16="http://schemas.microsoft.com/office/drawing/2014/main" xmlns="" id="{5D34E4B4-5B41-4AA8-AA96-0B966363321F}"/>
            </a:ext>
          </a:extLst>
        </xdr:cNvPr>
        <xdr:cNvPicPr>
          <a:picLocks noChangeAspect="1"/>
        </xdr:cNvPicPr>
      </xdr:nvPicPr>
      <xdr:blipFill>
        <a:blip xmlns:r="http://schemas.openxmlformats.org/officeDocument/2006/relationships" r:embed="rId2"/>
        <a:stretch>
          <a:fillRect/>
        </a:stretch>
      </xdr:blipFill>
      <xdr:spPr>
        <a:xfrm>
          <a:off x="190501" y="3028950"/>
          <a:ext cx="7410450" cy="2955853"/>
        </a:xfrm>
        <a:prstGeom prst="rect">
          <a:avLst/>
        </a:prstGeom>
      </xdr:spPr>
    </xdr:pic>
    <xdr:clientData/>
  </xdr:twoCellAnchor>
  <xdr:twoCellAnchor editAs="oneCell">
    <xdr:from>
      <xdr:col>0</xdr:col>
      <xdr:colOff>159402</xdr:colOff>
      <xdr:row>34</xdr:row>
      <xdr:rowOff>25400</xdr:rowOff>
    </xdr:from>
    <xdr:to>
      <xdr:col>13</xdr:col>
      <xdr:colOff>36214</xdr:colOff>
      <xdr:row>52</xdr:row>
      <xdr:rowOff>139700</xdr:rowOff>
    </xdr:to>
    <xdr:pic>
      <xdr:nvPicPr>
        <xdr:cNvPr id="4" name="图片 3">
          <a:extLst>
            <a:ext uri="{FF2B5EF4-FFF2-40B4-BE49-F238E27FC236}">
              <a16:creationId xmlns:a16="http://schemas.microsoft.com/office/drawing/2014/main" xmlns="" id="{6EA6721B-4054-4B11-9E1B-A301A355F52E}"/>
            </a:ext>
          </a:extLst>
        </xdr:cNvPr>
        <xdr:cNvPicPr>
          <a:picLocks noChangeAspect="1"/>
        </xdr:cNvPicPr>
      </xdr:nvPicPr>
      <xdr:blipFill>
        <a:blip xmlns:r="http://schemas.openxmlformats.org/officeDocument/2006/relationships" r:embed="rId3"/>
        <a:stretch>
          <a:fillRect/>
        </a:stretch>
      </xdr:blipFill>
      <xdr:spPr>
        <a:xfrm>
          <a:off x="159402" y="6070600"/>
          <a:ext cx="7801612" cy="3314700"/>
        </a:xfrm>
        <a:prstGeom prst="rect">
          <a:avLst/>
        </a:prstGeom>
      </xdr:spPr>
    </xdr:pic>
    <xdr:clientData/>
  </xdr:twoCellAnchor>
  <xdr:twoCellAnchor editAs="oneCell">
    <xdr:from>
      <xdr:col>12</xdr:col>
      <xdr:colOff>444500</xdr:colOff>
      <xdr:row>15</xdr:row>
      <xdr:rowOff>31750</xdr:rowOff>
    </xdr:from>
    <xdr:to>
      <xdr:col>25</xdr:col>
      <xdr:colOff>5083</xdr:colOff>
      <xdr:row>28</xdr:row>
      <xdr:rowOff>140436</xdr:rowOff>
    </xdr:to>
    <xdr:pic>
      <xdr:nvPicPr>
        <xdr:cNvPr id="5" name="图片 4">
          <a:extLst>
            <a:ext uri="{FF2B5EF4-FFF2-40B4-BE49-F238E27FC236}">
              <a16:creationId xmlns:a16="http://schemas.microsoft.com/office/drawing/2014/main" xmlns="" id="{4A21B936-3FD9-42F9-9B9C-2BCFCC7E13C3}"/>
            </a:ext>
          </a:extLst>
        </xdr:cNvPr>
        <xdr:cNvPicPr>
          <a:picLocks noChangeAspect="1"/>
        </xdr:cNvPicPr>
      </xdr:nvPicPr>
      <xdr:blipFill>
        <a:blip xmlns:r="http://schemas.openxmlformats.org/officeDocument/2006/relationships" r:embed="rId4"/>
        <a:stretch>
          <a:fillRect/>
        </a:stretch>
      </xdr:blipFill>
      <xdr:spPr>
        <a:xfrm>
          <a:off x="7759700" y="2698750"/>
          <a:ext cx="7485383" cy="2420086"/>
        </a:xfrm>
        <a:prstGeom prst="rect">
          <a:avLst/>
        </a:prstGeom>
      </xdr:spPr>
    </xdr:pic>
    <xdr:clientData/>
  </xdr:twoCellAnchor>
  <xdr:twoCellAnchor editAs="oneCell">
    <xdr:from>
      <xdr:col>12</xdr:col>
      <xdr:colOff>482600</xdr:colOff>
      <xdr:row>22</xdr:row>
      <xdr:rowOff>133350</xdr:rowOff>
    </xdr:from>
    <xdr:to>
      <xdr:col>22</xdr:col>
      <xdr:colOff>297076</xdr:colOff>
      <xdr:row>40</xdr:row>
      <xdr:rowOff>41839</xdr:rowOff>
    </xdr:to>
    <xdr:pic>
      <xdr:nvPicPr>
        <xdr:cNvPr id="6" name="图片 5">
          <a:extLst>
            <a:ext uri="{FF2B5EF4-FFF2-40B4-BE49-F238E27FC236}">
              <a16:creationId xmlns:a16="http://schemas.microsoft.com/office/drawing/2014/main" xmlns="" id="{16B51763-9C23-4FD2-8A1B-88A931444E5B}"/>
            </a:ext>
          </a:extLst>
        </xdr:cNvPr>
        <xdr:cNvPicPr>
          <a:picLocks noChangeAspect="1"/>
        </xdr:cNvPicPr>
      </xdr:nvPicPr>
      <xdr:blipFill>
        <a:blip xmlns:r="http://schemas.openxmlformats.org/officeDocument/2006/relationships" r:embed="rId5"/>
        <a:stretch>
          <a:fillRect/>
        </a:stretch>
      </xdr:blipFill>
      <xdr:spPr>
        <a:xfrm>
          <a:off x="7797800" y="4044950"/>
          <a:ext cx="5910476" cy="310888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出让国有建设用地使用权及在建建筑物预评估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受贵公司委托，我公司对出让国有建设用地使用权及在建建筑物房地产抵押价值进行了预评估。</v>
      </c>
    </row>
    <row r="7" spans="1:2" s="1365" customFormat="1">
      <c r="A7" s="1363" t="s">
        <v>1231</v>
      </c>
      <c r="B7" s="1364" t="str">
        <f>'预评函-1'!A7</f>
        <v>估价对象为出让国有建设用地使用权及在建建筑物房地产，为所有。根据《国有土地使用证》[]，估价对象（分摊）出让国有建设用地使用权面积为0平方米，建筑面积为16412.02平方米。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出让国有建设用地使用权及在建建筑物房地产,属开发建设的，该项目尚在开发建设中。根据《国有土地使用证》[]，估价对象（分摊）出让国有建设用地使用权面积为0平方米，规划建筑面积为16412.02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2021年2月9日</v>
      </c>
    </row>
    <row r="13" spans="1:2" s="1365" customFormat="1">
      <c r="A13" s="1363" t="s">
        <v>1194</v>
      </c>
      <c r="B13" s="1364" t="str">
        <f>'预评函-1'!A18</f>
        <v>本次估价的“房地产价值”是指在正常市场情况下，在价值时点2021年2月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61113</v>
      </c>
    </row>
    <row r="21" spans="1:2" s="1365" customFormat="1">
      <c r="A21" s="1363" t="s">
        <v>1202</v>
      </c>
      <c r="B21" s="1364">
        <f ca="1">'预评函-2'!D7</f>
        <v>37237</v>
      </c>
    </row>
    <row r="22" spans="1:2" s="1365" customFormat="1">
      <c r="A22" s="1363" t="s">
        <v>1203</v>
      </c>
      <c r="B22" s="1364" t="str">
        <f ca="1">'预评函-2'!D6</f>
        <v>陆亿壹仟壹佰壹拾叁万元整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61113</v>
      </c>
    </row>
    <row r="31" spans="1:2" s="1365" customFormat="1">
      <c r="A31" s="1363" t="s">
        <v>1241</v>
      </c>
      <c r="B31" s="1364">
        <f ca="1">'预评函-2'!D15</f>
        <v>37237</v>
      </c>
    </row>
    <row r="32" spans="1:2" s="1365" customFormat="1">
      <c r="A32" s="1363" t="s">
        <v>1208</v>
      </c>
      <c r="B32" s="1364" t="str">
        <f ca="1">'预评函-2'!D14</f>
        <v>陆亿壹仟壹佰壹拾叁万元整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出让国有建设用地使用权及在建建筑物房地产</v>
      </c>
    </row>
    <row r="42" spans="1:2" s="1365" customFormat="1">
      <c r="A42" s="1363" t="s">
        <v>1255</v>
      </c>
      <c r="B42" s="1364" t="str">
        <f>'预评函-3'!B2</f>
        <v>建筑面积</v>
      </c>
    </row>
    <row r="43" spans="1:2" s="1365" customFormat="1">
      <c r="A43" s="1363" t="s">
        <v>1256</v>
      </c>
      <c r="B43" s="1364">
        <f>'预评函-3'!B4</f>
        <v>16412.019999999993</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51579</v>
      </c>
    </row>
    <row r="48" spans="1:2" s="1365" customFormat="1">
      <c r="A48" s="1363" t="s">
        <v>1214</v>
      </c>
      <c r="B48" s="1364">
        <f ca="1">'预评函-3'!E4</f>
        <v>31428</v>
      </c>
    </row>
    <row r="49" spans="1:2" s="1365" customFormat="1">
      <c r="A49" s="1363" t="s">
        <v>1215</v>
      </c>
      <c r="B49" s="1364" t="str">
        <f ca="1">'预评函-3'!D5</f>
        <v>伍亿壹仟伍佰柒拾玖万元整</v>
      </c>
    </row>
    <row r="50" spans="1:2" s="1365" customFormat="1">
      <c r="A50" s="1363" t="s">
        <v>1239</v>
      </c>
      <c r="B50" s="1364" t="str">
        <f>'预评函-3'!F2</f>
        <v>在建建筑物价值</v>
      </c>
    </row>
    <row r="51" spans="1:2" s="1365" customFormat="1">
      <c r="A51" s="1363" t="s">
        <v>1216</v>
      </c>
      <c r="B51" s="1364">
        <f ca="1">'预评函-3'!F4</f>
        <v>9534</v>
      </c>
    </row>
    <row r="52" spans="1:2" s="1365" customFormat="1">
      <c r="A52" s="1363" t="s">
        <v>1217</v>
      </c>
      <c r="B52" s="1364">
        <f ca="1">'预评函-3'!G4</f>
        <v>5809</v>
      </c>
    </row>
    <row r="53" spans="1:2" s="1365" customFormat="1">
      <c r="A53" s="1363" t="s">
        <v>1245</v>
      </c>
      <c r="B53" s="1364" t="str">
        <f ca="1">'预评函-3'!F5</f>
        <v>玖仟伍佰叁拾肆万元整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125" style="1693" customWidth="1"/>
    <col min="3" max="3" width="13" style="1737" customWidth="1"/>
    <col min="4" max="4" width="5.8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740" t="s">
        <v>832</v>
      </c>
      <c r="C54" s="1737" t="s">
        <v>1248</v>
      </c>
    </row>
    <row r="55" spans="1:4">
      <c r="A55" s="3131"/>
      <c r="B55" s="1740" t="s">
        <v>833</v>
      </c>
      <c r="C55" s="1737" t="s">
        <v>1249</v>
      </c>
    </row>
    <row r="56" spans="1:4">
      <c r="A56" s="3131"/>
      <c r="B56" s="1740" t="s">
        <v>834</v>
      </c>
      <c r="C56" s="1737" t="s">
        <v>1253</v>
      </c>
    </row>
    <row r="57" spans="1:4">
      <c r="A57" s="313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8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40" t="str">
        <f>IF(B10="北京市","北京市",C10)&amp;F10&amp;IF(结果表!G1="在建","出让国有建设用地使用权及在建建筑物",IF(结果表!G1="土地","出让国有建设用地使用权",))&amp;B9&amp;"预评估"</f>
        <v>出让国有建设用地使用权及在建建筑物预评估</v>
      </c>
      <c r="C1" s="3141"/>
      <c r="D1" s="3141"/>
      <c r="E1" s="3141"/>
      <c r="F1" s="3141"/>
      <c r="G1" s="3141"/>
      <c r="H1" s="3141"/>
      <c r="I1" s="3142"/>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出让国有建设用地使用权及在建建筑物房地产</v>
      </c>
      <c r="T2" s="1931"/>
      <c r="U2" s="1931"/>
      <c r="V2" s="1931"/>
      <c r="W2" s="1931"/>
      <c r="X2" s="1931"/>
      <c r="Y2" s="1931"/>
      <c r="Z2" s="1931"/>
      <c r="AA2" s="1931"/>
      <c r="AB2" s="1931"/>
    </row>
    <row r="3" spans="1:28">
      <c r="A3" s="308" t="s">
        <v>2915</v>
      </c>
      <c r="B3" s="2597"/>
      <c r="C3" s="2598" t="s">
        <v>2916</v>
      </c>
      <c r="D3" s="2597">
        <v>44236</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c r="C8" s="2614"/>
      <c r="D8" s="3143" t="s">
        <v>2922</v>
      </c>
      <c r="E8" s="2615"/>
      <c r="F8" s="2616"/>
      <c r="G8" s="2890"/>
      <c r="H8" s="2890"/>
      <c r="I8" s="2890"/>
      <c r="J8" s="2665"/>
      <c r="K8" s="2840"/>
      <c r="L8" s="2839"/>
      <c r="M8" s="2839"/>
      <c r="N8" s="2665"/>
      <c r="O8" s="2676"/>
      <c r="P8" s="2665"/>
      <c r="Q8" s="2665"/>
      <c r="R8" s="2665"/>
    </row>
    <row r="9" spans="1:28" ht="13.5" thickBot="1">
      <c r="A9" s="2617" t="s">
        <v>2923</v>
      </c>
      <c r="B9" s="2618"/>
      <c r="C9" s="2619"/>
      <c r="D9" s="3144"/>
      <c r="E9" s="2618"/>
      <c r="F9" s="2620"/>
      <c r="G9" s="2892"/>
      <c r="H9" s="2892"/>
      <c r="I9" s="2892"/>
      <c r="J9" s="2665"/>
      <c r="K9" s="2842"/>
      <c r="L9" s="2839"/>
      <c r="M9" s="2839"/>
      <c r="N9" s="2665"/>
      <c r="O9" s="2676"/>
      <c r="P9" s="2665"/>
      <c r="Q9" s="2665"/>
      <c r="R9" s="2665"/>
    </row>
    <row r="10" spans="1:28" ht="13.5" thickTop="1">
      <c r="A10" s="2621" t="s">
        <v>2924</v>
      </c>
      <c r="B10" s="2622"/>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c r="C11" s="2627"/>
      <c r="D11" s="2628"/>
      <c r="E11" s="2594"/>
      <c r="F11" s="2594"/>
      <c r="G11" s="2594"/>
      <c r="H11" s="2594"/>
      <c r="I11" s="2594"/>
      <c r="J11" s="2665"/>
      <c r="K11" s="2842"/>
      <c r="L11" s="2839"/>
      <c r="M11" s="2839"/>
      <c r="N11" s="2665"/>
      <c r="O11" s="2676"/>
      <c r="P11" s="2665"/>
      <c r="Q11" s="2665"/>
      <c r="R11" s="2665"/>
    </row>
    <row r="12" spans="1:28">
      <c r="A12" s="2629" t="s">
        <v>2927</v>
      </c>
      <c r="B12" s="2626" t="s">
        <v>3090</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66581</v>
      </c>
      <c r="E13" s="965"/>
      <c r="F13" s="965"/>
      <c r="G13" s="965"/>
      <c r="H13" s="965"/>
      <c r="I13" s="965"/>
      <c r="J13" s="2665"/>
      <c r="K13" s="2842"/>
      <c r="L13" s="2839"/>
      <c r="M13" s="2839"/>
      <c r="N13" s="2665"/>
      <c r="O13" s="2676"/>
      <c r="P13" s="2665"/>
      <c r="Q13" s="2665"/>
      <c r="R13" s="2665"/>
    </row>
    <row r="14" spans="1:28">
      <c r="A14" s="1241"/>
      <c r="B14" s="2631"/>
      <c r="C14" s="2632" t="s">
        <v>2936</v>
      </c>
      <c r="D14" s="2633">
        <v>70</v>
      </c>
      <c r="E14" s="2633"/>
      <c r="F14" s="2633"/>
      <c r="G14" s="2633"/>
      <c r="H14" s="2633"/>
      <c r="I14" s="2633"/>
      <c r="J14" s="2665"/>
      <c r="K14" s="2843"/>
      <c r="L14" s="2839"/>
      <c r="M14" s="2839"/>
      <c r="N14" s="2665"/>
      <c r="O14" s="2676"/>
      <c r="P14" s="2665"/>
      <c r="Q14" s="2665"/>
      <c r="R14" s="2665"/>
    </row>
    <row r="15" spans="1:28">
      <c r="A15" s="326"/>
      <c r="B15" s="2634"/>
      <c r="C15" s="2635" t="s">
        <v>2937</v>
      </c>
      <c r="D15" s="2636">
        <f>IF(B12="出让",IF(D13="","",ROUNDDOWN(MIN((D13-$D$3)/365,D14),2)),D14)</f>
        <v>61.21</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50"/>
      <c r="C16" s="3151"/>
      <c r="D16" s="3152"/>
      <c r="E16" s="2639" t="s">
        <v>2939</v>
      </c>
      <c r="F16" s="3153"/>
      <c r="G16" s="3154"/>
      <c r="H16" s="3154"/>
      <c r="I16" s="3155"/>
      <c r="J16" s="2665"/>
      <c r="K16" s="2844"/>
      <c r="L16" s="2677"/>
      <c r="M16" s="2677"/>
      <c r="N16" s="2735"/>
      <c r="O16" s="2677"/>
      <c r="P16" s="2735"/>
      <c r="Q16" s="2665"/>
      <c r="R16" s="2665"/>
    </row>
    <row r="17" spans="1:28">
      <c r="A17" s="319" t="s">
        <v>2940</v>
      </c>
      <c r="B17" s="308" t="s">
        <v>2941</v>
      </c>
      <c r="C17" s="11">
        <f>'数据-汇总表'!E3</f>
        <v>16412.019999999993</v>
      </c>
      <c r="D17" s="2545" t="s">
        <v>2942</v>
      </c>
      <c r="E17" s="3156" t="s">
        <v>2943</v>
      </c>
      <c r="F17" s="3157"/>
      <c r="G17" s="3157"/>
      <c r="H17" s="3157"/>
      <c r="I17" s="3158"/>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59" t="s">
        <v>2947</v>
      </c>
      <c r="F18" s="3160"/>
      <c r="G18" s="3160"/>
      <c r="H18" s="3160"/>
      <c r="I18" s="3161"/>
      <c r="J18" s="2665"/>
      <c r="K18" s="2845"/>
      <c r="L18" s="2677"/>
      <c r="M18" s="2677"/>
      <c r="N18" s="2735"/>
      <c r="O18" s="2677"/>
      <c r="P18" s="2735"/>
      <c r="Q18" s="2665"/>
      <c r="R18" s="2665"/>
      <c r="S18" s="2665"/>
      <c r="T18" s="2665"/>
      <c r="U18" s="2665"/>
      <c r="V18" s="2665"/>
    </row>
    <row r="19" spans="1:28" ht="37.5" thickTop="1" thickBot="1">
      <c r="A19" s="333" t="s">
        <v>1741</v>
      </c>
      <c r="B19" s="313" t="s">
        <v>2948</v>
      </c>
      <c r="C19" s="1749"/>
      <c r="D19" s="1750" t="s">
        <v>2949</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2950</v>
      </c>
      <c r="B20" s="3146" t="s">
        <v>2951</v>
      </c>
      <c r="C20" s="3147"/>
      <c r="D20" s="3148" t="s">
        <v>2952</v>
      </c>
      <c r="E20" s="3149"/>
      <c r="F20" s="2874" t="s">
        <v>1742</v>
      </c>
      <c r="G20" s="2891"/>
      <c r="H20" s="2891"/>
      <c r="I20" s="2891"/>
      <c r="J20" s="2665"/>
      <c r="K20" s="314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4" t="s">
        <v>2955</v>
      </c>
      <c r="E21" s="2862" t="s">
        <v>1743</v>
      </c>
      <c r="F21" s="2875"/>
      <c r="G21" s="2891"/>
      <c r="H21" s="2891"/>
      <c r="I21" s="2891"/>
      <c r="J21" s="2665"/>
      <c r="K21" s="314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4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3"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3"/>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3"/>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4"/>
      <c r="B30" s="308" t="s">
        <v>2963</v>
      </c>
      <c r="C30" s="3135"/>
      <c r="D30" s="3136"/>
      <c r="E30" s="2891"/>
      <c r="F30" s="2891"/>
      <c r="G30" s="2891"/>
      <c r="H30" s="2891"/>
      <c r="I30" s="2891"/>
      <c r="J30" s="2665"/>
      <c r="K30" s="2842"/>
      <c r="L30" s="2839"/>
      <c r="M30" s="2839"/>
      <c r="N30" s="2665"/>
      <c r="O30" s="2676"/>
      <c r="P30" s="2665"/>
      <c r="Q30" s="2665"/>
      <c r="R30" s="2665"/>
      <c r="S30" s="2665"/>
      <c r="T30" s="2665"/>
      <c r="U30" s="2665"/>
      <c r="V30" s="2665"/>
    </row>
    <row r="31" spans="1:28">
      <c r="A31" s="3137" t="s">
        <v>2964</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38"/>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38"/>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32" t="s">
        <v>2973</v>
      </c>
      <c r="T34" s="2654" t="str">
        <f>NUMBERSTRING(7-K34,1)&amp;"通"</f>
        <v>七通</v>
      </c>
      <c r="U34" s="2665"/>
      <c r="V34" s="2665"/>
    </row>
    <row r="35" spans="1:30">
      <c r="A35" s="2655"/>
      <c r="B35" s="3139" t="s">
        <v>2974</v>
      </c>
      <c r="C35" s="3139"/>
      <c r="D35" s="3139"/>
      <c r="E35" s="3139"/>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2"/>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2978</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6"/>
      <c r="B51" s="1756"/>
      <c r="C51" s="1182"/>
      <c r="D51" s="1182"/>
      <c r="E51" s="1182"/>
      <c r="F51" s="1182"/>
      <c r="G51" s="1182"/>
      <c r="H51" s="1182"/>
      <c r="I51" s="1182"/>
      <c r="J51" s="2663"/>
      <c r="K51" s="2664"/>
      <c r="L51" s="2664"/>
      <c r="M51" s="1182"/>
      <c r="N51" s="1182"/>
      <c r="O51" s="1182"/>
      <c r="P51" s="1182"/>
      <c r="Q51" s="1182"/>
      <c r="R51" s="1182"/>
    </row>
    <row r="52" spans="1:22" s="1929" customFormat="1">
      <c r="A52" s="1756"/>
      <c r="B52" s="1756"/>
      <c r="C52" s="1756"/>
      <c r="D52" s="1756"/>
      <c r="E52" s="1756"/>
      <c r="F52" s="1182"/>
      <c r="G52" s="1756"/>
      <c r="H52" s="1756"/>
      <c r="I52" s="1756"/>
      <c r="J52" s="2666"/>
      <c r="K52" s="2664"/>
      <c r="L52" s="2664"/>
      <c r="M52" s="2664"/>
      <c r="N52" s="1756"/>
      <c r="O52" s="1756"/>
      <c r="P52" s="1756"/>
      <c r="Q52" s="1756"/>
      <c r="R52" s="1756"/>
    </row>
    <row r="53" spans="1:22" s="1929" customFormat="1">
      <c r="A53" s="1756"/>
      <c r="B53" s="1756"/>
      <c r="C53" s="1756"/>
      <c r="D53" s="1756"/>
      <c r="E53" s="1756"/>
      <c r="F53" s="1182"/>
      <c r="G53" s="1756"/>
      <c r="H53" s="1756"/>
      <c r="I53" s="1756"/>
      <c r="J53" s="2666"/>
      <c r="K53" s="2664"/>
      <c r="L53" s="2664"/>
      <c r="M53" s="2664"/>
      <c r="N53" s="1756"/>
      <c r="O53" s="1756"/>
      <c r="P53" s="1756"/>
      <c r="Q53" s="1756"/>
      <c r="R53" s="1756"/>
    </row>
    <row r="54" spans="1:22" s="1929" customFormat="1">
      <c r="A54" s="1756"/>
      <c r="B54" s="1756"/>
      <c r="C54" s="1756"/>
      <c r="D54" s="1756"/>
      <c r="E54" s="1756"/>
      <c r="F54" s="1182"/>
      <c r="G54" s="1756"/>
      <c r="H54" s="1756"/>
      <c r="I54" s="1756"/>
      <c r="J54" s="2666"/>
      <c r="K54" s="2664"/>
      <c r="L54" s="2664"/>
      <c r="M54" s="2664"/>
      <c r="N54" s="1756"/>
      <c r="O54" s="1756"/>
      <c r="P54" s="1756"/>
      <c r="Q54" s="1756"/>
      <c r="R54" s="1756"/>
    </row>
    <row r="55" spans="1:22" s="1929" customFormat="1">
      <c r="A55" s="1756"/>
      <c r="B55" s="1756"/>
      <c r="C55" s="1756"/>
      <c r="D55" s="1756"/>
      <c r="E55" s="1756"/>
      <c r="F55" s="1182"/>
      <c r="G55" s="1756"/>
      <c r="H55" s="1756"/>
      <c r="I55" s="1756"/>
      <c r="J55" s="2666"/>
      <c r="K55" s="2664"/>
      <c r="L55" s="2664"/>
      <c r="M55" s="2664"/>
      <c r="N55" s="1756"/>
      <c r="O55" s="1756"/>
      <c r="P55" s="1756"/>
      <c r="Q55" s="1756"/>
      <c r="R55" s="1756"/>
    </row>
    <row r="56" spans="1:22" s="1929"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6" width="9.875" style="1759" customWidth="1"/>
    <col min="17" max="17" width="9.375" style="1759" customWidth="1"/>
    <col min="18" max="18" width="9.125" style="1759" customWidth="1"/>
    <col min="19" max="28" width="10.875" style="1759" customWidth="1"/>
    <col min="29" max="29" width="11" style="1759" bestFit="1" customWidth="1"/>
    <col min="30" max="30" width="10" style="1759" bestFit="1" customWidth="1"/>
    <col min="31" max="31" width="9.875" style="1759" customWidth="1"/>
    <col min="32" max="46" width="9.5" style="1759" customWidth="1"/>
    <col min="47" max="47" width="18.125" style="1759" customWidth="1"/>
    <col min="48" max="50" width="9.8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16412.019999999993</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16412.019999999993</v>
      </c>
      <c r="H5" s="16">
        <f t="shared" ref="H5:AT5" si="0">SUM(H13:H656)</f>
        <v>16412.019999999993</v>
      </c>
      <c r="I5" s="16">
        <f t="shared" si="0"/>
        <v>16412.019999999993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16412.019999999993</v>
      </c>
      <c r="BA5" s="18">
        <f t="shared" si="1"/>
        <v>16412.019999999993</v>
      </c>
      <c r="BB5" s="18">
        <f t="shared" si="1"/>
        <v>16412.019999999993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3081</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3082</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3083</v>
      </c>
      <c r="E13" s="16">
        <f>IF($C$3="是",ROUND($A$3*G13/$B$3,2),ROUND($A$3*(G13-AT13)/$B$3,2))</f>
        <v>0</v>
      </c>
      <c r="F13" s="32"/>
      <c r="G13" s="33">
        <f>H13+AC13+AT13</f>
        <v>16412.019999999993</v>
      </c>
      <c r="H13" s="20">
        <f>SUMIF(I$12:AB$12,"总值",I13:AB13)</f>
        <v>16412.019999999993</v>
      </c>
      <c r="I13" s="1812">
        <f>抵押物清单!F62</f>
        <v>16412.019999999993</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16412.019999999993</v>
      </c>
      <c r="BA13" s="16">
        <f>SUM(BB13:BK13)</f>
        <v>16412.019999999993</v>
      </c>
      <c r="BB13" s="16">
        <f>IF($D13="是",I13-J13,0)</f>
        <v>16412.019999999993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48576"/>
  <sheetViews>
    <sheetView topLeftCell="A40" workbookViewId="0">
      <selection activeCell="K68" sqref="K68"/>
    </sheetView>
  </sheetViews>
  <sheetFormatPr defaultColWidth="9" defaultRowHeight="15.75"/>
  <cols>
    <col min="1" max="1" width="5.375" customWidth="1"/>
    <col min="2" max="2" width="22.875" style="3071" customWidth="1"/>
    <col min="3" max="3" width="8.875" style="3072" customWidth="1"/>
    <col min="4" max="4" width="5.875" style="3071" customWidth="1"/>
    <col min="5" max="5" width="7.375" style="3073" customWidth="1"/>
    <col min="6" max="6" width="13.875" style="3074" customWidth="1"/>
    <col min="7" max="7" width="18.25" style="3075" customWidth="1"/>
    <col min="8" max="8" width="13.875" style="3075" customWidth="1"/>
    <col min="9" max="9" width="16.125" style="3075" customWidth="1"/>
    <col min="10" max="10" width="13.75" style="3074" customWidth="1"/>
    <col min="11" max="11" width="15.375" style="3074" customWidth="1"/>
  </cols>
  <sheetData>
    <row r="1" spans="1:13" ht="24.95" customHeight="1">
      <c r="A1" s="3166" t="s">
        <v>3062</v>
      </c>
      <c r="B1" s="3167"/>
      <c r="C1" s="3167"/>
      <c r="D1" s="3167"/>
      <c r="E1" s="3167"/>
      <c r="F1" s="3167"/>
      <c r="G1" s="3167"/>
      <c r="H1" s="3167"/>
      <c r="I1" s="3167"/>
      <c r="J1" s="3167"/>
      <c r="K1" s="3167"/>
    </row>
    <row r="2" spans="1:13" ht="15.95" customHeight="1">
      <c r="A2" s="3168" t="s">
        <v>3063</v>
      </c>
      <c r="B2" s="3168" t="s">
        <v>3064</v>
      </c>
      <c r="C2" s="3170" t="s">
        <v>3065</v>
      </c>
      <c r="D2" s="3168" t="s">
        <v>3066</v>
      </c>
      <c r="E2" s="3172" t="s">
        <v>3067</v>
      </c>
      <c r="F2" s="3174" t="s">
        <v>3068</v>
      </c>
      <c r="G2" s="3164" t="s">
        <v>3069</v>
      </c>
      <c r="H2" s="3164" t="s">
        <v>3070</v>
      </c>
      <c r="I2" s="3164" t="s">
        <v>3071</v>
      </c>
      <c r="J2" s="3164" t="s">
        <v>3072</v>
      </c>
      <c r="K2" s="3164" t="s">
        <v>3073</v>
      </c>
    </row>
    <row r="3" spans="1:13" ht="13.5">
      <c r="A3" s="3169"/>
      <c r="B3" s="3169"/>
      <c r="C3" s="3171"/>
      <c r="D3" s="3169"/>
      <c r="E3" s="3173"/>
      <c r="F3" s="3175"/>
      <c r="G3" s="3165"/>
      <c r="H3" s="3165"/>
      <c r="I3" s="3165"/>
      <c r="J3" s="3165"/>
      <c r="K3" s="3165"/>
      <c r="L3" s="3077" t="s">
        <v>3079</v>
      </c>
      <c r="M3" s="3077" t="s">
        <v>3080</v>
      </c>
    </row>
    <row r="4" spans="1:13" ht="14.25">
      <c r="A4" s="3053">
        <v>1</v>
      </c>
      <c r="B4" s="3054" t="s">
        <v>3074</v>
      </c>
      <c r="C4" s="3055" t="s">
        <v>3075</v>
      </c>
      <c r="D4" s="3056">
        <v>2</v>
      </c>
      <c r="E4" s="3057">
        <v>103</v>
      </c>
      <c r="F4" s="3058">
        <v>217.56</v>
      </c>
      <c r="G4" s="3059" t="s">
        <v>3076</v>
      </c>
      <c r="H4" s="3059">
        <v>10154843</v>
      </c>
      <c r="I4" s="3059"/>
      <c r="J4" s="3059">
        <v>2420558</v>
      </c>
      <c r="K4" s="3059">
        <v>12575401</v>
      </c>
      <c r="L4">
        <f>H4/F4</f>
        <v>46676.057179628609</v>
      </c>
      <c r="M4">
        <f>K4/F4</f>
        <v>57801.990255561686</v>
      </c>
    </row>
    <row r="5" spans="1:13" ht="14.25">
      <c r="A5" s="3053">
        <v>2</v>
      </c>
      <c r="B5" s="3054" t="s">
        <v>3074</v>
      </c>
      <c r="C5" s="3055" t="s">
        <v>3075</v>
      </c>
      <c r="D5" s="3056">
        <v>5</v>
      </c>
      <c r="E5" s="3057">
        <v>101</v>
      </c>
      <c r="F5" s="3058">
        <v>214.32</v>
      </c>
      <c r="G5" s="3059" t="s">
        <v>3076</v>
      </c>
      <c r="H5" s="3059">
        <v>11053910</v>
      </c>
      <c r="I5" s="3059"/>
      <c r="J5" s="3059">
        <v>2000000</v>
      </c>
      <c r="K5" s="3060">
        <v>13053910</v>
      </c>
      <c r="L5">
        <f t="shared" ref="L5:L62" si="0">H5/F5</f>
        <v>51576.661067562527</v>
      </c>
      <c r="M5">
        <f t="shared" ref="M5:M62" si="1">K5/F5</f>
        <v>60908.501306457634</v>
      </c>
    </row>
    <row r="6" spans="1:13" ht="14.25">
      <c r="A6" s="3053">
        <v>3</v>
      </c>
      <c r="B6" s="3054" t="s">
        <v>3074</v>
      </c>
      <c r="C6" s="3055" t="s">
        <v>3075</v>
      </c>
      <c r="D6" s="3056">
        <v>12</v>
      </c>
      <c r="E6" s="3057">
        <v>104</v>
      </c>
      <c r="F6" s="3058">
        <v>212.73</v>
      </c>
      <c r="G6" s="3059" t="s">
        <v>3076</v>
      </c>
      <c r="H6" s="3059">
        <v>11359215</v>
      </c>
      <c r="I6" s="3059"/>
      <c r="J6" s="3059">
        <v>1861064</v>
      </c>
      <c r="K6" s="3060">
        <v>13220279</v>
      </c>
      <c r="L6">
        <f t="shared" si="0"/>
        <v>53397.334649555778</v>
      </c>
      <c r="M6">
        <f t="shared" si="1"/>
        <v>62145.813942556299</v>
      </c>
    </row>
    <row r="7" spans="1:13" ht="14.25">
      <c r="A7" s="3053">
        <v>4</v>
      </c>
      <c r="B7" s="3054" t="s">
        <v>3074</v>
      </c>
      <c r="C7" s="3055" t="s">
        <v>3077</v>
      </c>
      <c r="D7" s="3056">
        <v>17</v>
      </c>
      <c r="E7" s="3057">
        <v>101</v>
      </c>
      <c r="F7" s="3058">
        <v>562.6</v>
      </c>
      <c r="G7" s="3059" t="s">
        <v>3076</v>
      </c>
      <c r="H7" s="3059">
        <v>32848397</v>
      </c>
      <c r="I7" s="3059">
        <v>12000000</v>
      </c>
      <c r="J7" s="3059">
        <v>10150004</v>
      </c>
      <c r="K7" s="3059">
        <v>54998401</v>
      </c>
      <c r="L7">
        <f t="shared" si="0"/>
        <v>58386.770351937434</v>
      </c>
      <c r="M7">
        <f t="shared" si="1"/>
        <v>97757.55599004621</v>
      </c>
    </row>
    <row r="8" spans="1:13" ht="14.25">
      <c r="A8" s="3053">
        <v>5</v>
      </c>
      <c r="B8" s="3054" t="s">
        <v>3074</v>
      </c>
      <c r="C8" s="3055" t="s">
        <v>3077</v>
      </c>
      <c r="D8" s="3056">
        <v>17</v>
      </c>
      <c r="E8" s="3057">
        <v>102</v>
      </c>
      <c r="F8" s="3058">
        <v>562.6</v>
      </c>
      <c r="G8" s="3059" t="s">
        <v>3076</v>
      </c>
      <c r="H8" s="3059">
        <v>32848397</v>
      </c>
      <c r="I8" s="3059">
        <v>12000000</v>
      </c>
      <c r="J8" s="3059">
        <v>10096555</v>
      </c>
      <c r="K8" s="3059">
        <v>54944952</v>
      </c>
      <c r="L8">
        <f t="shared" si="0"/>
        <v>58386.770351937434</v>
      </c>
      <c r="M8">
        <f t="shared" si="1"/>
        <v>97662.552435122634</v>
      </c>
    </row>
    <row r="9" spans="1:13" ht="14.25">
      <c r="A9" s="3053">
        <v>6</v>
      </c>
      <c r="B9" s="3054" t="s">
        <v>3074</v>
      </c>
      <c r="C9" s="3055" t="s">
        <v>3077</v>
      </c>
      <c r="D9" s="3056">
        <v>18</v>
      </c>
      <c r="E9" s="3057">
        <v>101</v>
      </c>
      <c r="F9" s="3058">
        <v>562.6</v>
      </c>
      <c r="G9" s="3059" t="s">
        <v>3076</v>
      </c>
      <c r="H9" s="3059">
        <v>33793893</v>
      </c>
      <c r="I9" s="3059">
        <v>12000000</v>
      </c>
      <c r="J9" s="3059">
        <v>10286210</v>
      </c>
      <c r="K9" s="3059">
        <v>56080103</v>
      </c>
      <c r="L9">
        <f t="shared" si="0"/>
        <v>60067.353359402769</v>
      </c>
      <c r="M9">
        <f t="shared" si="1"/>
        <v>99680.23995734092</v>
      </c>
    </row>
    <row r="10" spans="1:13" ht="14.25">
      <c r="A10" s="3053">
        <v>7</v>
      </c>
      <c r="B10" s="3054" t="s">
        <v>3074</v>
      </c>
      <c r="C10" s="3055" t="s">
        <v>3077</v>
      </c>
      <c r="D10" s="3056">
        <v>18</v>
      </c>
      <c r="E10" s="3057">
        <v>102</v>
      </c>
      <c r="F10" s="3058">
        <v>562.6</v>
      </c>
      <c r="G10" s="3059" t="s">
        <v>3076</v>
      </c>
      <c r="H10" s="3059">
        <v>29066416</v>
      </c>
      <c r="I10" s="3059">
        <v>12000000</v>
      </c>
      <c r="J10" s="3059">
        <v>13864640</v>
      </c>
      <c r="K10" s="3059">
        <v>54931056</v>
      </c>
      <c r="L10">
        <f t="shared" si="0"/>
        <v>51664.443654461429</v>
      </c>
      <c r="M10">
        <f t="shared" si="1"/>
        <v>97637.852826164235</v>
      </c>
    </row>
    <row r="11" spans="1:13" ht="14.25">
      <c r="A11" s="3053">
        <v>8</v>
      </c>
      <c r="B11" s="3054" t="s">
        <v>3074</v>
      </c>
      <c r="C11" s="3055" t="s">
        <v>3077</v>
      </c>
      <c r="D11" s="3056">
        <v>19</v>
      </c>
      <c r="E11" s="3057">
        <v>101</v>
      </c>
      <c r="F11" s="3058">
        <v>555.30999999999995</v>
      </c>
      <c r="G11" s="3059" t="s">
        <v>3076</v>
      </c>
      <c r="H11" s="3059">
        <v>31689207</v>
      </c>
      <c r="I11" s="3059">
        <v>12000000</v>
      </c>
      <c r="J11" s="3059">
        <v>11528196</v>
      </c>
      <c r="K11" s="3059">
        <v>55217403</v>
      </c>
      <c r="L11">
        <f t="shared" si="0"/>
        <v>57065.795681691314</v>
      </c>
      <c r="M11">
        <f t="shared" si="1"/>
        <v>99435.275791900029</v>
      </c>
    </row>
    <row r="12" spans="1:13" ht="14.25">
      <c r="A12" s="3053">
        <v>9</v>
      </c>
      <c r="B12" s="3054" t="s">
        <v>3074</v>
      </c>
      <c r="C12" s="3055" t="s">
        <v>3077</v>
      </c>
      <c r="D12" s="3056">
        <v>19</v>
      </c>
      <c r="E12" s="3057">
        <v>102</v>
      </c>
      <c r="F12" s="3058">
        <v>555.30999999999995</v>
      </c>
      <c r="G12" s="3059" t="s">
        <v>3076</v>
      </c>
      <c r="H12" s="3059">
        <v>29356097</v>
      </c>
      <c r="I12" s="3059">
        <v>12000000</v>
      </c>
      <c r="J12" s="3059">
        <v>11897103</v>
      </c>
      <c r="K12" s="3059">
        <v>53253200</v>
      </c>
      <c r="L12">
        <f t="shared" si="0"/>
        <v>52864.340638562251</v>
      </c>
      <c r="M12">
        <f t="shared" si="1"/>
        <v>95898.146980965597</v>
      </c>
    </row>
    <row r="13" spans="1:13" ht="14.25">
      <c r="A13" s="3053">
        <v>10</v>
      </c>
      <c r="B13" s="3054" t="s">
        <v>3074</v>
      </c>
      <c r="C13" s="3055" t="s">
        <v>3077</v>
      </c>
      <c r="D13" s="3056">
        <v>20</v>
      </c>
      <c r="E13" s="3057">
        <v>101</v>
      </c>
      <c r="F13" s="3058">
        <v>562.6</v>
      </c>
      <c r="G13" s="3059" t="s">
        <v>3076</v>
      </c>
      <c r="H13" s="3059">
        <v>32375650</v>
      </c>
      <c r="I13" s="3059">
        <v>9000000</v>
      </c>
      <c r="J13" s="3059">
        <v>3282824</v>
      </c>
      <c r="K13" s="3059">
        <v>44658474</v>
      </c>
      <c r="L13">
        <f t="shared" si="0"/>
        <v>57546.480625666547</v>
      </c>
      <c r="M13">
        <f t="shared" si="1"/>
        <v>79378.730892285806</v>
      </c>
    </row>
    <row r="14" spans="1:13" ht="14.25">
      <c r="A14" s="3053">
        <v>11</v>
      </c>
      <c r="B14" s="3054" t="s">
        <v>3074</v>
      </c>
      <c r="C14" s="3055" t="s">
        <v>3077</v>
      </c>
      <c r="D14" s="3056">
        <v>20</v>
      </c>
      <c r="E14" s="3057">
        <v>102</v>
      </c>
      <c r="F14" s="3058">
        <v>562.6</v>
      </c>
      <c r="G14" s="3059" t="s">
        <v>3076</v>
      </c>
      <c r="H14" s="3059">
        <v>30011911</v>
      </c>
      <c r="I14" s="3059">
        <v>9000000</v>
      </c>
      <c r="J14" s="3059">
        <v>3147812</v>
      </c>
      <c r="K14" s="3059">
        <v>42159723</v>
      </c>
      <c r="L14">
        <f t="shared" si="0"/>
        <v>53345.024884464983</v>
      </c>
      <c r="M14">
        <f t="shared" si="1"/>
        <v>74937.296480625664</v>
      </c>
    </row>
    <row r="15" spans="1:13" ht="14.25">
      <c r="A15" s="3053">
        <v>12</v>
      </c>
      <c r="B15" s="3054" t="s">
        <v>3074</v>
      </c>
      <c r="C15" s="3055" t="s">
        <v>3077</v>
      </c>
      <c r="D15" s="3056">
        <v>21</v>
      </c>
      <c r="E15" s="3057">
        <v>101</v>
      </c>
      <c r="F15" s="3058">
        <v>555.30999999999995</v>
      </c>
      <c r="G15" s="3059" t="s">
        <v>3076</v>
      </c>
      <c r="H15" s="3059">
        <v>30289341</v>
      </c>
      <c r="I15" s="3059">
        <v>9000000</v>
      </c>
      <c r="J15" s="3059">
        <v>4119267</v>
      </c>
      <c r="K15" s="3059">
        <v>43408608</v>
      </c>
      <c r="L15">
        <f t="shared" si="0"/>
        <v>54544.922655813876</v>
      </c>
      <c r="M15">
        <f t="shared" si="1"/>
        <v>78170.045560137587</v>
      </c>
    </row>
    <row r="16" spans="1:13" ht="14.25">
      <c r="A16" s="3053">
        <v>13</v>
      </c>
      <c r="B16" s="3054" t="s">
        <v>3074</v>
      </c>
      <c r="C16" s="3055" t="s">
        <v>3075</v>
      </c>
      <c r="D16" s="3056">
        <v>26</v>
      </c>
      <c r="E16" s="3057">
        <v>103</v>
      </c>
      <c r="F16" s="3058">
        <v>216.15</v>
      </c>
      <c r="G16" s="3059" t="s">
        <v>3076</v>
      </c>
      <c r="H16" s="3059">
        <v>9451935</v>
      </c>
      <c r="I16" s="3059"/>
      <c r="J16" s="3059">
        <v>2213006</v>
      </c>
      <c r="K16" s="3059">
        <v>11664941</v>
      </c>
      <c r="L16">
        <f t="shared" si="0"/>
        <v>43728.59125607217</v>
      </c>
      <c r="M16">
        <f t="shared" si="1"/>
        <v>53966.879481841315</v>
      </c>
    </row>
    <row r="17" spans="1:13" ht="14.25">
      <c r="A17" s="3053">
        <v>14</v>
      </c>
      <c r="B17" s="3054" t="s">
        <v>3074</v>
      </c>
      <c r="C17" s="3055" t="s">
        <v>3075</v>
      </c>
      <c r="D17" s="3056">
        <v>27</v>
      </c>
      <c r="E17" s="3057">
        <v>102</v>
      </c>
      <c r="F17" s="3058">
        <v>217.56</v>
      </c>
      <c r="G17" s="3059" t="s">
        <v>3076</v>
      </c>
      <c r="H17" s="3059">
        <v>8194279</v>
      </c>
      <c r="I17" s="3059"/>
      <c r="J17" s="3059">
        <v>352444</v>
      </c>
      <c r="K17" s="3059">
        <v>8546723</v>
      </c>
      <c r="L17">
        <f t="shared" si="0"/>
        <v>37664.455782312922</v>
      </c>
      <c r="M17">
        <f t="shared" si="1"/>
        <v>39284.44107372679</v>
      </c>
    </row>
    <row r="18" spans="1:13" ht="14.25">
      <c r="A18" s="3053">
        <v>15</v>
      </c>
      <c r="B18" s="3054" t="s">
        <v>3074</v>
      </c>
      <c r="C18" s="3055" t="s">
        <v>3075</v>
      </c>
      <c r="D18" s="3056">
        <v>27</v>
      </c>
      <c r="E18" s="3057">
        <v>103</v>
      </c>
      <c r="F18" s="3058">
        <v>217.56</v>
      </c>
      <c r="G18" s="3059" t="s">
        <v>3076</v>
      </c>
      <c r="H18" s="3059">
        <v>8161847</v>
      </c>
      <c r="I18" s="3059"/>
      <c r="J18" s="3059">
        <v>351050</v>
      </c>
      <c r="K18" s="3059">
        <v>8512897</v>
      </c>
      <c r="L18">
        <f t="shared" si="0"/>
        <v>37515.384261812833</v>
      </c>
      <c r="M18">
        <f t="shared" si="1"/>
        <v>39128.962125390695</v>
      </c>
    </row>
    <row r="19" spans="1:13" ht="14.25">
      <c r="A19" s="3053">
        <v>16</v>
      </c>
      <c r="B19" s="3054" t="s">
        <v>3074</v>
      </c>
      <c r="C19" s="3055" t="s">
        <v>3075</v>
      </c>
      <c r="D19" s="3056">
        <v>28</v>
      </c>
      <c r="E19" s="3057">
        <v>101</v>
      </c>
      <c r="F19" s="3058">
        <v>214.33</v>
      </c>
      <c r="G19" s="3059" t="s">
        <v>3076</v>
      </c>
      <c r="H19" s="3059">
        <v>12078571</v>
      </c>
      <c r="I19" s="3059"/>
      <c r="J19" s="3059">
        <v>2585669</v>
      </c>
      <c r="K19" s="3059">
        <v>14664240</v>
      </c>
      <c r="L19">
        <f t="shared" si="0"/>
        <v>56355.01796295432</v>
      </c>
      <c r="M19">
        <f t="shared" si="1"/>
        <v>68418.980077450658</v>
      </c>
    </row>
    <row r="20" spans="1:13" ht="14.25">
      <c r="A20" s="3053">
        <v>17</v>
      </c>
      <c r="B20" s="3054" t="s">
        <v>3074</v>
      </c>
      <c r="C20" s="3055" t="s">
        <v>3075</v>
      </c>
      <c r="D20" s="3056">
        <v>28</v>
      </c>
      <c r="E20" s="3057">
        <v>102</v>
      </c>
      <c r="F20" s="3058">
        <v>218.18</v>
      </c>
      <c r="G20" s="3059" t="s">
        <v>3076</v>
      </c>
      <c r="H20" s="3059">
        <v>9937484</v>
      </c>
      <c r="I20" s="3059"/>
      <c r="J20" s="3059">
        <v>3535161</v>
      </c>
      <c r="K20" s="3059">
        <v>13472645</v>
      </c>
      <c r="L20">
        <f t="shared" si="0"/>
        <v>45547.18122651022</v>
      </c>
      <c r="M20">
        <f t="shared" si="1"/>
        <v>61750.137501145844</v>
      </c>
    </row>
    <row r="21" spans="1:13" ht="14.25">
      <c r="A21" s="3053">
        <v>18</v>
      </c>
      <c r="B21" s="3054" t="s">
        <v>3074</v>
      </c>
      <c r="C21" s="3055" t="s">
        <v>3075</v>
      </c>
      <c r="D21" s="3056">
        <v>28</v>
      </c>
      <c r="E21" s="3057">
        <v>103</v>
      </c>
      <c r="F21" s="3058">
        <v>218.18</v>
      </c>
      <c r="G21" s="3059" t="s">
        <v>3076</v>
      </c>
      <c r="H21" s="3059">
        <v>9937484</v>
      </c>
      <c r="I21" s="3059"/>
      <c r="J21" s="3059">
        <v>3475473</v>
      </c>
      <c r="K21" s="3059">
        <v>13412957</v>
      </c>
      <c r="L21">
        <f t="shared" si="0"/>
        <v>45547.18122651022</v>
      </c>
      <c r="M21">
        <f t="shared" si="1"/>
        <v>61476.565221376841</v>
      </c>
    </row>
    <row r="22" spans="1:13" ht="14.25">
      <c r="A22" s="3053">
        <v>19</v>
      </c>
      <c r="B22" s="3054" t="s">
        <v>3074</v>
      </c>
      <c r="C22" s="3055" t="s">
        <v>3075</v>
      </c>
      <c r="D22" s="3056">
        <v>28</v>
      </c>
      <c r="E22" s="3057">
        <v>104</v>
      </c>
      <c r="F22" s="3058">
        <v>214.33</v>
      </c>
      <c r="G22" s="3059" t="s">
        <v>3076</v>
      </c>
      <c r="H22" s="3059">
        <v>11054519</v>
      </c>
      <c r="I22" s="3059"/>
      <c r="J22" s="3059">
        <v>3104412</v>
      </c>
      <c r="K22" s="3059">
        <v>14158931</v>
      </c>
      <c r="L22">
        <f t="shared" si="0"/>
        <v>51577.096066812854</v>
      </c>
      <c r="M22">
        <f t="shared" si="1"/>
        <v>66061.358652545139</v>
      </c>
    </row>
    <row r="23" spans="1:13" ht="14.25">
      <c r="A23" s="3053">
        <v>20</v>
      </c>
      <c r="B23" s="3054" t="s">
        <v>3074</v>
      </c>
      <c r="C23" s="3055" t="s">
        <v>3075</v>
      </c>
      <c r="D23" s="3056">
        <v>29</v>
      </c>
      <c r="E23" s="3057">
        <v>104</v>
      </c>
      <c r="F23" s="3058">
        <v>214.33</v>
      </c>
      <c r="G23" s="3059" t="s">
        <v>3076</v>
      </c>
      <c r="H23" s="3059">
        <v>11459694</v>
      </c>
      <c r="I23" s="3059"/>
      <c r="J23" s="3059">
        <v>2263810</v>
      </c>
      <c r="K23" s="3059">
        <v>13723504</v>
      </c>
      <c r="L23">
        <f t="shared" si="0"/>
        <v>53467.52204544394</v>
      </c>
      <c r="M23">
        <f t="shared" si="1"/>
        <v>64029.785844258848</v>
      </c>
    </row>
    <row r="24" spans="1:13" ht="14.25">
      <c r="A24" s="3053">
        <v>21</v>
      </c>
      <c r="B24" s="3054" t="s">
        <v>3074</v>
      </c>
      <c r="C24" s="3055" t="s">
        <v>3075</v>
      </c>
      <c r="D24" s="3056">
        <v>30</v>
      </c>
      <c r="E24" s="3057">
        <v>101</v>
      </c>
      <c r="F24" s="3058">
        <v>214.33</v>
      </c>
      <c r="G24" s="3059" t="s">
        <v>3076</v>
      </c>
      <c r="H24" s="3059">
        <v>12078571</v>
      </c>
      <c r="I24" s="3059"/>
      <c r="J24" s="3059">
        <v>2698298</v>
      </c>
      <c r="K24" s="3059">
        <v>14776869</v>
      </c>
      <c r="L24">
        <f t="shared" si="0"/>
        <v>56355.01796295432</v>
      </c>
      <c r="M24">
        <f t="shared" si="1"/>
        <v>68944.473475481733</v>
      </c>
    </row>
    <row r="25" spans="1:13" ht="14.25">
      <c r="A25" s="3053">
        <v>22</v>
      </c>
      <c r="B25" s="3054" t="s">
        <v>3074</v>
      </c>
      <c r="C25" s="3055" t="s">
        <v>3075</v>
      </c>
      <c r="D25" s="3056">
        <v>30</v>
      </c>
      <c r="E25" s="3057">
        <v>102</v>
      </c>
      <c r="F25" s="3058">
        <v>218.18</v>
      </c>
      <c r="G25" s="3059" t="s">
        <v>3076</v>
      </c>
      <c r="H25" s="3059">
        <v>9937484</v>
      </c>
      <c r="I25" s="3059"/>
      <c r="J25" s="3059">
        <v>3266567</v>
      </c>
      <c r="K25" s="3059">
        <v>13204051</v>
      </c>
      <c r="L25">
        <f t="shared" si="0"/>
        <v>45547.18122651022</v>
      </c>
      <c r="M25">
        <f t="shared" si="1"/>
        <v>60519.071408928408</v>
      </c>
    </row>
    <row r="26" spans="1:13" ht="14.25">
      <c r="A26" s="3053">
        <v>23</v>
      </c>
      <c r="B26" s="3054" t="s">
        <v>3074</v>
      </c>
      <c r="C26" s="3055" t="s">
        <v>3075</v>
      </c>
      <c r="D26" s="3056">
        <v>30</v>
      </c>
      <c r="E26" s="3057">
        <v>103</v>
      </c>
      <c r="F26" s="3058">
        <v>218.18</v>
      </c>
      <c r="G26" s="3059" t="s">
        <v>3076</v>
      </c>
      <c r="H26" s="3059">
        <v>9937484</v>
      </c>
      <c r="I26" s="3059"/>
      <c r="J26" s="3059">
        <v>3200911</v>
      </c>
      <c r="K26" s="3059">
        <v>13138395</v>
      </c>
      <c r="L26">
        <f t="shared" si="0"/>
        <v>45547.18122651022</v>
      </c>
      <c r="M26">
        <f t="shared" si="1"/>
        <v>60218.145567879728</v>
      </c>
    </row>
    <row r="27" spans="1:13" ht="14.25">
      <c r="A27" s="3053">
        <v>24</v>
      </c>
      <c r="B27" s="3054" t="s">
        <v>3074</v>
      </c>
      <c r="C27" s="3055" t="s">
        <v>3075</v>
      </c>
      <c r="D27" s="3056">
        <v>30</v>
      </c>
      <c r="E27" s="3057">
        <v>104</v>
      </c>
      <c r="F27" s="3058">
        <v>214.33</v>
      </c>
      <c r="G27" s="3059" t="s">
        <v>3076</v>
      </c>
      <c r="H27" s="3059">
        <v>11459694</v>
      </c>
      <c r="I27" s="3059"/>
      <c r="J27" s="3059">
        <v>2398407</v>
      </c>
      <c r="K27" s="3059">
        <v>13858101</v>
      </c>
      <c r="L27">
        <f t="shared" si="0"/>
        <v>53467.52204544394</v>
      </c>
      <c r="M27">
        <f t="shared" si="1"/>
        <v>64657.775393085423</v>
      </c>
    </row>
    <row r="28" spans="1:13" ht="14.25">
      <c r="A28" s="3053">
        <v>25</v>
      </c>
      <c r="B28" s="3054" t="s">
        <v>3074</v>
      </c>
      <c r="C28" s="3055" t="s">
        <v>3075</v>
      </c>
      <c r="D28" s="3056">
        <v>31</v>
      </c>
      <c r="E28" s="3057">
        <v>103</v>
      </c>
      <c r="F28" s="3058">
        <v>218.18</v>
      </c>
      <c r="G28" s="3059" t="s">
        <v>3076</v>
      </c>
      <c r="H28" s="3059">
        <v>9937484</v>
      </c>
      <c r="I28" s="3059"/>
      <c r="J28" s="3059">
        <v>3260598</v>
      </c>
      <c r="K28" s="3059">
        <v>13198082</v>
      </c>
      <c r="L28">
        <f t="shared" si="0"/>
        <v>45547.18122651022</v>
      </c>
      <c r="M28">
        <f t="shared" si="1"/>
        <v>60491.713264277198</v>
      </c>
    </row>
    <row r="29" spans="1:13" ht="14.25">
      <c r="A29" s="3053">
        <v>26</v>
      </c>
      <c r="B29" s="3054" t="s">
        <v>3074</v>
      </c>
      <c r="C29" s="3055" t="s">
        <v>3075</v>
      </c>
      <c r="D29" s="3056">
        <v>32</v>
      </c>
      <c r="E29" s="3057">
        <v>102</v>
      </c>
      <c r="F29" s="3058">
        <v>217.56</v>
      </c>
      <c r="G29" s="3059" t="s">
        <v>3076</v>
      </c>
      <c r="H29" s="3059">
        <v>9777921</v>
      </c>
      <c r="I29" s="3059"/>
      <c r="J29" s="3059">
        <v>3385083</v>
      </c>
      <c r="K29" s="3059">
        <v>13163004</v>
      </c>
      <c r="L29">
        <f t="shared" si="0"/>
        <v>44943.560397131827</v>
      </c>
      <c r="M29">
        <f t="shared" si="1"/>
        <v>60502.868174296746</v>
      </c>
    </row>
    <row r="30" spans="1:13" ht="14.25">
      <c r="A30" s="3053">
        <v>27</v>
      </c>
      <c r="B30" s="3054" t="s">
        <v>3074</v>
      </c>
      <c r="C30" s="3055" t="s">
        <v>3075</v>
      </c>
      <c r="D30" s="3056">
        <v>32</v>
      </c>
      <c r="E30" s="3057">
        <v>103</v>
      </c>
      <c r="F30" s="3058">
        <v>217.56</v>
      </c>
      <c r="G30" s="3059" t="s">
        <v>3076</v>
      </c>
      <c r="H30" s="3059">
        <v>9777921</v>
      </c>
      <c r="I30" s="3059"/>
      <c r="J30" s="3059">
        <v>3396861</v>
      </c>
      <c r="K30" s="3059">
        <v>13174782</v>
      </c>
      <c r="L30">
        <f t="shared" si="0"/>
        <v>44943.560397131827</v>
      </c>
      <c r="M30">
        <f t="shared" si="1"/>
        <v>60557.004964147818</v>
      </c>
    </row>
    <row r="31" spans="1:13" ht="14.25">
      <c r="A31" s="3053">
        <v>28</v>
      </c>
      <c r="B31" s="3054" t="s">
        <v>3074</v>
      </c>
      <c r="C31" s="3054" t="s">
        <v>3078</v>
      </c>
      <c r="D31" s="3056">
        <v>36</v>
      </c>
      <c r="E31" s="3057">
        <v>102</v>
      </c>
      <c r="F31" s="3058">
        <v>167.57</v>
      </c>
      <c r="G31" s="3059" t="s">
        <v>3076</v>
      </c>
      <c r="H31" s="3059">
        <v>5377163</v>
      </c>
      <c r="I31" s="3059"/>
      <c r="J31" s="3059">
        <v>426535</v>
      </c>
      <c r="K31" s="3059">
        <v>5803698</v>
      </c>
      <c r="L31">
        <f t="shared" si="0"/>
        <v>32089.055320164709</v>
      </c>
      <c r="M31">
        <f t="shared" si="1"/>
        <v>34634.469177060331</v>
      </c>
    </row>
    <row r="32" spans="1:13" ht="14.25">
      <c r="A32" s="3053">
        <v>29</v>
      </c>
      <c r="B32" s="3054" t="s">
        <v>3074</v>
      </c>
      <c r="C32" s="3054" t="s">
        <v>3078</v>
      </c>
      <c r="D32" s="3056">
        <v>36</v>
      </c>
      <c r="E32" s="3057">
        <v>103</v>
      </c>
      <c r="F32" s="3058">
        <v>164.38</v>
      </c>
      <c r="G32" s="3059" t="s">
        <v>3076</v>
      </c>
      <c r="H32" s="3059">
        <v>5265280</v>
      </c>
      <c r="I32" s="3059"/>
      <c r="J32" s="3059">
        <v>427934</v>
      </c>
      <c r="K32" s="3059">
        <v>5693214</v>
      </c>
      <c r="L32">
        <f t="shared" si="0"/>
        <v>32031.147341525735</v>
      </c>
      <c r="M32">
        <f t="shared" si="1"/>
        <v>34634.468913493125</v>
      </c>
    </row>
    <row r="33" spans="1:13" ht="14.25">
      <c r="A33" s="3053">
        <v>30</v>
      </c>
      <c r="B33" s="3054" t="s">
        <v>3074</v>
      </c>
      <c r="C33" s="3054" t="s">
        <v>3078</v>
      </c>
      <c r="D33" s="3056">
        <v>36</v>
      </c>
      <c r="E33" s="3057">
        <v>104</v>
      </c>
      <c r="F33" s="3058">
        <v>163.97</v>
      </c>
      <c r="G33" s="3059" t="s">
        <v>3076</v>
      </c>
      <c r="H33" s="3059">
        <v>5250900</v>
      </c>
      <c r="I33" s="3059"/>
      <c r="J33" s="3059">
        <v>370605</v>
      </c>
      <c r="K33" s="3059">
        <v>5621505</v>
      </c>
      <c r="L33">
        <f t="shared" si="0"/>
        <v>32023.540891626519</v>
      </c>
      <c r="M33">
        <f t="shared" si="1"/>
        <v>34283.740928218576</v>
      </c>
    </row>
    <row r="34" spans="1:13" ht="14.25">
      <c r="A34" s="3053">
        <v>31</v>
      </c>
      <c r="B34" s="3054" t="s">
        <v>3074</v>
      </c>
      <c r="C34" s="3054" t="s">
        <v>3078</v>
      </c>
      <c r="D34" s="3056">
        <v>36</v>
      </c>
      <c r="E34" s="3057">
        <v>105</v>
      </c>
      <c r="F34" s="3058">
        <v>164.38</v>
      </c>
      <c r="G34" s="3059" t="s">
        <v>3076</v>
      </c>
      <c r="H34" s="3059">
        <v>5265280</v>
      </c>
      <c r="I34" s="3059"/>
      <c r="J34" s="3059">
        <v>427934</v>
      </c>
      <c r="K34" s="3059">
        <v>5693214</v>
      </c>
      <c r="L34">
        <f t="shared" si="0"/>
        <v>32031.147341525735</v>
      </c>
      <c r="M34">
        <f t="shared" si="1"/>
        <v>34634.468913493125</v>
      </c>
    </row>
    <row r="35" spans="1:13" ht="14.25">
      <c r="A35" s="3053">
        <v>32</v>
      </c>
      <c r="B35" s="3054" t="s">
        <v>3074</v>
      </c>
      <c r="C35" s="3054" t="s">
        <v>3078</v>
      </c>
      <c r="D35" s="3056">
        <v>36</v>
      </c>
      <c r="E35" s="3057">
        <v>106</v>
      </c>
      <c r="F35" s="3058">
        <v>163.97</v>
      </c>
      <c r="G35" s="3059" t="s">
        <v>3076</v>
      </c>
      <c r="H35" s="3059">
        <v>5250900</v>
      </c>
      <c r="I35" s="3059"/>
      <c r="J35" s="3059">
        <v>428114</v>
      </c>
      <c r="K35" s="3059">
        <v>5679014</v>
      </c>
      <c r="L35">
        <f t="shared" si="0"/>
        <v>32023.540891626519</v>
      </c>
      <c r="M35">
        <f t="shared" si="1"/>
        <v>34634.469720070745</v>
      </c>
    </row>
    <row r="36" spans="1:13" ht="14.25">
      <c r="A36" s="3053">
        <v>33</v>
      </c>
      <c r="B36" s="3054" t="s">
        <v>3074</v>
      </c>
      <c r="C36" s="3054" t="s">
        <v>3078</v>
      </c>
      <c r="D36" s="3056">
        <v>36</v>
      </c>
      <c r="E36" s="3057">
        <v>302</v>
      </c>
      <c r="F36" s="3058">
        <v>167.57</v>
      </c>
      <c r="G36" s="3059" t="s">
        <v>3076</v>
      </c>
      <c r="H36" s="3059">
        <v>5100069</v>
      </c>
      <c r="I36" s="3059"/>
      <c r="J36" s="3059">
        <v>429999</v>
      </c>
      <c r="K36" s="3059">
        <v>5530068</v>
      </c>
      <c r="L36">
        <f t="shared" si="0"/>
        <v>30435.453840186194</v>
      </c>
      <c r="M36">
        <f t="shared" si="1"/>
        <v>33001.539655069522</v>
      </c>
    </row>
    <row r="37" spans="1:13" ht="14.25">
      <c r="A37" s="3053">
        <v>34</v>
      </c>
      <c r="B37" s="3054" t="s">
        <v>3074</v>
      </c>
      <c r="C37" s="3054" t="s">
        <v>3078</v>
      </c>
      <c r="D37" s="3056">
        <v>36</v>
      </c>
      <c r="E37" s="3057">
        <v>303</v>
      </c>
      <c r="F37" s="3058">
        <v>164.38</v>
      </c>
      <c r="G37" s="3059" t="s">
        <v>3076</v>
      </c>
      <c r="H37" s="3059">
        <v>4993461</v>
      </c>
      <c r="I37" s="3059"/>
      <c r="J37" s="3059">
        <v>431332</v>
      </c>
      <c r="K37" s="3059">
        <v>5424793</v>
      </c>
      <c r="L37">
        <f t="shared" si="0"/>
        <v>30377.545930161821</v>
      </c>
      <c r="M37">
        <f t="shared" si="1"/>
        <v>33001.539116680862</v>
      </c>
    </row>
    <row r="38" spans="1:13" ht="14.25">
      <c r="A38" s="3053">
        <v>35</v>
      </c>
      <c r="B38" s="3054" t="s">
        <v>3074</v>
      </c>
      <c r="C38" s="3054" t="s">
        <v>3078</v>
      </c>
      <c r="D38" s="3056">
        <v>36</v>
      </c>
      <c r="E38" s="3057">
        <v>304</v>
      </c>
      <c r="F38" s="3058">
        <v>163.97</v>
      </c>
      <c r="G38" s="3059" t="s">
        <v>3076</v>
      </c>
      <c r="H38" s="3059">
        <v>4979759</v>
      </c>
      <c r="I38" s="3059"/>
      <c r="J38" s="3059">
        <v>376706</v>
      </c>
      <c r="K38" s="3059">
        <v>5356465</v>
      </c>
      <c r="L38">
        <f t="shared" si="0"/>
        <v>30369.939623101785</v>
      </c>
      <c r="M38">
        <f t="shared" si="1"/>
        <v>32667.347685552235</v>
      </c>
    </row>
    <row r="39" spans="1:13" ht="14.25">
      <c r="A39" s="3053">
        <v>36</v>
      </c>
      <c r="B39" s="3054" t="s">
        <v>3074</v>
      </c>
      <c r="C39" s="3054" t="s">
        <v>3078</v>
      </c>
      <c r="D39" s="3056">
        <v>36</v>
      </c>
      <c r="E39" s="3057">
        <v>305</v>
      </c>
      <c r="F39" s="3058">
        <v>164.38</v>
      </c>
      <c r="G39" s="3059" t="s">
        <v>3076</v>
      </c>
      <c r="H39" s="3059">
        <v>4993461</v>
      </c>
      <c r="I39" s="3059"/>
      <c r="J39" s="3059">
        <v>431332</v>
      </c>
      <c r="K39" s="3059">
        <v>5424793</v>
      </c>
      <c r="L39">
        <f t="shared" si="0"/>
        <v>30377.545930161821</v>
      </c>
      <c r="M39">
        <f t="shared" si="1"/>
        <v>33001.539116680862</v>
      </c>
    </row>
    <row r="40" spans="1:13" ht="14.25">
      <c r="A40" s="3053">
        <v>37</v>
      </c>
      <c r="B40" s="3054" t="s">
        <v>3074</v>
      </c>
      <c r="C40" s="3054" t="s">
        <v>3078</v>
      </c>
      <c r="D40" s="3056">
        <v>36</v>
      </c>
      <c r="E40" s="3057">
        <v>306</v>
      </c>
      <c r="F40" s="3058">
        <v>163.97</v>
      </c>
      <c r="G40" s="3059" t="s">
        <v>3076</v>
      </c>
      <c r="H40" s="3059">
        <v>4979759</v>
      </c>
      <c r="I40" s="3059"/>
      <c r="J40" s="3059">
        <v>431503</v>
      </c>
      <c r="K40" s="3059">
        <v>5411262</v>
      </c>
      <c r="L40">
        <f t="shared" si="0"/>
        <v>30369.939623101785</v>
      </c>
      <c r="M40">
        <f t="shared" si="1"/>
        <v>33001.53686649997</v>
      </c>
    </row>
    <row r="41" spans="1:13" ht="14.25">
      <c r="A41" s="3053">
        <v>38</v>
      </c>
      <c r="B41" s="3054" t="s">
        <v>3074</v>
      </c>
      <c r="C41" s="3055" t="s">
        <v>3077</v>
      </c>
      <c r="D41" s="3056">
        <v>14</v>
      </c>
      <c r="E41" s="3057">
        <v>101</v>
      </c>
      <c r="F41" s="3061">
        <v>555.30999999999995</v>
      </c>
      <c r="G41" s="3059" t="s">
        <v>3076</v>
      </c>
      <c r="H41" s="3059">
        <v>28541415</v>
      </c>
      <c r="I41" s="3059">
        <v>9000000</v>
      </c>
      <c r="J41" s="3059">
        <v>6587576</v>
      </c>
      <c r="K41" s="3059">
        <v>44128991</v>
      </c>
      <c r="L41">
        <f t="shared" si="0"/>
        <v>51397.264590949206</v>
      </c>
      <c r="M41">
        <f t="shared" si="1"/>
        <v>79467.308350290841</v>
      </c>
    </row>
    <row r="42" spans="1:13" ht="14.25">
      <c r="A42" s="3053">
        <v>39</v>
      </c>
      <c r="B42" s="3054" t="s">
        <v>3074</v>
      </c>
      <c r="C42" s="3055" t="s">
        <v>3077</v>
      </c>
      <c r="D42" s="3056">
        <v>14</v>
      </c>
      <c r="E42" s="3057">
        <v>102</v>
      </c>
      <c r="F42" s="3061">
        <v>555.30999999999995</v>
      </c>
      <c r="G42" s="3059" t="s">
        <v>3076</v>
      </c>
      <c r="H42" s="3059">
        <v>27141549</v>
      </c>
      <c r="I42" s="3059">
        <v>9000000</v>
      </c>
      <c r="J42" s="3059">
        <v>6252946</v>
      </c>
      <c r="K42" s="3059">
        <v>42394495</v>
      </c>
      <c r="L42">
        <f t="shared" si="0"/>
        <v>48876.391565071768</v>
      </c>
      <c r="M42">
        <f t="shared" si="1"/>
        <v>76343.834975058984</v>
      </c>
    </row>
    <row r="43" spans="1:13" ht="14.25">
      <c r="A43" s="3053">
        <v>40</v>
      </c>
      <c r="B43" s="3054" t="s">
        <v>3074</v>
      </c>
      <c r="C43" s="3055" t="s">
        <v>3077</v>
      </c>
      <c r="D43" s="3056">
        <v>15</v>
      </c>
      <c r="E43" s="3057">
        <v>101</v>
      </c>
      <c r="F43" s="3061">
        <v>562.6</v>
      </c>
      <c r="G43" s="3059" t="s">
        <v>3076</v>
      </c>
      <c r="H43" s="3059">
        <v>33894077</v>
      </c>
      <c r="I43" s="3059">
        <v>9000000</v>
      </c>
      <c r="J43" s="3059">
        <v>2499490</v>
      </c>
      <c r="K43" s="3059">
        <v>45393567</v>
      </c>
      <c r="L43">
        <f t="shared" si="0"/>
        <v>60245.426590828298</v>
      </c>
      <c r="M43">
        <f t="shared" si="1"/>
        <v>80685.330607891927</v>
      </c>
    </row>
    <row r="44" spans="1:13" ht="14.25">
      <c r="A44" s="3053">
        <v>41</v>
      </c>
      <c r="B44" s="3054" t="s">
        <v>3074</v>
      </c>
      <c r="C44" s="3055" t="s">
        <v>3077</v>
      </c>
      <c r="D44" s="3056">
        <v>15</v>
      </c>
      <c r="E44" s="3057">
        <v>102</v>
      </c>
      <c r="F44" s="3061">
        <v>562.6</v>
      </c>
      <c r="G44" s="3059" t="s">
        <v>3076</v>
      </c>
      <c r="H44" s="3059">
        <v>31530338</v>
      </c>
      <c r="I44" s="3059">
        <v>9000000</v>
      </c>
      <c r="J44" s="3059">
        <v>3936841</v>
      </c>
      <c r="K44" s="3059">
        <v>44467180</v>
      </c>
      <c r="L44">
        <f t="shared" si="0"/>
        <v>56043.970849626734</v>
      </c>
      <c r="M44">
        <f t="shared" si="1"/>
        <v>79038.713117667969</v>
      </c>
    </row>
    <row r="45" spans="1:13" ht="14.25">
      <c r="A45" s="3053">
        <v>42</v>
      </c>
      <c r="B45" s="3054" t="s">
        <v>3074</v>
      </c>
      <c r="C45" s="3055" t="s">
        <v>3077</v>
      </c>
      <c r="D45" s="3056">
        <v>16</v>
      </c>
      <c r="E45" s="3057">
        <v>101</v>
      </c>
      <c r="F45" s="3061">
        <v>555.30999999999995</v>
      </c>
      <c r="G45" s="3059" t="s">
        <v>3076</v>
      </c>
      <c r="H45" s="3059">
        <v>33207634</v>
      </c>
      <c r="I45" s="3059">
        <v>12000000</v>
      </c>
      <c r="J45" s="3059">
        <v>9729961</v>
      </c>
      <c r="K45" s="3059">
        <v>54937595</v>
      </c>
      <c r="L45">
        <f t="shared" si="0"/>
        <v>59800.17287641138</v>
      </c>
      <c r="M45">
        <f t="shared" si="1"/>
        <v>98931.398678215788</v>
      </c>
    </row>
    <row r="46" spans="1:13" ht="14.25">
      <c r="A46" s="3053">
        <v>43</v>
      </c>
      <c r="B46" s="3054" t="s">
        <v>3074</v>
      </c>
      <c r="C46" s="3055" t="s">
        <v>3077</v>
      </c>
      <c r="D46" s="3056">
        <v>16</v>
      </c>
      <c r="E46" s="3057">
        <v>102</v>
      </c>
      <c r="F46" s="3061">
        <v>555.30999999999995</v>
      </c>
      <c r="G46" s="3059" t="s">
        <v>3076</v>
      </c>
      <c r="H46" s="3059">
        <v>30874525</v>
      </c>
      <c r="I46" s="3059">
        <v>12000000</v>
      </c>
      <c r="J46" s="3059">
        <v>10195710</v>
      </c>
      <c r="K46" s="3059">
        <v>53070235</v>
      </c>
      <c r="L46">
        <f t="shared" si="0"/>
        <v>55598.719634078268</v>
      </c>
      <c r="M46">
        <f t="shared" si="1"/>
        <v>95568.664349642553</v>
      </c>
    </row>
    <row r="47" spans="1:13" ht="14.25">
      <c r="A47" s="3053">
        <v>44</v>
      </c>
      <c r="B47" s="3054" t="s">
        <v>3074</v>
      </c>
      <c r="C47" s="3054" t="s">
        <v>3078</v>
      </c>
      <c r="D47" s="3056">
        <v>33</v>
      </c>
      <c r="E47" s="3057">
        <v>302</v>
      </c>
      <c r="F47" s="3061">
        <v>167.87</v>
      </c>
      <c r="G47" s="3059" t="s">
        <v>3076</v>
      </c>
      <c r="H47" s="3059">
        <v>4997084</v>
      </c>
      <c r="I47" s="3059"/>
      <c r="J47" s="3059">
        <v>472515</v>
      </c>
      <c r="K47" s="3059">
        <v>5469599</v>
      </c>
      <c r="L47">
        <f t="shared" si="0"/>
        <v>29767.582057544529</v>
      </c>
      <c r="M47">
        <f t="shared" si="1"/>
        <v>32582.349437064393</v>
      </c>
    </row>
    <row r="48" spans="1:13" ht="14.25">
      <c r="A48" s="3053">
        <v>45</v>
      </c>
      <c r="B48" s="3054" t="s">
        <v>3074</v>
      </c>
      <c r="C48" s="3054" t="s">
        <v>3078</v>
      </c>
      <c r="D48" s="3056">
        <v>33</v>
      </c>
      <c r="E48" s="3057">
        <v>303</v>
      </c>
      <c r="F48" s="3061">
        <v>168.29</v>
      </c>
      <c r="G48" s="3059" t="s">
        <v>3076</v>
      </c>
      <c r="H48" s="3059">
        <v>5010838</v>
      </c>
      <c r="I48" s="3059"/>
      <c r="J48" s="3059">
        <v>431114</v>
      </c>
      <c r="K48" s="3059">
        <v>5441952</v>
      </c>
      <c r="L48">
        <f t="shared" si="0"/>
        <v>29775.019311902077</v>
      </c>
      <c r="M48">
        <f t="shared" si="1"/>
        <v>32336.752035177375</v>
      </c>
    </row>
    <row r="49" spans="1:13" ht="14.25">
      <c r="A49" s="3053">
        <v>46</v>
      </c>
      <c r="B49" s="3054" t="s">
        <v>3074</v>
      </c>
      <c r="C49" s="3054" t="s">
        <v>3078</v>
      </c>
      <c r="D49" s="3056">
        <v>34</v>
      </c>
      <c r="E49" s="3057">
        <v>101</v>
      </c>
      <c r="F49" s="3062">
        <v>164.81</v>
      </c>
      <c r="G49" s="3059" t="s">
        <v>3076</v>
      </c>
      <c r="H49" s="3059">
        <v>5724162</v>
      </c>
      <c r="I49" s="3059"/>
      <c r="J49" s="3059">
        <v>500000</v>
      </c>
      <c r="K49" s="3060">
        <v>6224162</v>
      </c>
      <c r="L49">
        <f t="shared" si="0"/>
        <v>34731.885201140707</v>
      </c>
      <c r="M49">
        <f t="shared" si="1"/>
        <v>37765.681694071958</v>
      </c>
    </row>
    <row r="50" spans="1:13" ht="14.25">
      <c r="A50" s="3053">
        <v>47</v>
      </c>
      <c r="B50" s="3054" t="s">
        <v>3074</v>
      </c>
      <c r="C50" s="3054" t="s">
        <v>3078</v>
      </c>
      <c r="D50" s="3056">
        <v>34</v>
      </c>
      <c r="E50" s="3057">
        <v>104</v>
      </c>
      <c r="F50" s="3062">
        <v>164.09</v>
      </c>
      <c r="G50" s="3063" t="s">
        <v>3076</v>
      </c>
      <c r="H50" s="3063">
        <v>5365574</v>
      </c>
      <c r="I50" s="3063"/>
      <c r="J50" s="3059">
        <v>209654</v>
      </c>
      <c r="K50" s="3059">
        <v>5575228</v>
      </c>
      <c r="L50">
        <f t="shared" si="0"/>
        <v>32698.970077396549</v>
      </c>
      <c r="M50">
        <f t="shared" si="1"/>
        <v>33976.646962033032</v>
      </c>
    </row>
    <row r="51" spans="1:13" ht="14.25">
      <c r="A51" s="3053">
        <v>48</v>
      </c>
      <c r="B51" s="3054" t="s">
        <v>3074</v>
      </c>
      <c r="C51" s="3054" t="s">
        <v>3078</v>
      </c>
      <c r="D51" s="3056">
        <v>35</v>
      </c>
      <c r="E51" s="3057">
        <v>304</v>
      </c>
      <c r="F51" s="3061">
        <v>163.97</v>
      </c>
      <c r="G51" s="3063" t="s">
        <v>3076</v>
      </c>
      <c r="H51" s="3063">
        <v>5090144</v>
      </c>
      <c r="I51" s="3063"/>
      <c r="J51" s="3059">
        <v>374222</v>
      </c>
      <c r="K51" s="3059">
        <v>5464366</v>
      </c>
      <c r="L51">
        <f t="shared" si="0"/>
        <v>31043.142038177717</v>
      </c>
      <c r="M51">
        <f t="shared" si="1"/>
        <v>33325.400987985609</v>
      </c>
    </row>
    <row r="52" spans="1:13" ht="14.25">
      <c r="A52" s="3053">
        <v>49</v>
      </c>
      <c r="B52" s="3054" t="s">
        <v>3074</v>
      </c>
      <c r="C52" s="3054" t="s">
        <v>3078</v>
      </c>
      <c r="D52" s="3056">
        <v>37</v>
      </c>
      <c r="E52" s="3057">
        <v>102</v>
      </c>
      <c r="F52" s="3061">
        <v>167.7</v>
      </c>
      <c r="G52" s="3063" t="s">
        <v>3076</v>
      </c>
      <c r="H52" s="3063">
        <v>5381722</v>
      </c>
      <c r="I52" s="3063"/>
      <c r="J52" s="3059">
        <v>479414</v>
      </c>
      <c r="K52" s="3059">
        <v>5861136</v>
      </c>
      <c r="L52">
        <f t="shared" si="0"/>
        <v>32091.365533691118</v>
      </c>
      <c r="M52">
        <f t="shared" si="1"/>
        <v>34950.125223613599</v>
      </c>
    </row>
    <row r="53" spans="1:13" ht="14.25">
      <c r="A53" s="3053">
        <v>50</v>
      </c>
      <c r="B53" s="3054" t="s">
        <v>3074</v>
      </c>
      <c r="C53" s="3054" t="s">
        <v>3078</v>
      </c>
      <c r="D53" s="3056">
        <v>37</v>
      </c>
      <c r="E53" s="3057">
        <v>302</v>
      </c>
      <c r="F53" s="3061">
        <v>167.7</v>
      </c>
      <c r="G53" s="3063" t="s">
        <v>3076</v>
      </c>
      <c r="H53" s="3063">
        <v>5104413</v>
      </c>
      <c r="I53" s="3063"/>
      <c r="J53" s="3059">
        <v>581264</v>
      </c>
      <c r="K53" s="3059">
        <v>5685677</v>
      </c>
      <c r="L53">
        <f t="shared" si="0"/>
        <v>30437.763864042936</v>
      </c>
      <c r="M53">
        <f t="shared" si="1"/>
        <v>33903.858079904596</v>
      </c>
    </row>
    <row r="54" spans="1:13" ht="14.25">
      <c r="A54" s="3053">
        <v>51</v>
      </c>
      <c r="B54" s="3054" t="s">
        <v>3074</v>
      </c>
      <c r="C54" s="3054" t="s">
        <v>3078</v>
      </c>
      <c r="D54" s="3056">
        <v>37</v>
      </c>
      <c r="E54" s="3057">
        <v>303</v>
      </c>
      <c r="F54" s="3061">
        <v>164.5</v>
      </c>
      <c r="G54" s="3063" t="s">
        <v>3076</v>
      </c>
      <c r="H54" s="3063">
        <v>4997472</v>
      </c>
      <c r="I54" s="3063"/>
      <c r="J54" s="3059">
        <v>585210</v>
      </c>
      <c r="K54" s="3059">
        <v>5582682</v>
      </c>
      <c r="L54">
        <f t="shared" si="0"/>
        <v>30379.768996960487</v>
      </c>
      <c r="M54">
        <f t="shared" si="1"/>
        <v>33937.276595744683</v>
      </c>
    </row>
    <row r="55" spans="1:13" ht="14.25">
      <c r="A55" s="3053">
        <v>52</v>
      </c>
      <c r="B55" s="3054" t="s">
        <v>3074</v>
      </c>
      <c r="C55" s="3054" t="s">
        <v>3078</v>
      </c>
      <c r="D55" s="3056">
        <v>37</v>
      </c>
      <c r="E55" s="3057">
        <v>304</v>
      </c>
      <c r="F55" s="3061">
        <v>164.09</v>
      </c>
      <c r="G55" s="3063" t="s">
        <v>3076</v>
      </c>
      <c r="H55" s="3063">
        <v>4983770</v>
      </c>
      <c r="I55" s="3063"/>
      <c r="J55" s="3059">
        <v>590482</v>
      </c>
      <c r="K55" s="3059">
        <v>5574252</v>
      </c>
      <c r="L55">
        <f t="shared" si="0"/>
        <v>30372.173807057101</v>
      </c>
      <c r="M55">
        <f t="shared" si="1"/>
        <v>33970.699006642695</v>
      </c>
    </row>
    <row r="56" spans="1:13" ht="14.25">
      <c r="A56" s="3053">
        <v>53</v>
      </c>
      <c r="B56" s="3054" t="s">
        <v>3074</v>
      </c>
      <c r="C56" s="3054" t="s">
        <v>3078</v>
      </c>
      <c r="D56" s="3056">
        <v>38</v>
      </c>
      <c r="E56" s="3057">
        <v>103</v>
      </c>
      <c r="F56" s="3061">
        <v>164.49</v>
      </c>
      <c r="G56" s="3063" t="s">
        <v>3076</v>
      </c>
      <c r="H56" s="3063">
        <v>4992301</v>
      </c>
      <c r="I56" s="3063"/>
      <c r="J56" s="3059">
        <v>376424</v>
      </c>
      <c r="K56" s="3059">
        <v>5368725</v>
      </c>
      <c r="L56">
        <f t="shared" si="0"/>
        <v>30350.179342209252</v>
      </c>
      <c r="M56">
        <f t="shared" si="1"/>
        <v>32638.610249863214</v>
      </c>
    </row>
    <row r="57" spans="1:13" ht="14.25">
      <c r="A57" s="3053">
        <v>54</v>
      </c>
      <c r="B57" s="3054" t="s">
        <v>3074</v>
      </c>
      <c r="C57" s="3054" t="s">
        <v>3078</v>
      </c>
      <c r="D57" s="3056">
        <v>38</v>
      </c>
      <c r="E57" s="3057">
        <v>104</v>
      </c>
      <c r="F57" s="3061">
        <v>164.08</v>
      </c>
      <c r="G57" s="3063" t="s">
        <v>3076</v>
      </c>
      <c r="H57" s="3063">
        <v>4978612</v>
      </c>
      <c r="I57" s="3063"/>
      <c r="J57" s="3059">
        <v>349338</v>
      </c>
      <c r="K57" s="3059">
        <v>5327950</v>
      </c>
      <c r="L57">
        <f t="shared" si="0"/>
        <v>30342.588980984881</v>
      </c>
      <c r="M57">
        <f t="shared" si="1"/>
        <v>32471.660165772792</v>
      </c>
    </row>
    <row r="58" spans="1:13" ht="14.25">
      <c r="A58" s="3053">
        <v>55</v>
      </c>
      <c r="B58" s="3054" t="s">
        <v>3074</v>
      </c>
      <c r="C58" s="3054" t="s">
        <v>3078</v>
      </c>
      <c r="D58" s="3056">
        <v>38</v>
      </c>
      <c r="E58" s="3057">
        <v>604</v>
      </c>
      <c r="F58" s="3061">
        <v>164.08</v>
      </c>
      <c r="G58" s="3063" t="s">
        <v>3076</v>
      </c>
      <c r="H58" s="3063">
        <v>4928206</v>
      </c>
      <c r="I58" s="3063"/>
      <c r="J58" s="3059">
        <v>500000</v>
      </c>
      <c r="K58" s="3059">
        <v>5428206</v>
      </c>
      <c r="L58">
        <f t="shared" si="0"/>
        <v>30035.385177961969</v>
      </c>
      <c r="M58">
        <f t="shared" si="1"/>
        <v>33082.679180887368</v>
      </c>
    </row>
    <row r="59" spans="1:13" ht="14.25">
      <c r="A59" s="3053">
        <v>56</v>
      </c>
      <c r="B59" s="3054" t="s">
        <v>3074</v>
      </c>
      <c r="C59" s="3054" t="s">
        <v>3078</v>
      </c>
      <c r="D59" s="3056">
        <v>39</v>
      </c>
      <c r="E59" s="3057">
        <v>302</v>
      </c>
      <c r="F59" s="3061">
        <v>167.7</v>
      </c>
      <c r="G59" s="3063" t="s">
        <v>3076</v>
      </c>
      <c r="H59" s="3063">
        <v>5104413</v>
      </c>
      <c r="I59" s="3063"/>
      <c r="J59" s="3059">
        <v>514011</v>
      </c>
      <c r="K59" s="3059">
        <v>5618424</v>
      </c>
      <c r="L59">
        <f t="shared" si="0"/>
        <v>30437.763864042936</v>
      </c>
      <c r="M59">
        <f t="shared" si="1"/>
        <v>33502.826475849732</v>
      </c>
    </row>
    <row r="60" spans="1:13" ht="14.25">
      <c r="A60" s="3053">
        <v>57</v>
      </c>
      <c r="B60" s="3054" t="s">
        <v>3074</v>
      </c>
      <c r="C60" s="3054" t="s">
        <v>3078</v>
      </c>
      <c r="D60" s="3056">
        <v>39</v>
      </c>
      <c r="E60" s="3057">
        <v>303</v>
      </c>
      <c r="F60" s="3061">
        <v>164.5</v>
      </c>
      <c r="G60" s="3063" t="s">
        <v>3076</v>
      </c>
      <c r="H60" s="3063">
        <v>4997472</v>
      </c>
      <c r="I60" s="3063"/>
      <c r="J60" s="3059">
        <v>535733</v>
      </c>
      <c r="K60" s="3059">
        <v>5533205</v>
      </c>
      <c r="L60">
        <f t="shared" si="0"/>
        <v>30379.768996960487</v>
      </c>
      <c r="M60">
        <f t="shared" si="1"/>
        <v>33636.504559270514</v>
      </c>
    </row>
    <row r="61" spans="1:13" ht="14.25">
      <c r="A61" s="3053">
        <v>58</v>
      </c>
      <c r="B61" s="3054" t="s">
        <v>3074</v>
      </c>
      <c r="C61" s="3054" t="s">
        <v>3078</v>
      </c>
      <c r="D61" s="3056">
        <v>39</v>
      </c>
      <c r="E61" s="3057">
        <v>304</v>
      </c>
      <c r="F61" s="3061">
        <v>164.09</v>
      </c>
      <c r="G61" s="3063" t="s">
        <v>3076</v>
      </c>
      <c r="H61" s="3063">
        <v>4983770</v>
      </c>
      <c r="I61" s="3063"/>
      <c r="J61" s="3059">
        <v>491774</v>
      </c>
      <c r="K61" s="3059">
        <v>5475544</v>
      </c>
      <c r="L61">
        <f t="shared" si="0"/>
        <v>30372.173807057101</v>
      </c>
      <c r="M61">
        <f t="shared" si="1"/>
        <v>33369.151075629226</v>
      </c>
    </row>
    <row r="62" spans="1:13" ht="14.25">
      <c r="A62" s="3053"/>
      <c r="B62" s="3064"/>
      <c r="C62" s="3065"/>
      <c r="D62" s="3066"/>
      <c r="E62" s="3067"/>
      <c r="F62" s="3068">
        <f>SUM(F4:F61)</f>
        <v>16412.019999999993</v>
      </c>
      <c r="G62" s="3069"/>
      <c r="H62" s="3070">
        <f t="shared" ref="H62:K62" si="2">SUM(H4:H61)</f>
        <v>781315172</v>
      </c>
      <c r="I62" s="3070">
        <f t="shared" si="2"/>
        <v>159000000</v>
      </c>
      <c r="J62" s="3070">
        <f t="shared" si="2"/>
        <v>174517656</v>
      </c>
      <c r="K62" s="3070">
        <f t="shared" si="2"/>
        <v>1114832829</v>
      </c>
      <c r="L62">
        <f t="shared" si="0"/>
        <v>47606.277106657217</v>
      </c>
      <c r="M62">
        <f t="shared" si="1"/>
        <v>67927.825398701709</v>
      </c>
    </row>
    <row r="63" spans="1:13">
      <c r="K63" s="3076"/>
    </row>
    <row r="64" spans="1:13">
      <c r="G64" s="3087" t="s">
        <v>3322</v>
      </c>
      <c r="H64" s="3087"/>
      <c r="I64" s="3087" t="s">
        <v>3323</v>
      </c>
    </row>
    <row r="65" spans="3:10">
      <c r="C65" s="3079" t="s">
        <v>3087</v>
      </c>
      <c r="F65" s="3080">
        <f>SUM(F31:F40,F47:F61)</f>
        <v>4130.4999999999991</v>
      </c>
      <c r="G65" s="3080">
        <f>SUM(H31:H40,H47:H61)</f>
        <v>128095985</v>
      </c>
      <c r="H65" s="3080">
        <f>G65/F65</f>
        <v>31012.222491223831</v>
      </c>
      <c r="I65" s="3080">
        <f>SUM(K31:K40,K47:K61)</f>
        <v>139269134</v>
      </c>
      <c r="J65" s="3074">
        <f>I65/F65</f>
        <v>33717.257959084862</v>
      </c>
    </row>
    <row r="66" spans="3:10">
      <c r="C66" s="3079" t="s">
        <v>3088</v>
      </c>
      <c r="F66" s="3080">
        <f>SUM(F4:F6,F16:F30)</f>
        <v>3893.5499999999993</v>
      </c>
      <c r="G66" s="3080">
        <f>SUM(H4:H6,H16:H30)</f>
        <v>185750340</v>
      </c>
      <c r="H66" s="3080">
        <f>G66/F66</f>
        <v>47707.192664791779</v>
      </c>
      <c r="I66" s="3080">
        <f>SUM(K4:K6,K16:K30)</f>
        <v>231519712</v>
      </c>
      <c r="J66" s="3074">
        <f>I66/F66</f>
        <v>59462.370330418264</v>
      </c>
    </row>
    <row r="67" spans="3:10">
      <c r="C67" s="3079" t="s">
        <v>3089</v>
      </c>
      <c r="F67" s="3080">
        <f>SUM(F7:F15,F41:F46)</f>
        <v>8387.9699999999993</v>
      </c>
      <c r="G67" s="3080">
        <f>SUM(H7:H15,H41:H46)</f>
        <v>467468847</v>
      </c>
      <c r="H67" s="3080">
        <f>G67/F67</f>
        <v>55730.867778497064</v>
      </c>
      <c r="I67" s="3080">
        <f>SUM(K7:K15,K41:K46)</f>
        <v>744043983</v>
      </c>
      <c r="J67" s="3074">
        <f>I67/F67</f>
        <v>88703.701014667444</v>
      </c>
    </row>
    <row r="68" spans="3:10">
      <c r="F68" s="3080">
        <f>SUM(F65:F67)</f>
        <v>16412.019999999997</v>
      </c>
    </row>
    <row r="82" spans="5:5">
      <c r="E82" s="3071"/>
    </row>
    <row r="83" spans="5:5">
      <c r="E83" s="3071"/>
    </row>
    <row r="84" spans="5:5">
      <c r="E84" s="3071"/>
    </row>
    <row r="85" spans="5:5">
      <c r="E85" s="3071"/>
    </row>
    <row r="86" spans="5:5">
      <c r="E86" s="3071"/>
    </row>
    <row r="87" spans="5:5">
      <c r="E87" s="3071"/>
    </row>
    <row r="88" spans="5:5">
      <c r="E88" s="3071"/>
    </row>
    <row r="89" spans="5:5">
      <c r="E89" s="3071"/>
    </row>
    <row r="90" spans="5:5">
      <c r="E90" s="3071"/>
    </row>
    <row r="91" spans="5:5">
      <c r="E91" s="3071"/>
    </row>
    <row r="92" spans="5:5">
      <c r="E92" s="3071"/>
    </row>
    <row r="93" spans="5:5">
      <c r="E93" s="3071"/>
    </row>
    <row r="94" spans="5:5">
      <c r="E94" s="3071"/>
    </row>
    <row r="95" spans="5:5">
      <c r="E95" s="3071"/>
    </row>
    <row r="96" spans="5:5">
      <c r="E96" s="3071"/>
    </row>
    <row r="97" spans="5:5">
      <c r="E97" s="3071"/>
    </row>
    <row r="98" spans="5:5">
      <c r="E98" s="3071"/>
    </row>
    <row r="99" spans="5:5">
      <c r="E99" s="3071"/>
    </row>
    <row r="100" spans="5:5">
      <c r="E100" s="3071"/>
    </row>
    <row r="101" spans="5:5">
      <c r="E101" s="3071"/>
    </row>
    <row r="102" spans="5:5">
      <c r="E102" s="3071"/>
    </row>
    <row r="103" spans="5:5">
      <c r="E103" s="3071"/>
    </row>
    <row r="104" spans="5:5">
      <c r="E104" s="3071"/>
    </row>
    <row r="105" spans="5:5">
      <c r="E105" s="3071"/>
    </row>
    <row r="106" spans="5:5">
      <c r="E106" s="3071"/>
    </row>
    <row r="107" spans="5:5">
      <c r="E107" s="3071"/>
    </row>
    <row r="108" spans="5:5">
      <c r="E108" s="3071"/>
    </row>
    <row r="109" spans="5:5">
      <c r="E109" s="3071"/>
    </row>
    <row r="110" spans="5:5">
      <c r="E110" s="3071"/>
    </row>
    <row r="111" spans="5:5">
      <c r="E111" s="3071"/>
    </row>
    <row r="112" spans="5:5">
      <c r="E112" s="3071"/>
    </row>
    <row r="113" spans="5:5">
      <c r="E113" s="3071"/>
    </row>
    <row r="114" spans="5:5">
      <c r="E114" s="3071"/>
    </row>
    <row r="115" spans="5:5">
      <c r="E115" s="3071"/>
    </row>
    <row r="116" spans="5:5">
      <c r="E116" s="3071"/>
    </row>
    <row r="117" spans="5:5">
      <c r="E117" s="3071"/>
    </row>
    <row r="118" spans="5:5">
      <c r="E118" s="3071"/>
    </row>
    <row r="119" spans="5:5">
      <c r="E119" s="3071"/>
    </row>
    <row r="120" spans="5:5">
      <c r="E120" s="3071"/>
    </row>
    <row r="121" spans="5:5">
      <c r="E121" s="3071"/>
    </row>
    <row r="122" spans="5:5">
      <c r="E122" s="3071"/>
    </row>
    <row r="123" spans="5:5">
      <c r="E123" s="3071"/>
    </row>
    <row r="124" spans="5:5">
      <c r="E124" s="3071"/>
    </row>
    <row r="125" spans="5:5">
      <c r="E125" s="3071"/>
    </row>
    <row r="126" spans="5:5">
      <c r="E126" s="3071"/>
    </row>
    <row r="127" spans="5:5">
      <c r="E127" s="3071"/>
    </row>
    <row r="128" spans="5:5">
      <c r="E128" s="3071"/>
    </row>
    <row r="129" spans="5:5">
      <c r="E129" s="3071"/>
    </row>
    <row r="130" spans="5:5">
      <c r="E130" s="3071"/>
    </row>
    <row r="131" spans="5:5">
      <c r="E131" s="3071"/>
    </row>
    <row r="132" spans="5:5">
      <c r="E132" s="3071"/>
    </row>
    <row r="133" spans="5:5">
      <c r="E133" s="3071"/>
    </row>
    <row r="134" spans="5:5">
      <c r="E134" s="3071"/>
    </row>
    <row r="135" spans="5:5">
      <c r="E135" s="3071"/>
    </row>
    <row r="136" spans="5:5">
      <c r="E136" s="3071"/>
    </row>
    <row r="137" spans="5:5">
      <c r="E137" s="3071"/>
    </row>
    <row r="138" spans="5:5">
      <c r="E138" s="3071"/>
    </row>
    <row r="139" spans="5:5">
      <c r="E139" s="3071"/>
    </row>
    <row r="140" spans="5:5">
      <c r="E140" s="3071"/>
    </row>
    <row r="141" spans="5:5">
      <c r="E141" s="3071"/>
    </row>
    <row r="142" spans="5:5">
      <c r="E142" s="3071"/>
    </row>
    <row r="143" spans="5:5">
      <c r="E143" s="3071"/>
    </row>
    <row r="144" spans="5:5">
      <c r="E144" s="3071"/>
    </row>
    <row r="145" spans="5:5">
      <c r="E145" s="3071"/>
    </row>
    <row r="146" spans="5:5">
      <c r="E146" s="3071"/>
    </row>
    <row r="147" spans="5:5">
      <c r="E147" s="3071"/>
    </row>
    <row r="148" spans="5:5">
      <c r="E148" s="3071"/>
    </row>
    <row r="149" spans="5:5">
      <c r="E149" s="3071"/>
    </row>
    <row r="150" spans="5:5">
      <c r="E150" s="3071"/>
    </row>
    <row r="151" spans="5:5">
      <c r="E151" s="3071"/>
    </row>
    <row r="152" spans="5:5">
      <c r="E152" s="3071"/>
    </row>
    <row r="153" spans="5:5">
      <c r="E153" s="3071"/>
    </row>
    <row r="154" spans="5:5">
      <c r="E154" s="3071"/>
    </row>
    <row r="155" spans="5:5">
      <c r="E155" s="3071"/>
    </row>
    <row r="156" spans="5:5">
      <c r="E156" s="3071"/>
    </row>
    <row r="157" spans="5:5">
      <c r="E157" s="3071"/>
    </row>
    <row r="158" spans="5:5">
      <c r="E158" s="3071"/>
    </row>
    <row r="159" spans="5:5">
      <c r="E159" s="3071"/>
    </row>
    <row r="160" spans="5:5">
      <c r="E160" s="3071"/>
    </row>
    <row r="161" spans="5:5">
      <c r="E161" s="3071"/>
    </row>
    <row r="162" spans="5:5">
      <c r="E162" s="3071"/>
    </row>
    <row r="163" spans="5:5">
      <c r="E163" s="3071"/>
    </row>
    <row r="164" spans="5:5">
      <c r="E164" s="3071"/>
    </row>
    <row r="165" spans="5:5">
      <c r="E165" s="3071"/>
    </row>
    <row r="166" spans="5:5">
      <c r="E166" s="3071"/>
    </row>
    <row r="167" spans="5:5">
      <c r="E167" s="3071"/>
    </row>
    <row r="168" spans="5:5">
      <c r="E168" s="3071"/>
    </row>
    <row r="169" spans="5:5">
      <c r="E169" s="3071"/>
    </row>
    <row r="170" spans="5:5">
      <c r="E170" s="3071"/>
    </row>
    <row r="171" spans="5:5">
      <c r="E171" s="3071"/>
    </row>
    <row r="172" spans="5:5">
      <c r="E172" s="3071"/>
    </row>
    <row r="173" spans="5:5">
      <c r="E173" s="3071"/>
    </row>
    <row r="174" spans="5:5">
      <c r="E174" s="3071"/>
    </row>
    <row r="175" spans="5:5">
      <c r="E175" s="3071"/>
    </row>
    <row r="176" spans="5:5">
      <c r="E176" s="3071"/>
    </row>
    <row r="177" spans="5:5">
      <c r="E177" s="3071"/>
    </row>
    <row r="178" spans="5:5">
      <c r="E178" s="3071"/>
    </row>
    <row r="179" spans="5:5">
      <c r="E179" s="3071"/>
    </row>
    <row r="180" spans="5:5">
      <c r="E180" s="3071"/>
    </row>
    <row r="181" spans="5:5">
      <c r="E181" s="3071"/>
    </row>
    <row r="182" spans="5:5">
      <c r="E182" s="3071"/>
    </row>
    <row r="183" spans="5:5">
      <c r="E183" s="3071"/>
    </row>
    <row r="184" spans="5:5">
      <c r="E184" s="3071"/>
    </row>
    <row r="185" spans="5:5">
      <c r="E185" s="3071"/>
    </row>
    <row r="186" spans="5:5">
      <c r="E186" s="3071"/>
    </row>
    <row r="187" spans="5:5">
      <c r="E187" s="3071"/>
    </row>
    <row r="188" spans="5:5">
      <c r="E188" s="3071"/>
    </row>
    <row r="189" spans="5:5">
      <c r="E189" s="3071"/>
    </row>
    <row r="190" spans="5:5">
      <c r="E190" s="3071"/>
    </row>
    <row r="191" spans="5:5">
      <c r="E191" s="3071"/>
    </row>
    <row r="192" spans="5:5">
      <c r="E192" s="3071"/>
    </row>
    <row r="193" spans="5:5">
      <c r="E193" s="3071"/>
    </row>
    <row r="194" spans="5:5">
      <c r="E194" s="3071"/>
    </row>
    <row r="195" spans="5:5">
      <c r="E195" s="3071"/>
    </row>
    <row r="196" spans="5:5">
      <c r="E196" s="3071"/>
    </row>
    <row r="197" spans="5:5">
      <c r="E197" s="3071"/>
    </row>
    <row r="198" spans="5:5">
      <c r="E198" s="3071"/>
    </row>
    <row r="199" spans="5:5">
      <c r="E199" s="3071"/>
    </row>
    <row r="1048339" spans="10:11">
      <c r="J1048339"/>
      <c r="K1048339"/>
    </row>
    <row r="1048340" spans="10:11">
      <c r="J1048340"/>
      <c r="K1048340"/>
    </row>
    <row r="1048341" spans="10:11">
      <c r="J1048341"/>
      <c r="K1048341"/>
    </row>
    <row r="1048342" spans="10:11">
      <c r="J1048342"/>
      <c r="K1048342"/>
    </row>
    <row r="1048343" spans="10:11">
      <c r="J1048343"/>
      <c r="K1048343"/>
    </row>
    <row r="1048344" spans="10:11">
      <c r="J1048344"/>
      <c r="K1048344"/>
    </row>
    <row r="1048345" spans="10:11">
      <c r="J1048345"/>
      <c r="K1048345"/>
    </row>
    <row r="1048346" spans="10:11">
      <c r="J1048346"/>
      <c r="K1048346"/>
    </row>
    <row r="1048347" spans="10:11">
      <c r="J1048347"/>
      <c r="K1048347"/>
    </row>
    <row r="1048348" spans="10:11">
      <c r="J1048348"/>
      <c r="K1048348"/>
    </row>
    <row r="1048349" spans="10:11">
      <c r="J1048349"/>
      <c r="K1048349"/>
    </row>
    <row r="1048350" spans="10:11">
      <c r="J1048350"/>
      <c r="K1048350"/>
    </row>
    <row r="1048351" spans="10:11">
      <c r="J1048351"/>
      <c r="K1048351"/>
    </row>
    <row r="1048352" spans="10:11">
      <c r="J1048352"/>
      <c r="K1048352"/>
    </row>
    <row r="1048353" spans="10:11">
      <c r="J1048353"/>
      <c r="K1048353"/>
    </row>
    <row r="1048354" spans="10:11">
      <c r="J1048354"/>
      <c r="K1048354"/>
    </row>
    <row r="1048355" spans="10:11">
      <c r="J1048355"/>
      <c r="K1048355"/>
    </row>
    <row r="1048356" spans="10:11">
      <c r="J1048356"/>
      <c r="K1048356"/>
    </row>
    <row r="1048357" spans="10:11">
      <c r="J1048357"/>
      <c r="K1048357"/>
    </row>
    <row r="1048358" spans="10:11">
      <c r="J1048358"/>
      <c r="K1048358"/>
    </row>
    <row r="1048359" spans="10:11">
      <c r="J1048359"/>
      <c r="K1048359"/>
    </row>
    <row r="1048360" spans="10:11">
      <c r="J1048360"/>
      <c r="K1048360"/>
    </row>
    <row r="1048361" spans="10:11">
      <c r="J1048361"/>
      <c r="K1048361"/>
    </row>
    <row r="1048362" spans="10:11">
      <c r="J1048362"/>
      <c r="K1048362"/>
    </row>
    <row r="1048363" spans="10:11">
      <c r="J1048363"/>
      <c r="K1048363"/>
    </row>
    <row r="1048364" spans="10:11">
      <c r="J1048364"/>
      <c r="K1048364"/>
    </row>
    <row r="1048365" spans="10:11">
      <c r="J1048365"/>
      <c r="K1048365"/>
    </row>
    <row r="1048366" spans="10:11">
      <c r="J1048366"/>
      <c r="K1048366"/>
    </row>
    <row r="1048367" spans="10:11">
      <c r="J1048367"/>
      <c r="K1048367"/>
    </row>
    <row r="1048368" spans="10:11">
      <c r="J1048368"/>
      <c r="K1048368"/>
    </row>
    <row r="1048369" spans="10:11">
      <c r="J1048369"/>
      <c r="K1048369"/>
    </row>
    <row r="1048370" spans="10:11">
      <c r="J1048370"/>
      <c r="K1048370"/>
    </row>
    <row r="1048371" spans="10:11">
      <c r="J1048371"/>
      <c r="K1048371"/>
    </row>
    <row r="1048372" spans="10:11">
      <c r="J1048372"/>
      <c r="K1048372"/>
    </row>
    <row r="1048373" spans="10:11">
      <c r="J1048373"/>
      <c r="K1048373"/>
    </row>
    <row r="1048374" spans="10:11">
      <c r="J1048374"/>
      <c r="K1048374"/>
    </row>
    <row r="1048375" spans="10:11">
      <c r="J1048375"/>
      <c r="K1048375"/>
    </row>
    <row r="1048376" spans="10:11">
      <c r="J1048376"/>
      <c r="K1048376"/>
    </row>
    <row r="1048377" spans="10:11">
      <c r="J1048377"/>
      <c r="K1048377"/>
    </row>
    <row r="1048378" spans="10:11">
      <c r="J1048378"/>
      <c r="K1048378"/>
    </row>
    <row r="1048379" spans="10:11">
      <c r="J1048379"/>
      <c r="K1048379"/>
    </row>
    <row r="1048380" spans="10:11">
      <c r="J1048380"/>
      <c r="K1048380"/>
    </row>
    <row r="1048381" spans="10:11">
      <c r="J1048381"/>
      <c r="K1048381"/>
    </row>
    <row r="1048382" spans="10:11">
      <c r="J1048382"/>
      <c r="K1048382"/>
    </row>
    <row r="1048383" spans="10:11">
      <c r="J1048383"/>
      <c r="K1048383"/>
    </row>
    <row r="1048384" spans="10:11">
      <c r="J1048384"/>
      <c r="K1048384"/>
    </row>
    <row r="1048385" spans="10:11">
      <c r="J1048385"/>
      <c r="K1048385"/>
    </row>
    <row r="1048386" spans="10:11">
      <c r="J1048386"/>
      <c r="K1048386"/>
    </row>
    <row r="1048387" spans="10:11">
      <c r="J1048387"/>
      <c r="K1048387"/>
    </row>
    <row r="1048388" spans="10:11">
      <c r="J1048388"/>
      <c r="K1048388"/>
    </row>
    <row r="1048389" spans="10:11">
      <c r="J1048389"/>
      <c r="K1048389"/>
    </row>
    <row r="1048390" spans="10:11">
      <c r="J1048390"/>
      <c r="K1048390"/>
    </row>
    <row r="1048391" spans="10:11">
      <c r="J1048391"/>
      <c r="K1048391"/>
    </row>
    <row r="1048392" spans="10:11">
      <c r="J1048392"/>
      <c r="K1048392"/>
    </row>
    <row r="1048393" spans="10:11">
      <c r="J1048393"/>
      <c r="K1048393"/>
    </row>
    <row r="1048394" spans="10:11">
      <c r="J1048394"/>
      <c r="K1048394"/>
    </row>
    <row r="1048395" spans="10:11">
      <c r="J1048395"/>
      <c r="K1048395"/>
    </row>
    <row r="1048396" spans="10:11">
      <c r="J1048396"/>
      <c r="K1048396"/>
    </row>
    <row r="1048397" spans="10:11">
      <c r="J1048397"/>
      <c r="K1048397"/>
    </row>
    <row r="1048398" spans="10:11">
      <c r="J1048398"/>
      <c r="K1048398"/>
    </row>
    <row r="1048399" spans="10:11">
      <c r="J1048399"/>
      <c r="K1048399"/>
    </row>
    <row r="1048400" spans="10:11">
      <c r="J1048400"/>
      <c r="K1048400"/>
    </row>
    <row r="1048401" spans="10:11">
      <c r="J1048401"/>
      <c r="K1048401"/>
    </row>
    <row r="1048402" spans="10:11">
      <c r="J1048402"/>
      <c r="K1048402"/>
    </row>
    <row r="1048403" spans="10:11">
      <c r="J1048403"/>
      <c r="K1048403"/>
    </row>
    <row r="1048404" spans="10:11">
      <c r="J1048404"/>
      <c r="K1048404"/>
    </row>
    <row r="1048405" spans="10:11">
      <c r="J1048405"/>
      <c r="K1048405"/>
    </row>
    <row r="1048406" spans="10:11">
      <c r="J1048406"/>
      <c r="K1048406"/>
    </row>
    <row r="1048407" spans="10:11">
      <c r="J1048407"/>
      <c r="K1048407"/>
    </row>
    <row r="1048408" spans="10:11">
      <c r="J1048408"/>
      <c r="K1048408"/>
    </row>
    <row r="1048409" spans="10:11">
      <c r="J1048409"/>
      <c r="K1048409"/>
    </row>
    <row r="1048410" spans="10:11">
      <c r="J1048410"/>
      <c r="K1048410"/>
    </row>
    <row r="1048411" spans="10:11">
      <c r="J1048411"/>
      <c r="K1048411"/>
    </row>
    <row r="1048412" spans="10:11">
      <c r="J1048412"/>
      <c r="K1048412"/>
    </row>
    <row r="1048413" spans="10:11">
      <c r="J1048413"/>
      <c r="K1048413"/>
    </row>
    <row r="1048414" spans="10:11">
      <c r="J1048414"/>
      <c r="K1048414"/>
    </row>
    <row r="1048415" spans="10:11">
      <c r="J1048415"/>
      <c r="K1048415"/>
    </row>
    <row r="1048416" spans="10:11">
      <c r="J1048416"/>
      <c r="K1048416"/>
    </row>
    <row r="1048417" spans="10:11">
      <c r="J1048417"/>
      <c r="K1048417"/>
    </row>
    <row r="1048418" spans="10:11">
      <c r="J1048418"/>
      <c r="K1048418"/>
    </row>
    <row r="1048419" spans="10:11">
      <c r="J1048419"/>
      <c r="K1048419"/>
    </row>
    <row r="1048420" spans="10:11">
      <c r="J1048420"/>
      <c r="K1048420"/>
    </row>
    <row r="1048421" spans="10:11">
      <c r="J1048421"/>
      <c r="K1048421"/>
    </row>
    <row r="1048422" spans="10:11">
      <c r="J1048422"/>
      <c r="K1048422"/>
    </row>
    <row r="1048423" spans="10:11">
      <c r="J1048423"/>
      <c r="K1048423"/>
    </row>
    <row r="1048424" spans="10:11">
      <c r="J1048424"/>
      <c r="K1048424"/>
    </row>
    <row r="1048425" spans="10:11">
      <c r="J1048425"/>
      <c r="K1048425"/>
    </row>
    <row r="1048426" spans="10:11">
      <c r="J1048426"/>
      <c r="K1048426"/>
    </row>
    <row r="1048427" spans="10:11">
      <c r="J1048427"/>
      <c r="K1048427"/>
    </row>
    <row r="1048428" spans="10:11">
      <c r="J1048428"/>
      <c r="K1048428"/>
    </row>
    <row r="1048429" spans="10:11">
      <c r="J1048429"/>
      <c r="K1048429"/>
    </row>
    <row r="1048430" spans="10:11">
      <c r="J1048430"/>
      <c r="K1048430"/>
    </row>
    <row r="1048431" spans="10:11">
      <c r="J1048431"/>
      <c r="K1048431"/>
    </row>
    <row r="1048432" spans="10:11">
      <c r="J1048432"/>
      <c r="K1048432"/>
    </row>
    <row r="1048433" spans="10:11">
      <c r="J1048433"/>
      <c r="K1048433"/>
    </row>
    <row r="1048434" spans="10:11">
      <c r="J1048434"/>
      <c r="K1048434"/>
    </row>
    <row r="1048435" spans="10:11">
      <c r="J1048435"/>
      <c r="K1048435"/>
    </row>
    <row r="1048436" spans="10:11">
      <c r="J1048436"/>
      <c r="K1048436"/>
    </row>
    <row r="1048437" spans="10:11">
      <c r="J1048437"/>
      <c r="K1048437"/>
    </row>
    <row r="1048438" spans="10:11">
      <c r="J1048438"/>
      <c r="K1048438"/>
    </row>
    <row r="1048439" spans="10:11">
      <c r="J1048439"/>
      <c r="K1048439"/>
    </row>
    <row r="1048440" spans="10:11">
      <c r="J1048440"/>
      <c r="K1048440"/>
    </row>
    <row r="1048441" spans="10:11">
      <c r="J1048441"/>
      <c r="K1048441"/>
    </row>
    <row r="1048442" spans="10:11">
      <c r="J1048442"/>
      <c r="K1048442"/>
    </row>
    <row r="1048443" spans="10:11">
      <c r="J1048443"/>
      <c r="K1048443"/>
    </row>
    <row r="1048444" spans="10:11">
      <c r="J1048444"/>
      <c r="K1048444"/>
    </row>
    <row r="1048445" spans="10:11">
      <c r="J1048445"/>
      <c r="K1048445"/>
    </row>
    <row r="1048446" spans="10:11">
      <c r="J1048446"/>
      <c r="K1048446"/>
    </row>
    <row r="1048447" spans="10:11">
      <c r="J1048447"/>
      <c r="K1048447"/>
    </row>
    <row r="1048448" spans="10:11">
      <c r="J1048448"/>
      <c r="K1048448"/>
    </row>
    <row r="1048449" spans="10:11">
      <c r="J1048449"/>
      <c r="K1048449"/>
    </row>
    <row r="1048450" spans="10:11">
      <c r="J1048450"/>
      <c r="K1048450"/>
    </row>
    <row r="1048451" spans="10:11">
      <c r="J1048451"/>
      <c r="K1048451"/>
    </row>
    <row r="1048452" spans="10:11">
      <c r="J1048452"/>
      <c r="K1048452"/>
    </row>
    <row r="1048453" spans="10:11">
      <c r="J1048453"/>
      <c r="K1048453"/>
    </row>
    <row r="1048454" spans="10:11">
      <c r="J1048454"/>
      <c r="K1048454"/>
    </row>
    <row r="1048455" spans="10:11">
      <c r="J1048455"/>
      <c r="K1048455"/>
    </row>
    <row r="1048456" spans="10:11">
      <c r="J1048456"/>
      <c r="K1048456"/>
    </row>
    <row r="1048457" spans="10:11">
      <c r="J1048457"/>
      <c r="K1048457"/>
    </row>
    <row r="1048458" spans="10:11">
      <c r="J1048458"/>
      <c r="K1048458"/>
    </row>
    <row r="1048459" spans="10:11">
      <c r="J1048459"/>
      <c r="K1048459"/>
    </row>
    <row r="1048460" spans="10:11">
      <c r="J1048460"/>
      <c r="K1048460"/>
    </row>
    <row r="1048461" spans="10:11">
      <c r="J1048461"/>
      <c r="K1048461"/>
    </row>
    <row r="1048462" spans="10:11">
      <c r="J1048462"/>
      <c r="K1048462"/>
    </row>
    <row r="1048463" spans="10:11">
      <c r="J1048463"/>
      <c r="K1048463"/>
    </row>
    <row r="1048464" spans="10:11">
      <c r="J1048464"/>
      <c r="K1048464"/>
    </row>
    <row r="1048465" spans="10:11">
      <c r="J1048465"/>
      <c r="K1048465"/>
    </row>
    <row r="1048466" spans="10:11">
      <c r="J1048466"/>
      <c r="K1048466"/>
    </row>
    <row r="1048467" spans="10:11">
      <c r="J1048467"/>
      <c r="K1048467"/>
    </row>
    <row r="1048468" spans="10:11">
      <c r="J1048468"/>
      <c r="K1048468"/>
    </row>
    <row r="1048469" spans="10:11">
      <c r="J1048469"/>
      <c r="K1048469"/>
    </row>
    <row r="1048470" spans="10:11">
      <c r="J1048470"/>
      <c r="K1048470"/>
    </row>
    <row r="1048471" spans="10:11">
      <c r="J1048471"/>
      <c r="K1048471"/>
    </row>
    <row r="1048472" spans="10:11">
      <c r="J1048472"/>
      <c r="K1048472"/>
    </row>
    <row r="1048473" spans="10:11">
      <c r="J1048473"/>
      <c r="K1048473"/>
    </row>
    <row r="1048474" spans="10:11">
      <c r="J1048474"/>
      <c r="K1048474"/>
    </row>
    <row r="1048475" spans="10:11">
      <c r="J1048475"/>
      <c r="K1048475"/>
    </row>
    <row r="1048476" spans="10:11">
      <c r="J1048476"/>
      <c r="K1048476"/>
    </row>
    <row r="1048477" spans="10:11">
      <c r="J1048477"/>
      <c r="K1048477"/>
    </row>
    <row r="1048478" spans="10:11">
      <c r="J1048478"/>
      <c r="K1048478"/>
    </row>
    <row r="1048479" spans="10:11">
      <c r="J1048479"/>
      <c r="K1048479"/>
    </row>
    <row r="1048480" spans="10:11">
      <c r="J1048480"/>
      <c r="K1048480"/>
    </row>
    <row r="1048481" spans="10:11">
      <c r="J1048481"/>
      <c r="K1048481"/>
    </row>
    <row r="1048482" spans="10:11">
      <c r="J1048482"/>
      <c r="K1048482"/>
    </row>
    <row r="1048483" spans="10:11">
      <c r="J1048483"/>
      <c r="K1048483"/>
    </row>
    <row r="1048484" spans="10:11">
      <c r="J1048484"/>
      <c r="K1048484"/>
    </row>
    <row r="1048485" spans="10:11">
      <c r="J1048485"/>
      <c r="K1048485"/>
    </row>
    <row r="1048486" spans="10:11">
      <c r="J1048486"/>
      <c r="K1048486"/>
    </row>
    <row r="1048487" spans="10:11">
      <c r="J1048487"/>
      <c r="K1048487"/>
    </row>
    <row r="1048488" spans="10:11">
      <c r="J1048488"/>
      <c r="K1048488"/>
    </row>
    <row r="1048489" spans="10:11">
      <c r="J1048489"/>
      <c r="K1048489"/>
    </row>
    <row r="1048490" spans="10:11">
      <c r="J1048490"/>
      <c r="K1048490"/>
    </row>
    <row r="1048491" spans="10:11">
      <c r="J1048491"/>
      <c r="K1048491"/>
    </row>
    <row r="1048492" spans="10:11">
      <c r="J1048492"/>
      <c r="K1048492"/>
    </row>
    <row r="1048493" spans="10:11">
      <c r="J1048493"/>
      <c r="K1048493"/>
    </row>
    <row r="1048494" spans="10:11">
      <c r="J1048494"/>
      <c r="K1048494"/>
    </row>
    <row r="1048495" spans="10:11">
      <c r="J1048495"/>
      <c r="K1048495"/>
    </row>
    <row r="1048496" spans="10:11">
      <c r="J1048496"/>
      <c r="K1048496"/>
    </row>
    <row r="1048497" spans="10:11">
      <c r="J1048497"/>
      <c r="K1048497"/>
    </row>
    <row r="1048498" spans="10:11">
      <c r="J1048498"/>
      <c r="K1048498"/>
    </row>
    <row r="1048499" spans="10:11">
      <c r="J1048499"/>
      <c r="K1048499"/>
    </row>
    <row r="1048500" spans="10:11">
      <c r="J1048500"/>
      <c r="K1048500"/>
    </row>
    <row r="1048501" spans="10:11">
      <c r="J1048501"/>
      <c r="K1048501"/>
    </row>
    <row r="1048502" spans="10:11">
      <c r="J1048502"/>
      <c r="K1048502"/>
    </row>
    <row r="1048503" spans="10:11">
      <c r="J1048503"/>
      <c r="K1048503"/>
    </row>
    <row r="1048504" spans="10:11">
      <c r="J1048504"/>
      <c r="K1048504"/>
    </row>
    <row r="1048505" spans="10:11">
      <c r="J1048505"/>
      <c r="K1048505"/>
    </row>
    <row r="1048506" spans="10:11">
      <c r="J1048506"/>
      <c r="K1048506"/>
    </row>
    <row r="1048507" spans="10:11">
      <c r="J1048507"/>
      <c r="K1048507"/>
    </row>
    <row r="1048508" spans="10:11">
      <c r="J1048508"/>
      <c r="K1048508"/>
    </row>
    <row r="1048509" spans="10:11">
      <c r="J1048509"/>
      <c r="K1048509"/>
    </row>
    <row r="1048510" spans="10:11">
      <c r="J1048510"/>
      <c r="K1048510"/>
    </row>
    <row r="1048511" spans="10:11">
      <c r="J1048511"/>
      <c r="K1048511"/>
    </row>
    <row r="1048512" spans="10:11">
      <c r="J1048512"/>
      <c r="K1048512"/>
    </row>
    <row r="1048513" spans="10:11">
      <c r="J1048513"/>
      <c r="K1048513"/>
    </row>
    <row r="1048514" spans="10:11">
      <c r="J1048514"/>
      <c r="K1048514"/>
    </row>
    <row r="1048515" spans="10:11">
      <c r="J1048515"/>
      <c r="K1048515"/>
    </row>
    <row r="1048516" spans="10:11">
      <c r="J1048516"/>
      <c r="K1048516"/>
    </row>
    <row r="1048517" spans="10:11">
      <c r="J1048517"/>
      <c r="K1048517"/>
    </row>
    <row r="1048518" spans="10:11">
      <c r="J1048518"/>
      <c r="K1048518"/>
    </row>
    <row r="1048519" spans="10:11">
      <c r="J1048519"/>
      <c r="K1048519"/>
    </row>
    <row r="1048520" spans="10:11">
      <c r="J1048520"/>
      <c r="K1048520"/>
    </row>
    <row r="1048521" spans="10:11">
      <c r="J1048521"/>
      <c r="K1048521"/>
    </row>
    <row r="1048522" spans="10:11">
      <c r="J1048522"/>
      <c r="K1048522"/>
    </row>
    <row r="1048523" spans="10:11">
      <c r="J1048523"/>
      <c r="K1048523"/>
    </row>
    <row r="1048524" spans="10:11">
      <c r="J1048524"/>
      <c r="K1048524"/>
    </row>
    <row r="1048525" spans="10:11">
      <c r="J1048525"/>
      <c r="K1048525"/>
    </row>
    <row r="1048526" spans="10:11">
      <c r="J1048526"/>
      <c r="K1048526"/>
    </row>
    <row r="1048527" spans="10:11">
      <c r="J1048527"/>
      <c r="K1048527"/>
    </row>
    <row r="1048528" spans="10:11">
      <c r="J1048528"/>
      <c r="K1048528"/>
    </row>
    <row r="1048529" spans="10:11">
      <c r="J1048529"/>
      <c r="K1048529"/>
    </row>
    <row r="1048530" spans="10:11">
      <c r="J1048530"/>
      <c r="K1048530"/>
    </row>
    <row r="1048531" spans="10:11">
      <c r="J1048531"/>
      <c r="K1048531"/>
    </row>
    <row r="1048532" spans="10:11">
      <c r="J1048532"/>
      <c r="K1048532"/>
    </row>
    <row r="1048533" spans="10:11">
      <c r="J1048533"/>
      <c r="K1048533"/>
    </row>
    <row r="1048534" spans="10:11">
      <c r="J1048534"/>
      <c r="K1048534"/>
    </row>
    <row r="1048535" spans="10:11">
      <c r="J1048535"/>
      <c r="K1048535"/>
    </row>
    <row r="1048536" spans="10:11">
      <c r="J1048536"/>
      <c r="K1048536"/>
    </row>
    <row r="1048537" spans="10:11">
      <c r="J1048537"/>
      <c r="K1048537"/>
    </row>
    <row r="1048538" spans="10:11">
      <c r="J1048538"/>
      <c r="K1048538"/>
    </row>
    <row r="1048539" spans="10:11">
      <c r="J1048539"/>
      <c r="K1048539"/>
    </row>
    <row r="1048540" spans="10:11">
      <c r="J1048540"/>
      <c r="K1048540"/>
    </row>
    <row r="1048541" spans="10:11">
      <c r="J1048541"/>
      <c r="K1048541"/>
    </row>
    <row r="1048542" spans="10:11">
      <c r="J1048542"/>
      <c r="K1048542"/>
    </row>
    <row r="1048543" spans="10:11">
      <c r="J1048543"/>
      <c r="K1048543"/>
    </row>
    <row r="1048544" spans="10:11">
      <c r="J1048544"/>
      <c r="K1048544"/>
    </row>
    <row r="1048545" spans="10:11">
      <c r="J1048545"/>
      <c r="K1048545"/>
    </row>
    <row r="1048546" spans="10:11">
      <c r="J1048546"/>
      <c r="K1048546"/>
    </row>
    <row r="1048547" spans="10:11">
      <c r="J1048547"/>
      <c r="K1048547"/>
    </row>
    <row r="1048548" spans="10:11">
      <c r="J1048548"/>
      <c r="K1048548"/>
    </row>
    <row r="1048549" spans="10:11">
      <c r="J1048549"/>
      <c r="K1048549"/>
    </row>
    <row r="1048550" spans="10:11">
      <c r="J1048550"/>
      <c r="K1048550"/>
    </row>
    <row r="1048551" spans="10:11">
      <c r="J1048551"/>
      <c r="K1048551"/>
    </row>
    <row r="1048552" spans="10:11">
      <c r="J1048552"/>
      <c r="K1048552"/>
    </row>
    <row r="1048553" spans="10:11">
      <c r="J1048553"/>
      <c r="K1048553"/>
    </row>
    <row r="1048554" spans="10:11">
      <c r="J1048554"/>
      <c r="K1048554"/>
    </row>
    <row r="1048555" spans="10:11">
      <c r="J1048555"/>
      <c r="K1048555"/>
    </row>
    <row r="1048556" spans="10:11">
      <c r="J1048556"/>
      <c r="K1048556"/>
    </row>
    <row r="1048557" spans="10:11">
      <c r="J1048557"/>
      <c r="K1048557"/>
    </row>
    <row r="1048558" spans="10:11">
      <c r="J1048558"/>
      <c r="K1048558"/>
    </row>
    <row r="1048559" spans="10:11">
      <c r="J1048559"/>
      <c r="K1048559"/>
    </row>
    <row r="1048560" spans="10:11">
      <c r="J1048560"/>
      <c r="K1048560"/>
    </row>
    <row r="1048561" spans="10:11">
      <c r="J1048561"/>
      <c r="K1048561"/>
    </row>
    <row r="1048562" spans="10:11">
      <c r="J1048562"/>
      <c r="K1048562"/>
    </row>
    <row r="1048563" spans="10:11">
      <c r="J1048563"/>
      <c r="K1048563"/>
    </row>
    <row r="1048564" spans="10:11">
      <c r="J1048564"/>
      <c r="K1048564"/>
    </row>
    <row r="1048565" spans="10:11">
      <c r="J1048565"/>
      <c r="K1048565"/>
    </row>
    <row r="1048566" spans="10:11">
      <c r="J1048566"/>
      <c r="K1048566"/>
    </row>
    <row r="1048567" spans="10:11">
      <c r="J1048567"/>
      <c r="K1048567"/>
    </row>
    <row r="1048568" spans="10:11">
      <c r="J1048568"/>
      <c r="K1048568"/>
    </row>
    <row r="1048569" spans="10:11">
      <c r="J1048569"/>
      <c r="K1048569"/>
    </row>
    <row r="1048570" spans="10:11">
      <c r="J1048570"/>
      <c r="K1048570"/>
    </row>
    <row r="1048571" spans="10:11">
      <c r="J1048571"/>
      <c r="K1048571"/>
    </row>
    <row r="1048572" spans="10:11">
      <c r="J1048572"/>
      <c r="K1048572"/>
    </row>
    <row r="1048573" spans="10:11">
      <c r="J1048573"/>
      <c r="K1048573"/>
    </row>
    <row r="1048574" spans="10:11">
      <c r="J1048574"/>
      <c r="K1048574"/>
    </row>
    <row r="1048575" spans="10:11">
      <c r="J1048575"/>
      <c r="K1048575"/>
    </row>
    <row r="1048576" spans="10:11">
      <c r="J1048576"/>
      <c r="K1048576"/>
    </row>
  </sheetData>
  <mergeCells count="12">
    <mergeCell ref="J2:J3"/>
    <mergeCell ref="K2:K3"/>
    <mergeCell ref="A1:K1"/>
    <mergeCell ref="A2:A3"/>
    <mergeCell ref="B2:B3"/>
    <mergeCell ref="C2:C3"/>
    <mergeCell ref="D2:D3"/>
    <mergeCell ref="E2:E3"/>
    <mergeCell ref="F2:F3"/>
    <mergeCell ref="G2:G3"/>
    <mergeCell ref="H2:H3"/>
    <mergeCell ref="I2:I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125" defaultRowHeight="14.25"/>
  <cols>
    <col min="1" max="1" width="12.125" style="1824" customWidth="1"/>
    <col min="2" max="2" width="10.1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1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85" t="s">
        <v>1817</v>
      </c>
      <c r="B2" s="3185"/>
      <c r="C2" s="3185"/>
      <c r="D2" s="904" t="s">
        <v>1793</v>
      </c>
      <c r="E2" s="1825" t="s">
        <v>1794</v>
      </c>
      <c r="F2" s="2886"/>
      <c r="G2" s="2877"/>
      <c r="H2" s="2878"/>
      <c r="I2" s="2548" t="s">
        <v>1818</v>
      </c>
      <c r="J2" s="2886"/>
      <c r="K2" s="2886"/>
      <c r="L2" s="2886"/>
      <c r="M2" s="2886"/>
      <c r="N2" s="2888"/>
      <c r="O2" s="2886"/>
      <c r="P2" s="2886"/>
    </row>
    <row r="3" spans="1:16" ht="15.75" thickBot="1">
      <c r="A3" s="3186" t="s">
        <v>1791</v>
      </c>
      <c r="B3" s="3186"/>
      <c r="C3" s="3186"/>
      <c r="D3" s="46">
        <f>'数据-基础表'!AY6</f>
        <v>0</v>
      </c>
      <c r="E3" s="46">
        <f>'数据-基础表'!AZ5</f>
        <v>16412.019999999993</v>
      </c>
      <c r="F3" s="2886"/>
      <c r="G3" s="1307"/>
      <c r="H3" s="1157" t="s">
        <v>1792</v>
      </c>
      <c r="I3" s="964" t="e">
        <f>ROUND('数据-基础表'!B3/'数据-基础表'!A3,2)</f>
        <v>#DIV/0!</v>
      </c>
      <c r="J3" s="2886"/>
      <c r="K3" s="2886"/>
      <c r="L3" s="2886"/>
      <c r="M3" s="2886"/>
      <c r="N3" s="2888"/>
      <c r="O3" s="2886"/>
      <c r="P3" s="2886"/>
    </row>
    <row r="4" spans="1:16" ht="15">
      <c r="A4" s="3187"/>
      <c r="B4" s="3188"/>
      <c r="C4" s="3189"/>
      <c r="D4" s="1827" t="s">
        <v>1793</v>
      </c>
      <c r="E4" s="1828"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90" t="s">
        <v>1796</v>
      </c>
      <c r="C5" s="3190"/>
      <c r="D5" s="48">
        <f>ROUND($D$3*E5/$E$3,2)</f>
        <v>0</v>
      </c>
      <c r="E5" s="49">
        <f>SUMIF('数据-基础表'!$11:$11,"住宅",'数据-基础表'!$5:$5)</f>
        <v>16412.019999999993</v>
      </c>
      <c r="F5" s="2886"/>
      <c r="G5" s="1307"/>
      <c r="H5" s="1157" t="s">
        <v>1792</v>
      </c>
      <c r="I5" s="964" t="e">
        <f>ROUND(E31/D31,2)</f>
        <v>#DIV/0!</v>
      </c>
      <c r="J5" s="2886"/>
      <c r="K5" s="2886"/>
      <c r="L5" s="2886"/>
      <c r="M5" s="2886"/>
      <c r="N5" s="2886"/>
      <c r="O5" s="2886"/>
      <c r="P5" s="2886"/>
    </row>
    <row r="6" spans="1:16" ht="15" thickBot="1">
      <c r="A6" s="1830"/>
      <c r="B6" s="3190" t="s">
        <v>1797</v>
      </c>
      <c r="C6" s="3190"/>
      <c r="D6" s="48">
        <f>ROUND($D$3*E6/$E$3,2)</f>
        <v>0</v>
      </c>
      <c r="E6" s="49">
        <f>E3-E5</f>
        <v>0</v>
      </c>
      <c r="F6" s="2886"/>
      <c r="G6" s="2880" t="s">
        <v>1798</v>
      </c>
      <c r="H6" s="1308" t="s">
        <v>1799</v>
      </c>
      <c r="I6" s="2881" t="e">
        <f>ROUND(F31/D31,2)</f>
        <v>#DIV/0!</v>
      </c>
      <c r="J6" s="2886"/>
      <c r="K6" s="2886"/>
      <c r="L6" s="2886"/>
      <c r="M6" s="2886"/>
      <c r="N6" s="2886"/>
      <c r="O6" s="2886"/>
      <c r="P6" s="2886"/>
    </row>
    <row r="7" spans="1:16" ht="15.75" thickBot="1">
      <c r="A7" s="3182"/>
      <c r="B7" s="3183"/>
      <c r="C7" s="3184"/>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16412.019999999993</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0</v>
      </c>
      <c r="E16" s="53">
        <f>SUM(E8:E15)</f>
        <v>16412.019999999993</v>
      </c>
      <c r="F16" s="2886"/>
      <c r="G16" s="2887"/>
      <c r="H16" s="1834" t="s">
        <v>1821</v>
      </c>
      <c r="I16" s="1835"/>
      <c r="J16" s="1301"/>
      <c r="K16" s="3179" t="s">
        <v>1821</v>
      </c>
      <c r="L16" s="3180"/>
      <c r="M16" s="3180"/>
      <c r="N16" s="3180"/>
      <c r="O16" s="3180"/>
      <c r="P16" s="3181"/>
    </row>
    <row r="17" spans="1:19" ht="15">
      <c r="A17" s="1836" t="s">
        <v>1822</v>
      </c>
      <c r="B17" s="1837" t="s">
        <v>1823</v>
      </c>
      <c r="C17" s="1838" t="s">
        <v>1824</v>
      </c>
      <c r="D17" s="1839" t="s">
        <v>1812</v>
      </c>
      <c r="E17" s="1840" t="s">
        <v>1813</v>
      </c>
      <c r="F17" s="1841"/>
      <c r="G17" s="1842"/>
      <c r="H17" s="1843" t="s">
        <v>1825</v>
      </c>
      <c r="I17" s="1844" t="s">
        <v>1810</v>
      </c>
      <c r="J17" s="1301"/>
      <c r="K17" s="3176" t="s">
        <v>1826</v>
      </c>
      <c r="L17" s="3177"/>
      <c r="M17" s="3178"/>
      <c r="N17" s="3176" t="s">
        <v>1827</v>
      </c>
      <c r="O17" s="3177"/>
      <c r="P17" s="3178"/>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78" t="s">
        <v>3084</v>
      </c>
      <c r="D19" s="48">
        <f>ROUND($D$3*E19/$E$3,2)</f>
        <v>0</v>
      </c>
      <c r="E19" s="56">
        <f t="shared" ref="E19:E26" si="1">SUM(F19:G19)</f>
        <v>4130.4999999999991</v>
      </c>
      <c r="F19" s="3026">
        <f>抵押物清单!F65</f>
        <v>4130.4999999999991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4130.4999999999991</v>
      </c>
    </row>
    <row r="20" spans="1:19">
      <c r="A20" s="1856"/>
      <c r="B20" s="50" t="s">
        <v>1839</v>
      </c>
      <c r="C20" s="3078" t="s">
        <v>3085</v>
      </c>
      <c r="D20" s="48">
        <f t="shared" ref="D20:D26" si="6">ROUND($D$3*E20/$E$3,2)</f>
        <v>0</v>
      </c>
      <c r="E20" s="56">
        <f t="shared" si="1"/>
        <v>3893.5499999999993</v>
      </c>
      <c r="F20" s="3026">
        <f>抵押物清单!F66</f>
        <v>3893.5499999999993</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3893.5499999999993</v>
      </c>
    </row>
    <row r="21" spans="1:19">
      <c r="A21" s="1856"/>
      <c r="B21" s="50" t="s">
        <v>1839</v>
      </c>
      <c r="C21" s="3078" t="s">
        <v>3086</v>
      </c>
      <c r="D21" s="48">
        <f t="shared" si="6"/>
        <v>0</v>
      </c>
      <c r="E21" s="56">
        <f t="shared" si="1"/>
        <v>8387.9699999999993</v>
      </c>
      <c r="F21" s="3026">
        <f>抵押物清单!F67</f>
        <v>8387.9699999999993</v>
      </c>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8387.9699999999993</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16412.019999999997</v>
      </c>
      <c r="F27" s="1302">
        <f>IF(SUM(F19:F26)=E8,SUM(F19:F26),"地上面积有误")</f>
        <v>16412.019999999997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16412.019999999997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16412.019999999997</v>
      </c>
      <c r="F31" s="686">
        <f>F27+F30</f>
        <v>16412.019999999997</v>
      </c>
      <c r="G31" s="687">
        <f>G27+G30</f>
        <v>0</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875" defaultRowHeight="12.75"/>
  <cols>
    <col min="1" max="1" width="20.875" style="1931" customWidth="1"/>
    <col min="2" max="2" width="12" style="1868" customWidth="1"/>
    <col min="3" max="3" width="12.8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875" style="1868" customWidth="1"/>
    <col min="31" max="31" width="8" style="1868" customWidth="1"/>
    <col min="32" max="34" width="7.125" style="1868" customWidth="1"/>
    <col min="35" max="39" width="8" style="1868" customWidth="1"/>
    <col min="40" max="40" width="13.875" style="1867"/>
    <col min="41" max="41" width="11.625" style="1867" customWidth="1"/>
    <col min="42" max="42" width="9.875" style="1867" customWidth="1"/>
    <col min="43" max="67" width="13.875" style="1867"/>
    <col min="68" max="16384" width="13.8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69" t="s">
        <v>1847</v>
      </c>
      <c r="B2" s="1176">
        <f>项目基本情况!D3</f>
        <v>44236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8" t="s">
        <v>1888</v>
      </c>
      <c r="AP5" s="1159" t="s">
        <v>1889</v>
      </c>
      <c r="AQ5" s="1897" t="s">
        <v>1890</v>
      </c>
      <c r="AR5" s="1897"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洋房</v>
      </c>
      <c r="B6" s="1899" t="str">
        <f>IF(A6=0,"","经营性")</f>
        <v>经营性</v>
      </c>
      <c r="C6" s="1900" t="s">
        <v>3082</v>
      </c>
      <c r="D6" s="967">
        <f>SUMIF(项目基本情况!D$12:I$12,C6,项目基本情况!D$14:I$14)</f>
        <v>70</v>
      </c>
      <c r="E6" s="966">
        <f>IF(B6="","",SUMIF(项目基本情况!D$12:I$12,C6,项目基本情况!D$13:I$13))</f>
        <v>66581</v>
      </c>
      <c r="F6" s="68">
        <f>SUMIF(项目基本情况!D$12:I$12,C6,项目基本情况!D$15:I$15)</f>
        <v>61.21</v>
      </c>
      <c r="G6" s="69">
        <f>IF(ISERROR(ROUND(POWER(1+H6,D6-F6)*(POWER(1+H6,F6)-1)/(POWER(1+H6,D6)-1),3)),0,ROUND(POWER(1+H6,D6-F6)*(POWER(1+H6,F6)-1)/(POWER(1+H6,D6)-1),3))</f>
        <v>0.97699999999999998</v>
      </c>
      <c r="H6" s="741">
        <v>4.4999999999999998E-2</v>
      </c>
      <c r="I6" s="741">
        <v>0.05</v>
      </c>
      <c r="J6" s="70">
        <v>8.5000000000000006E-2</v>
      </c>
      <c r="K6" s="1161">
        <f>SUMIF('数据-汇总表'!C$19:C$33,A6,'数据-汇总表'!E$19:E$33)</f>
        <v>4130.4999999999991</v>
      </c>
      <c r="L6" s="742">
        <v>4000</v>
      </c>
      <c r="M6" s="71">
        <f t="shared" ref="M6:M14" si="0">ROUND(K6*L6/10000,0)</f>
        <v>1652</v>
      </c>
      <c r="N6" s="740">
        <v>0.8</v>
      </c>
      <c r="O6" s="71">
        <f>IF($N$5="成新度","——",ROUND(M6*N6,0))</f>
        <v>1322</v>
      </c>
      <c r="P6" s="72">
        <f>IF($N$5="成新度","——",M6-O6)</f>
        <v>330</v>
      </c>
      <c r="Q6" s="743">
        <v>0.3</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3"/>
      <c r="AG6" s="143">
        <f>IF(AF6="",0,AE6-AF6)</f>
        <v>0</v>
      </c>
      <c r="AH6" s="79"/>
      <c r="AI6" s="81"/>
      <c r="AJ6" s="82"/>
      <c r="AK6" s="83"/>
      <c r="AL6" s="84"/>
      <c r="AM6" s="85"/>
      <c r="AN6" s="1901"/>
      <c r="AO6" s="55" t="e">
        <f ca="1">SUMIF(INDIRECT("'"&amp;AN6&amp;"'"&amp;"!A:A"),"总价",INDIRECT("'"&amp;AN6&amp;"'"&amp;"!B:B"))</f>
        <v>#REF!</v>
      </c>
      <c r="AP6" s="1902">
        <f>IF(C6="住宅",K6*L6,0)</f>
        <v>16521999.999999996</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联排</v>
      </c>
      <c r="B7" s="1899" t="str">
        <f t="shared" ref="B7:B13" si="1">IF(A7=0,"","经营性")</f>
        <v>经营性</v>
      </c>
      <c r="C7" s="1900" t="s">
        <v>3082</v>
      </c>
      <c r="D7" s="967">
        <f>SUMIF(项目基本情况!D$12:I$12,C7,项目基本情况!D$14:I$14)</f>
        <v>70</v>
      </c>
      <c r="E7" s="966">
        <f>IF(B7="","",SUMIF(项目基本情况!D$12:I$12,C7,项目基本情况!D$13:I$13))</f>
        <v>66581</v>
      </c>
      <c r="F7" s="68">
        <f>SUMIF(项目基本情况!D$12:I$12,C7,项目基本情况!D$15:I$15)</f>
        <v>61.21</v>
      </c>
      <c r="G7" s="69">
        <f t="shared" ref="G7:G11" si="2">IF(ISERROR(ROUND(POWER(1+H7,D7-F7)*(POWER(1+H7,F7)-1)/(POWER(1+H7,D7)-1),3)),0,ROUND(POWER(1+H7,D7-F7)*(POWER(1+H7,F7)-1)/(POWER(1+H7,D7)-1),3))</f>
        <v>0.97699999999999998</v>
      </c>
      <c r="H7" s="741">
        <f>H6</f>
        <v>4.4999999999999998E-2</v>
      </c>
      <c r="I7" s="741">
        <f>I6</f>
        <v>0.05</v>
      </c>
      <c r="J7" s="70">
        <f>J6</f>
        <v>8.5000000000000006E-2</v>
      </c>
      <c r="K7" s="1161">
        <f>SUMIF('数据-汇总表'!C$19:C$33,A7,'数据-汇总表'!E$19:E$33)</f>
        <v>3893.5499999999993</v>
      </c>
      <c r="L7" s="742">
        <v>4000</v>
      </c>
      <c r="M7" s="71">
        <f t="shared" si="0"/>
        <v>1557</v>
      </c>
      <c r="N7" s="740">
        <f>N6</f>
        <v>0.8</v>
      </c>
      <c r="O7" s="71">
        <f t="shared" ref="O7:O14" si="3">IF($N$5="成新度","——",ROUND(M7*N7,0))</f>
        <v>1246</v>
      </c>
      <c r="P7" s="72">
        <f t="shared" ref="P7:P14" si="4">IF($N$5="成新度","——",M7-O7)</f>
        <v>311</v>
      </c>
      <c r="Q7" s="743">
        <f>Q6</f>
        <v>0.3</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15574199.999999996</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双拼</v>
      </c>
      <c r="B8" s="1899" t="str">
        <f t="shared" si="1"/>
        <v>经营性</v>
      </c>
      <c r="C8" s="1900" t="s">
        <v>3082</v>
      </c>
      <c r="D8" s="967">
        <f>SUMIF(项目基本情况!D$12:I$12,C8,项目基本情况!D$14:I$14)</f>
        <v>70</v>
      </c>
      <c r="E8" s="966">
        <f>IF(B8="","",SUMIF(项目基本情况!D$12:I$12,C8,项目基本情况!D$13:I$13))</f>
        <v>66581</v>
      </c>
      <c r="F8" s="68">
        <f>SUMIF(项目基本情况!D$12:I$12,C8,项目基本情况!D$15:I$15)</f>
        <v>61.21</v>
      </c>
      <c r="G8" s="69">
        <f t="shared" si="2"/>
        <v>0.97699999999999998</v>
      </c>
      <c r="H8" s="741">
        <f>H6</f>
        <v>4.4999999999999998E-2</v>
      </c>
      <c r="I8" s="741">
        <f>I6</f>
        <v>0.05</v>
      </c>
      <c r="J8" s="70">
        <f>J6</f>
        <v>8.5000000000000006E-2</v>
      </c>
      <c r="K8" s="1161">
        <f>SUMIF('数据-汇总表'!C$19:C$33,A8,'数据-汇总表'!E$19:E$33)</f>
        <v>8387.9699999999993</v>
      </c>
      <c r="L8" s="742">
        <v>4000</v>
      </c>
      <c r="M8" s="71">
        <f>ROUND(K8*L8/10000,0)</f>
        <v>3355</v>
      </c>
      <c r="N8" s="740">
        <f>N6</f>
        <v>0.8</v>
      </c>
      <c r="O8" s="71">
        <f t="shared" si="3"/>
        <v>2684</v>
      </c>
      <c r="P8" s="72">
        <f t="shared" si="4"/>
        <v>671</v>
      </c>
      <c r="Q8" s="743">
        <f>Q6</f>
        <v>0.3</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1"/>
      <c r="AO8" s="55" t="e">
        <f t="shared" ca="1" si="8"/>
        <v>#REF!</v>
      </c>
      <c r="AP8" s="1902">
        <f t="shared" si="9"/>
        <v>33551879.999999996</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1892</v>
      </c>
      <c r="B14" s="1899" t="s">
        <v>1893</v>
      </c>
      <c r="C14" s="1904" t="s">
        <v>1892</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1896</v>
      </c>
      <c r="B16" s="93"/>
      <c r="C16" s="942"/>
      <c r="D16" s="1906"/>
      <c r="E16" s="93"/>
      <c r="F16" s="93"/>
      <c r="G16" s="94">
        <f>ROUND(SUMPRODUCT(G6:G13,K6:K13)/SUMPRODUCT((G6:G13&gt;0)*(K6:K13)),3)</f>
        <v>0.97699999999999998</v>
      </c>
      <c r="H16" s="95">
        <f>ROUND(SUMPRODUCT(H6:H13,K6:K13)/SUMPRODUCT((H6:H13&gt;0)*(K6:K13)),3)</f>
        <v>4.4999999999999998E-2</v>
      </c>
      <c r="I16" s="96"/>
      <c r="J16" s="96"/>
      <c r="K16" s="97">
        <f>SUM(K6:K15)</f>
        <v>16412.019999999997</v>
      </c>
      <c r="L16" s="98">
        <f>ROUND(M16*10000/SUM(K6:K14),0)</f>
        <v>4000</v>
      </c>
      <c r="M16" s="98">
        <f>SUM(M6:M14)</f>
        <v>6564</v>
      </c>
      <c r="N16" s="99">
        <f>ROUND(SUMPRODUCT(M6:M14,N6:N14)/M16,3)</f>
        <v>0.8</v>
      </c>
      <c r="O16" s="98">
        <f>SUM(O6:O14)</f>
        <v>5252</v>
      </c>
      <c r="P16" s="98">
        <f>SUM(P6:P14)</f>
        <v>1312</v>
      </c>
      <c r="Q16" s="100">
        <f>ROUND(SUMPRODUCT(Q6:Q13,K6:K13)/SUMPRODUCT((Q6:Q13&gt;0)*(K6:K13)),2)</f>
        <v>0.3</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1897</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1899</v>
      </c>
      <c r="B20" s="109">
        <v>3</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9">
        <f>B20*N16</f>
        <v>2.4000000000000004</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10">
        <f>B19+B21</f>
        <v>2.4000000000000004</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1">
        <f>B20-B21</f>
        <v>0.59999999999999964</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1907</v>
      </c>
      <c r="B27" s="112">
        <v>50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v>120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f ca="1">成本法!C9</f>
        <v>82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0.05</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v>0</v>
      </c>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c r="C53" s="2888" t="s">
        <v>1933</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875" style="2718" customWidth="1"/>
    <col min="10" max="10" width="2.625" style="2717" customWidth="1"/>
    <col min="11" max="11" width="11.875" style="2717" customWidth="1"/>
    <col min="12" max="12" width="16.875" style="2718" customWidth="1"/>
    <col min="13" max="13" width="2.625" style="2717" customWidth="1"/>
    <col min="14" max="14" width="11.875" style="2717" customWidth="1"/>
    <col min="15" max="15" width="16.875" style="2718" customWidth="1"/>
    <col min="16" max="16" width="2.625" style="2717" customWidth="1"/>
    <col min="17" max="17" width="11.875" style="2717" customWidth="1"/>
    <col min="18" max="18" width="16.875" style="2719" customWidth="1"/>
    <col min="19" max="29" width="9" style="907"/>
    <col min="30" max="16384" width="9" style="1872"/>
  </cols>
  <sheetData>
    <row r="1" spans="1:29" s="2683" customFormat="1" ht="18.75" thickBot="1">
      <c r="A1" s="3191" t="s">
        <v>3031</v>
      </c>
      <c r="B1" s="3192"/>
      <c r="C1" s="3192"/>
      <c r="D1" s="3192"/>
      <c r="E1" s="3192"/>
      <c r="F1" s="3192"/>
      <c r="G1" s="319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8"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875" style="2739" customWidth="1"/>
    <col min="10" max="16384" width="9" style="2739"/>
  </cols>
  <sheetData>
    <row r="1" spans="1:11" ht="16.5">
      <c r="A1" s="2738" t="s">
        <v>1331</v>
      </c>
      <c r="B1" s="2738">
        <f>SUM(B14:B23)</f>
        <v>16412.019999999993</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44236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61113</v>
      </c>
      <c r="C5" s="2738">
        <f ca="1">ROUND(B5*10000/$B$1,0)</f>
        <v>37237</v>
      </c>
      <c r="D5" s="2738" t="e">
        <f ca="1">ROUND(B5*10000/$B$2,0)</f>
        <v>#DIV/0!</v>
      </c>
      <c r="E5" s="2915"/>
      <c r="F5" s="2916"/>
      <c r="G5" s="2916"/>
      <c r="H5" s="2917"/>
      <c r="I5" s="2917"/>
      <c r="J5" s="2917"/>
      <c r="K5" s="2917"/>
    </row>
    <row r="6" spans="1:11" ht="16.5">
      <c r="A6" s="2738" t="s">
        <v>1322</v>
      </c>
      <c r="B6" s="2738">
        <f ca="1">SUM(G14:G23)</f>
        <v>61113</v>
      </c>
      <c r="C6" s="2738">
        <f ca="1">ROUND(B6*10000/$B$1,0)</f>
        <v>37237</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16412.019999999993</v>
      </c>
      <c r="C14" s="2744">
        <f>结果表!C118</f>
        <v>0</v>
      </c>
      <c r="D14" s="2744">
        <f ca="1">结果表!H118</f>
        <v>61113</v>
      </c>
      <c r="E14" s="2744">
        <f ca="1">ROUND(D14*10000/B14,0)</f>
        <v>37237</v>
      </c>
      <c r="F14" s="2744" t="e">
        <f ca="1">ROUND(D14*10000/C14,0)</f>
        <v>#DIV/0!</v>
      </c>
      <c r="G14" s="2744">
        <f ca="1">结果表!D122</f>
        <v>61113</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I23" sqref="I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c r="D1" s="1933"/>
      <c r="E1" s="1933"/>
      <c r="F1" s="1935" t="s">
        <v>1950</v>
      </c>
      <c r="G1" s="1747" t="s">
        <v>3093</v>
      </c>
      <c r="H1" s="1936" t="str">
        <f>IF(G1="现房","——","估价对象范围")</f>
        <v>估价对象范围</v>
      </c>
      <c r="I1" s="1937" t="s">
        <v>3094</v>
      </c>
    </row>
    <row r="2" spans="1:12" ht="21.75" customHeight="1" thickBot="1">
      <c r="A2" s="3227" t="str">
        <f>项目基本情况!S2</f>
        <v>出让国有建设用地使用权及在建建筑物房地产</v>
      </c>
      <c r="B2" s="3228"/>
      <c r="C2" s="3228"/>
      <c r="D2" s="3228"/>
      <c r="E2" s="3228"/>
      <c r="F2" s="3228"/>
      <c r="G2" s="3228"/>
      <c r="H2" s="3228"/>
      <c r="I2" s="3229"/>
    </row>
    <row r="3" spans="1:12" ht="12.75">
      <c r="A3" s="3231" t="s">
        <v>1951</v>
      </c>
      <c r="B3" s="3232"/>
      <c r="C3" s="3232"/>
      <c r="D3" s="3232"/>
      <c r="E3" s="3232"/>
      <c r="F3" s="3232"/>
      <c r="G3" s="3232"/>
      <c r="H3" s="3232"/>
      <c r="I3" s="3232"/>
    </row>
    <row r="4" spans="1:12" ht="14.25">
      <c r="A4" s="1940" t="s">
        <v>1952</v>
      </c>
      <c r="B4" s="1941" t="s">
        <v>1953</v>
      </c>
      <c r="C4" s="1942" t="s">
        <v>3091</v>
      </c>
      <c r="D4" s="1942" t="s">
        <v>3092</v>
      </c>
      <c r="E4" s="3233" t="s">
        <v>1954</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07" t="s">
        <v>1955</v>
      </c>
      <c r="B5" s="3194">
        <v>25</v>
      </c>
      <c r="C5" s="3210"/>
      <c r="D5" s="3230"/>
      <c r="E5" s="136" t="s">
        <v>1956</v>
      </c>
      <c r="F5" s="1943"/>
      <c r="G5" s="1943"/>
      <c r="H5" s="1943"/>
      <c r="I5" s="1558"/>
    </row>
    <row r="6" spans="1:12" ht="12.75">
      <c r="A6" s="3207"/>
      <c r="B6" s="3194"/>
      <c r="C6" s="3211"/>
      <c r="D6" s="3230"/>
      <c r="E6" s="136" t="s">
        <v>1957</v>
      </c>
      <c r="F6" s="1943"/>
      <c r="G6" s="1943"/>
      <c r="H6" s="1943"/>
      <c r="I6" s="1558"/>
    </row>
    <row r="7" spans="1:12" ht="12.75">
      <c r="A7" s="3207"/>
      <c r="B7" s="3194"/>
      <c r="C7" s="3212"/>
      <c r="D7" s="3230"/>
      <c r="E7" s="136" t="s">
        <v>1958</v>
      </c>
      <c r="F7" s="1943"/>
      <c r="G7" s="1943"/>
      <c r="H7" s="1943"/>
      <c r="I7" s="1558"/>
    </row>
    <row r="8" spans="1:12" ht="12.75">
      <c r="A8" s="3207" t="s">
        <v>1959</v>
      </c>
      <c r="B8" s="3194">
        <v>15</v>
      </c>
      <c r="C8" s="3210"/>
      <c r="D8" s="3230"/>
      <c r="E8" s="136" t="s">
        <v>1960</v>
      </c>
      <c r="F8" s="1943"/>
      <c r="G8" s="1943"/>
      <c r="H8" s="1943"/>
      <c r="I8" s="1558"/>
    </row>
    <row r="9" spans="1:12" ht="12.75">
      <c r="A9" s="3207"/>
      <c r="B9" s="3194"/>
      <c r="C9" s="3212"/>
      <c r="D9" s="3230"/>
      <c r="E9" s="136" t="s">
        <v>1961</v>
      </c>
      <c r="F9" s="1943"/>
      <c r="G9" s="1943"/>
      <c r="H9" s="1943"/>
      <c r="I9" s="1558"/>
    </row>
    <row r="10" spans="1:12" ht="12.75">
      <c r="A10" s="3207" t="s">
        <v>1962</v>
      </c>
      <c r="B10" s="3194">
        <v>15</v>
      </c>
      <c r="C10" s="3210"/>
      <c r="D10" s="3230"/>
      <c r="E10" s="136" t="s">
        <v>1963</v>
      </c>
      <c r="F10" s="1943"/>
      <c r="G10" s="1943"/>
      <c r="H10" s="1943"/>
      <c r="I10" s="1558"/>
    </row>
    <row r="11" spans="1:12" ht="12.75">
      <c r="A11" s="3207"/>
      <c r="B11" s="3194"/>
      <c r="C11" s="3212"/>
      <c r="D11" s="3230"/>
      <c r="E11" s="136" t="s">
        <v>1964</v>
      </c>
      <c r="F11" s="1943"/>
      <c r="G11" s="1943"/>
      <c r="H11" s="1943"/>
      <c r="I11" s="1558"/>
    </row>
    <row r="12" spans="1:12" ht="12.75">
      <c r="A12" s="3207" t="s">
        <v>1965</v>
      </c>
      <c r="B12" s="3194">
        <v>15</v>
      </c>
      <c r="C12" s="3210"/>
      <c r="D12" s="3230"/>
      <c r="E12" s="136" t="s">
        <v>1966</v>
      </c>
      <c r="F12" s="1943"/>
      <c r="G12" s="1943"/>
      <c r="H12" s="1943"/>
      <c r="I12" s="1558"/>
    </row>
    <row r="13" spans="1:12" ht="12.75">
      <c r="A13" s="3207"/>
      <c r="B13" s="3194"/>
      <c r="C13" s="3212"/>
      <c r="D13" s="3230"/>
      <c r="E13" s="136" t="s">
        <v>1967</v>
      </c>
      <c r="F13" s="1943"/>
      <c r="G13" s="1943"/>
      <c r="H13" s="1943"/>
      <c r="I13" s="1558"/>
    </row>
    <row r="14" spans="1:12" ht="12.75">
      <c r="A14" s="3207" t="s">
        <v>1968</v>
      </c>
      <c r="B14" s="3194">
        <v>30</v>
      </c>
      <c r="C14" s="3210">
        <v>5</v>
      </c>
      <c r="D14" s="3230">
        <v>5</v>
      </c>
      <c r="E14" s="136" t="s">
        <v>1969</v>
      </c>
      <c r="F14" s="1943"/>
      <c r="G14" s="1943"/>
      <c r="H14" s="1943"/>
      <c r="I14" s="1558"/>
    </row>
    <row r="15" spans="1:12" ht="12.75">
      <c r="A15" s="3207"/>
      <c r="B15" s="3194"/>
      <c r="C15" s="3211"/>
      <c r="D15" s="3230"/>
      <c r="E15" s="136" t="s">
        <v>1970</v>
      </c>
      <c r="F15" s="1943"/>
      <c r="G15" s="1943"/>
      <c r="H15" s="1943"/>
      <c r="I15" s="1558"/>
    </row>
    <row r="16" spans="1:12" ht="12.75">
      <c r="A16" s="3207"/>
      <c r="B16" s="3194"/>
      <c r="C16" s="3212"/>
      <c r="D16" s="3230"/>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7" customHeight="1" thickBot="1">
      <c r="A18" s="1945" t="s">
        <v>1975</v>
      </c>
      <c r="B18" s="1946"/>
      <c r="C18" s="138">
        <f>ROUND(C17/SUM(C17:D17),2)</f>
        <v>0.5</v>
      </c>
      <c r="D18" s="138">
        <f>1-C18</f>
        <v>0.5</v>
      </c>
      <c r="E18" s="3217" t="s">
        <v>2872</v>
      </c>
      <c r="F18" s="3218"/>
      <c r="G18" s="3218"/>
      <c r="H18" s="3218"/>
      <c r="I18" s="3218"/>
      <c r="K18" s="308" t="s">
        <v>1976</v>
      </c>
      <c r="L18" s="308">
        <f>IF(C1="",'数据-汇总表'!E3,SUMIF(项目类型,C1,'数据-汇总表'!E17:E26)+SUMIF(项目类型,C1,'数据-汇总表'!I17:I26))</f>
        <v>16412.019999999993</v>
      </c>
      <c r="M18" s="308">
        <f>IF(C1="",'数据-汇总表'!E3,SUMIF(项目类型,C1,'数据-汇总表'!E17:E26))</f>
        <v>16412.019999999993</v>
      </c>
    </row>
    <row r="19" spans="1:36" ht="15">
      <c r="A19" s="1947" t="s">
        <v>1977</v>
      </c>
      <c r="B19" s="1948" t="s">
        <v>1978</v>
      </c>
      <c r="C19" s="139">
        <f ca="1">SUMIF(INDIRECT("'"&amp;C4&amp;"'"&amp;"!A:A"),结果表!B19,INDIRECT("'"&amp;C4&amp;"'"&amp;"!B:B"))</f>
        <v>57737</v>
      </c>
      <c r="D19" s="140">
        <f ca="1">SUMIF(INDIRECT("'"&amp;D4&amp;"'"&amp;"!A:A"),结果表!B19,INDIRECT("'"&amp;D4&amp;"'"&amp;"!B:B"))</f>
        <v>64488</v>
      </c>
      <c r="E19" s="1947" t="s">
        <v>1979</v>
      </c>
      <c r="F19" s="1948" t="s">
        <v>1978</v>
      </c>
      <c r="G19" s="141">
        <f ca="1">ROUND(C19*$C$18+D19*$D$18,0)</f>
        <v>61113</v>
      </c>
      <c r="H19" s="1949"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0"/>
      <c r="B20" s="1157" t="s">
        <v>1982</v>
      </c>
      <c r="C20" s="142">
        <f ca="1">SUMIF(INDIRECT("'"&amp;C4&amp;"'"&amp;"!A:A"),结果表!B20,INDIRECT("'"&amp;C4&amp;"'"&amp;"!B:B"))</f>
        <v>35180</v>
      </c>
      <c r="D20" s="143">
        <f ca="1">SUMIF(INDIRECT("'"&amp;D4&amp;"'"&amp;"!A:A"),结果表!B20,INDIRECT("'"&amp;D4&amp;"'"&amp;"!B:B"))</f>
        <v>39293</v>
      </c>
      <c r="E20" s="1950"/>
      <c r="F20" s="1157" t="s">
        <v>1982</v>
      </c>
      <c r="G20" s="144">
        <f ca="1">ROUND(C20*$C$18+D20*$D$18,0)</f>
        <v>37237</v>
      </c>
      <c r="H20" s="917" t="s">
        <v>1983</v>
      </c>
      <c r="I20" s="134"/>
    </row>
    <row r="21" spans="1:36" ht="15" customHeight="1" thickBot="1">
      <c r="A21" s="937"/>
      <c r="B21" s="1951" t="s">
        <v>1984</v>
      </c>
      <c r="C21" s="728" t="e">
        <f ca="1">ROUND(C19*10000/L19,0)</f>
        <v>#DIV/0!</v>
      </c>
      <c r="D21" s="729" t="e">
        <f ca="1">ROUND(D19*10000/L19,0)</f>
        <v>#DIV/0!</v>
      </c>
      <c r="E21" s="937"/>
      <c r="F21" s="1951" t="s">
        <v>1984</v>
      </c>
      <c r="G21" s="145" t="e">
        <f ca="1">ROUND(G19*10000/L19,0)</f>
        <v>#DIV/0!</v>
      </c>
      <c r="H21" s="1952" t="s">
        <v>1983</v>
      </c>
      <c r="I21" s="134"/>
    </row>
    <row r="22" spans="1:36" ht="15" thickBot="1">
      <c r="A22" s="1874" t="s">
        <v>1985</v>
      </c>
      <c r="B22" s="1953"/>
      <c r="C22" s="1954"/>
      <c r="D22" s="730">
        <f ca="1">IF(C19&lt;D19,D19/C19-1,C19/D19-1)</f>
        <v>0.11692675407451025</v>
      </c>
      <c r="E22" s="134"/>
      <c r="F22" s="134"/>
      <c r="G22" s="134"/>
      <c r="H22" s="134"/>
      <c r="I22" s="134"/>
    </row>
    <row r="23" spans="1:36" ht="13.5" thickBot="1">
      <c r="A23" s="1933"/>
      <c r="B23" s="1933"/>
      <c r="C23" s="1933"/>
      <c r="D23" s="1933"/>
      <c r="E23" s="134"/>
      <c r="F23" s="134"/>
      <c r="G23" s="134"/>
      <c r="H23" s="134"/>
      <c r="I23" s="134"/>
    </row>
    <row r="24" spans="1:36" ht="14.25">
      <c r="A24" s="3201" t="s">
        <v>1986</v>
      </c>
      <c r="B24" s="1948" t="s">
        <v>1978</v>
      </c>
      <c r="C24" s="141">
        <f>IF(B30=0,0,D30)</f>
        <v>0</v>
      </c>
      <c r="D24" s="1955"/>
      <c r="E24" s="134"/>
      <c r="F24" s="134"/>
      <c r="G24" s="134"/>
      <c r="H24" s="134"/>
      <c r="I24" s="134"/>
    </row>
    <row r="25" spans="1:36" ht="14.25">
      <c r="A25" s="3202"/>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61113</v>
      </c>
      <c r="D32" s="1961" t="s">
        <v>3324</v>
      </c>
      <c r="E32" s="134"/>
      <c r="F32" s="134"/>
      <c r="G32" s="134"/>
      <c r="H32" s="134"/>
      <c r="I32" s="134"/>
    </row>
    <row r="33" spans="1:15" ht="15">
      <c r="A33" s="894" t="s">
        <v>1993</v>
      </c>
      <c r="B33" s="1962"/>
      <c r="C33" s="1963" t="s">
        <v>3325</v>
      </c>
      <c r="D33" s="1964" t="s">
        <v>3091</v>
      </c>
      <c r="E33" s="1965" t="s">
        <v>1994</v>
      </c>
      <c r="F33" s="1966" t="str">
        <f>IF(D32="楼面单价","取值（单价）","取值（总价）")</f>
        <v>取值（总价）</v>
      </c>
      <c r="G33" s="134"/>
      <c r="H33" s="134"/>
      <c r="I33" s="134"/>
    </row>
    <row r="34" spans="1:15" ht="15">
      <c r="A34" s="1967"/>
      <c r="B34" s="1968" t="s">
        <v>1995</v>
      </c>
      <c r="C34" s="153">
        <f ca="1">IF(C33="自定义",F34,C32-C35)</f>
        <v>51579</v>
      </c>
      <c r="D34" s="970">
        <f ca="1">IF(C33="自定义",ROUND(C34/C32,3),IF(C33="收益比率",SUMIF(INDIRECT("'"&amp;D33&amp;"'"&amp;"!b:b"),"土地收益比率",INDIRECT("'"&amp;D33&amp;"'"&amp;"!c:c")),SUMIF(INDIRECT("'"&amp;D33&amp;"'"&amp;"!b:b"),"土地成本比率",INDIRECT("'"&amp;D33&amp;"'"&amp;"!c:c"))))</f>
        <v>0.84399999999999997</v>
      </c>
      <c r="E34" s="1969" t="s">
        <v>1996</v>
      </c>
      <c r="F34" s="1499"/>
      <c r="G34" s="134"/>
      <c r="H34" s="134"/>
      <c r="I34" s="134"/>
    </row>
    <row r="35" spans="1:15" ht="15.75" thickBot="1">
      <c r="A35" s="1970"/>
      <c r="B35" s="1971" t="s">
        <v>1997</v>
      </c>
      <c r="C35" s="1332">
        <f ca="1">IF(C33="自定义",F35,ROUND(C32*D35,0))</f>
        <v>9534</v>
      </c>
      <c r="D35" s="1333">
        <f ca="1">IF(C33="自定义",ROUND(C35/C32,3),IF(C33="收益比率",SUMIF(INDIRECT("'"&amp;D33&amp;"'"&amp;"!b:b"),"建筑物收益比率",INDIRECT("'"&amp;D33&amp;"'"&amp;"!c:c")),SUMIF(INDIRECT("'"&amp;D33&amp;"'"&amp;"!b:b"),"建筑物成本比率",INDIRECT("'"&amp;D33&amp;"'"&amp;"!c:c"))))</f>
        <v>0.156</v>
      </c>
      <c r="E35" s="1972" t="s">
        <v>1998</v>
      </c>
      <c r="F35" s="159"/>
      <c r="G35" s="134"/>
      <c r="H35" s="134"/>
      <c r="I35" s="134"/>
    </row>
    <row r="36" spans="1:15" ht="15.75" thickBot="1">
      <c r="A36" s="3221" t="s">
        <v>1999</v>
      </c>
      <c r="B36" s="1973" t="s">
        <v>2000</v>
      </c>
      <c r="C36" s="150"/>
      <c r="D36" s="1974"/>
      <c r="E36" s="1975"/>
      <c r="F36" s="1976"/>
      <c r="G36" s="134"/>
      <c r="H36" s="134"/>
      <c r="I36" s="134"/>
    </row>
    <row r="37" spans="1:15" ht="15.75" thickBot="1">
      <c r="A37" s="3222"/>
      <c r="B37" s="1860" t="s">
        <v>2001</v>
      </c>
      <c r="C37" s="152"/>
      <c r="D37" s="1301"/>
      <c r="E37" s="1301"/>
      <c r="F37" s="1976"/>
      <c r="G37" s="134"/>
      <c r="H37" s="134"/>
      <c r="I37" s="134"/>
    </row>
    <row r="38" spans="1:15" ht="15.75" thickBot="1">
      <c r="A38" s="3223"/>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98" t="s">
        <v>2013</v>
      </c>
      <c r="B45" s="3199"/>
      <c r="C45" s="3200"/>
      <c r="D45" s="160">
        <f ca="1">ROUND(H101*F45,0)</f>
        <v>61113</v>
      </c>
      <c r="E45" s="161" t="s">
        <v>2014</v>
      </c>
      <c r="F45" s="162">
        <v>1</v>
      </c>
      <c r="G45" s="163" t="s">
        <v>2015</v>
      </c>
      <c r="H45" s="134"/>
      <c r="I45" s="134"/>
      <c r="J45" s="3279" t="s">
        <v>2016</v>
      </c>
      <c r="K45" s="3279"/>
      <c r="L45" s="3279"/>
      <c r="M45" s="3279"/>
      <c r="N45" s="3279"/>
      <c r="O45" s="3279"/>
    </row>
    <row r="46" spans="1:15" ht="14.25" customHeight="1">
      <c r="A46" s="3195" t="s">
        <v>2017</v>
      </c>
      <c r="B46" s="3196"/>
      <c r="C46" s="3196"/>
      <c r="D46" s="3196"/>
      <c r="E46" s="3196"/>
      <c r="F46" s="3196"/>
      <c r="G46" s="3197"/>
      <c r="H46" s="1992"/>
      <c r="I46" s="164"/>
      <c r="J46" s="2749">
        <v>1</v>
      </c>
      <c r="K46" s="3260" t="s">
        <v>2018</v>
      </c>
      <c r="L46" s="3260"/>
      <c r="M46" s="3280"/>
      <c r="N46" s="3280"/>
      <c r="O46" s="3280"/>
    </row>
    <row r="47" spans="1:15" ht="12" customHeight="1">
      <c r="A47" s="165" t="s">
        <v>2019</v>
      </c>
      <c r="B47" s="166"/>
      <c r="C47" s="167"/>
      <c r="D47" s="1247" t="s">
        <v>2020</v>
      </c>
      <c r="E47" s="308" t="s">
        <v>2021</v>
      </c>
      <c r="F47" s="168" t="s">
        <v>2022</v>
      </c>
      <c r="G47" s="2772" t="s">
        <v>2023</v>
      </c>
      <c r="H47" s="2773"/>
      <c r="I47" s="164"/>
      <c r="J47" s="2749">
        <v>2</v>
      </c>
      <c r="K47" s="3260" t="s">
        <v>2024</v>
      </c>
      <c r="L47" s="3260"/>
      <c r="M47" s="3281">
        <f>'数据-取费表'!B2</f>
        <v>44236</v>
      </c>
      <c r="N47" s="3281"/>
      <c r="O47" s="3281"/>
    </row>
    <row r="48" spans="1:15" ht="25.5">
      <c r="A48" s="3226" t="s">
        <v>2025</v>
      </c>
      <c r="B48" s="3209"/>
      <c r="C48" s="320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260" t="s">
        <v>2027</v>
      </c>
      <c r="L48" s="3260"/>
      <c r="M48" s="3282">
        <f ca="1">H101</f>
        <v>61113</v>
      </c>
      <c r="N48" s="3282"/>
      <c r="O48" s="3282"/>
    </row>
    <row r="49" spans="1:35" ht="25.5" customHeight="1">
      <c r="A49" s="2556" t="s">
        <v>2028</v>
      </c>
      <c r="B49" s="3193" t="s">
        <v>2029</v>
      </c>
      <c r="C49" s="3193"/>
      <c r="D49" s="1776">
        <v>0</v>
      </c>
      <c r="E49" s="330" t="s">
        <v>2030</v>
      </c>
      <c r="F49" s="2650" t="s">
        <v>34</v>
      </c>
      <c r="G49" s="3266"/>
      <c r="H49" s="2528" t="s">
        <v>2875</v>
      </c>
      <c r="I49" s="2529"/>
      <c r="J49" s="2749">
        <v>4</v>
      </c>
      <c r="K49" s="3260" t="str">
        <f>IF(项目基本情况!E8="房地产抵押价值","房地产抵押价值","抵押担保权已注销时的房地产抵押价值")</f>
        <v>抵押担保权已注销时的房地产抵押价值</v>
      </c>
      <c r="L49" s="3260"/>
      <c r="M49" s="3282" t="str">
        <f>IF(项目基本情况!E8="房地产抵押价值",H107,H109)</f>
        <v>——</v>
      </c>
      <c r="N49" s="3282"/>
      <c r="O49" s="3282"/>
    </row>
    <row r="50" spans="1:35" ht="25.5" customHeight="1">
      <c r="A50" s="2777"/>
      <c r="B50" s="3193" t="s">
        <v>2031</v>
      </c>
      <c r="C50" s="3193"/>
      <c r="D50" s="2778"/>
      <c r="E50" s="338"/>
      <c r="F50" s="2650"/>
      <c r="G50" s="3267"/>
      <c r="H50" s="2530" t="s">
        <v>2876</v>
      </c>
      <c r="I50" s="2529"/>
      <c r="J50" s="3279" t="s">
        <v>2032</v>
      </c>
      <c r="K50" s="3279"/>
      <c r="L50" s="3279"/>
      <c r="M50" s="3279"/>
      <c r="N50" s="3279"/>
      <c r="O50" s="3279"/>
    </row>
    <row r="51" spans="1:35" ht="20.45" customHeight="1">
      <c r="A51" s="2779"/>
      <c r="B51" s="3193" t="s">
        <v>2033</v>
      </c>
      <c r="C51" s="3193"/>
      <c r="D51" s="1247"/>
      <c r="E51" s="333"/>
      <c r="F51" s="2650"/>
      <c r="G51" s="3268"/>
      <c r="H51" s="2530" t="s">
        <v>2877</v>
      </c>
      <c r="I51" s="2529"/>
      <c r="J51" s="2750" t="s">
        <v>2034</v>
      </c>
      <c r="K51" s="3260" t="s">
        <v>2035</v>
      </c>
      <c r="L51" s="3260"/>
      <c r="M51" s="2750" t="s">
        <v>2036</v>
      </c>
      <c r="N51" s="2750" t="s">
        <v>2037</v>
      </c>
      <c r="O51" s="2750" t="s">
        <v>2038</v>
      </c>
    </row>
    <row r="52" spans="1:35" ht="24" customHeight="1">
      <c r="A52" s="2558" t="s">
        <v>2039</v>
      </c>
      <c r="B52" s="3193" t="s">
        <v>2040</v>
      </c>
      <c r="C52" s="3193"/>
      <c r="D52" s="1247">
        <f ca="1">ROUND(D45*'数据-取费表'!B41/(1+'数据-取费表'!C42),0)</f>
        <v>3259</v>
      </c>
      <c r="E52" s="2557" t="s">
        <v>2041</v>
      </c>
      <c r="F52" s="2780">
        <f>'数据-取费表'!B41</f>
        <v>5.6000000000000001E-2</v>
      </c>
      <c r="G52" s="2781"/>
      <c r="H52" s="2770"/>
      <c r="I52" s="1993"/>
      <c r="J52" s="2749">
        <v>1</v>
      </c>
      <c r="K52" s="3261" t="s">
        <v>2042</v>
      </c>
      <c r="L52" s="3261"/>
      <c r="M52" s="2751" t="b">
        <f>D48</f>
        <v>0</v>
      </c>
      <c r="N52" s="2749" t="str">
        <f>E48</f>
        <v>销售额×税（费）率</v>
      </c>
      <c r="O52" s="2752">
        <f>F48</f>
        <v>5.6000000000000001E-2</v>
      </c>
    </row>
    <row r="53" spans="1:35" ht="12" customHeight="1">
      <c r="A53" s="2558" t="s">
        <v>2043</v>
      </c>
      <c r="B53" s="3219" t="s">
        <v>3036</v>
      </c>
      <c r="C53" s="3220"/>
      <c r="D53" s="1247">
        <f ca="1">ROUND(D45*'数据-取费表'!B41/(1+'数据-取费表'!C42),0)</f>
        <v>3259</v>
      </c>
      <c r="E53" s="2557" t="s">
        <v>2041</v>
      </c>
      <c r="F53" s="2780">
        <f>'数据-取费表'!B41</f>
        <v>5.6000000000000001E-2</v>
      </c>
      <c r="G53" s="2781"/>
      <c r="H53" s="2770"/>
      <c r="I53" s="1993"/>
      <c r="J53" s="2749">
        <v>2</v>
      </c>
      <c r="K53" s="3261" t="s">
        <v>2044</v>
      </c>
      <c r="L53" s="3261"/>
      <c r="M53" s="2751">
        <f t="shared" ref="M53:O54" ca="1" si="0">D55</f>
        <v>31</v>
      </c>
      <c r="N53" s="2749" t="str">
        <f t="shared" si="0"/>
        <v>销售额×税（费）率</v>
      </c>
      <c r="O53" s="2752" t="str">
        <f t="shared" si="0"/>
        <v>免征</v>
      </c>
    </row>
    <row r="54" spans="1:35" ht="12" customHeight="1">
      <c r="A54" s="2558" t="s">
        <v>2045</v>
      </c>
      <c r="B54" s="3219" t="s">
        <v>3037</v>
      </c>
      <c r="C54" s="3220"/>
      <c r="D54" s="1247">
        <f ca="1">C68</f>
        <v>3259</v>
      </c>
      <c r="E54" s="333" t="s">
        <v>2046</v>
      </c>
      <c r="F54" s="2780">
        <f>'数据-取费表'!B41</f>
        <v>5.6000000000000001E-2</v>
      </c>
      <c r="G54" s="2781"/>
      <c r="H54" s="2782"/>
      <c r="I54" s="1993"/>
      <c r="J54" s="2749">
        <v>3</v>
      </c>
      <c r="K54" s="3261" t="s">
        <v>2047</v>
      </c>
      <c r="L54" s="3261"/>
      <c r="M54" s="2751">
        <f t="shared" ca="1" si="0"/>
        <v>34590</v>
      </c>
      <c r="N54" s="2749" t="str">
        <f t="shared" si="0"/>
        <v>增值额×税（费）率</v>
      </c>
      <c r="O54" s="2753" t="str">
        <f t="shared" si="0"/>
        <v>免征</v>
      </c>
    </row>
    <row r="55" spans="1:35" ht="24" customHeight="1">
      <c r="A55" s="3208" t="s">
        <v>2048</v>
      </c>
      <c r="B55" s="3209"/>
      <c r="C55" s="3209"/>
      <c r="D55" s="2547">
        <f ca="1">IF(H55="个人住宅",0,ROUND(D45*I55,0))</f>
        <v>31</v>
      </c>
      <c r="E55" s="2557" t="s">
        <v>2049</v>
      </c>
      <c r="F55" s="2780" t="str">
        <f>IF(H55="正常",I55,"免征")</f>
        <v>免征</v>
      </c>
      <c r="G55" s="2781"/>
      <c r="H55" s="2776"/>
      <c r="I55" s="170">
        <f>'数据-取费表'!B49</f>
        <v>5.0000000000000001E-4</v>
      </c>
      <c r="J55" s="2749">
        <f>IF(H59="非个人房产","",4)</f>
        <v>4</v>
      </c>
      <c r="K55" s="3261" t="str">
        <f>IF(H59="非个人房产","——","个人所得税")</f>
        <v>个人所得税</v>
      </c>
      <c r="L55" s="3261"/>
      <c r="M55" s="2754">
        <f ca="1">D59</f>
        <v>582</v>
      </c>
      <c r="N55" s="2228" t="str">
        <f>E59</f>
        <v>差额计税</v>
      </c>
      <c r="O55" s="2755">
        <f>F59</f>
        <v>0.01</v>
      </c>
    </row>
    <row r="56" spans="1:35" ht="24.75">
      <c r="A56" s="3208" t="s">
        <v>2050</v>
      </c>
      <c r="B56" s="3209"/>
      <c r="C56" s="3209"/>
      <c r="D56" s="2547">
        <f ca="1">IF(H56="个人住宅",D57,D58)</f>
        <v>34590</v>
      </c>
      <c r="E56" s="2557" t="s">
        <v>2051</v>
      </c>
      <c r="F56" s="2780" t="str">
        <f>IF(H56="正常",F58,"免征")</f>
        <v>免征</v>
      </c>
      <c r="G56" s="2783" t="s">
        <v>2052</v>
      </c>
      <c r="H56" s="2784"/>
      <c r="I56" s="1994"/>
      <c r="J56" s="2749" t="str">
        <f>IF(项目基本情况!K6="上海银行",IF(J55="",4,J55+1),"")</f>
        <v/>
      </c>
      <c r="K56" s="3284" t="str">
        <f>IF(项目基本情况!K6="上海银行","其他处置费用","")</f>
        <v/>
      </c>
      <c r="L56" s="3285"/>
      <c r="M56" s="2751" t="str">
        <f>IF(项目基本情况!K6="上海银行",M69,"")</f>
        <v/>
      </c>
      <c r="N56" s="3284" t="str">
        <f>IF(项目基本情况!K6="上海银行","包含处置中涉及的律师、诉讼、拍卖、评估等费用","")</f>
        <v/>
      </c>
      <c r="O56" s="3287"/>
    </row>
    <row r="57" spans="1:35" ht="12.75">
      <c r="A57" s="2558" t="s">
        <v>2028</v>
      </c>
      <c r="B57" s="3219" t="s">
        <v>2053</v>
      </c>
      <c r="C57" s="3220"/>
      <c r="D57" s="1776">
        <v>0</v>
      </c>
      <c r="E57" s="330" t="s">
        <v>2030</v>
      </c>
      <c r="F57" s="308"/>
      <c r="G57" s="2781"/>
      <c r="H57" s="2785"/>
      <c r="I57" s="1994"/>
      <c r="J57" s="3261">
        <f>IF(AND(J55="",J56=""),4,IF(项目基本情况!K6="上海银行",结果表!J56+1,结果表!J55+1))</f>
        <v>5</v>
      </c>
      <c r="K57" s="3261" t="s">
        <v>2054</v>
      </c>
      <c r="L57" s="2756" t="s">
        <v>2055</v>
      </c>
      <c r="M57" s="2757"/>
      <c r="N57" s="2758">
        <f ca="1">SUMIF(M52:M56,"&lt;9e307")</f>
        <v>35203</v>
      </c>
      <c r="O57" s="2759"/>
      <c r="P57" s="2919" t="e">
        <f ca="1">N57/M49</f>
        <v>#VALUE!</v>
      </c>
    </row>
    <row r="58" spans="1:35" ht="24.75">
      <c r="A58" s="2558" t="s">
        <v>2039</v>
      </c>
      <c r="B58" s="3219" t="s">
        <v>2056</v>
      </c>
      <c r="C58" s="3193"/>
      <c r="D58" s="2547">
        <f ca="1">IF(H58="转让取得",C81,C97)</f>
        <v>34590</v>
      </c>
      <c r="E58" s="2557" t="s">
        <v>2051</v>
      </c>
      <c r="F58" s="308" t="s">
        <v>34</v>
      </c>
      <c r="G58" s="2781"/>
      <c r="H58" s="2784"/>
      <c r="I58" s="1994"/>
      <c r="J58" s="3261"/>
      <c r="K58" s="3261"/>
      <c r="L58" s="2756" t="s">
        <v>2057</v>
      </c>
      <c r="M58" s="2760"/>
      <c r="N58" s="2761" t="str">
        <f ca="1">NUMBERSTRING(INT(N57*10000),2)&amp;"元整"</f>
        <v>叁亿伍仟贰佰零叁万元整</v>
      </c>
      <c r="O58" s="2762"/>
    </row>
    <row r="59" spans="1:35" ht="24.75" thickBot="1">
      <c r="A59" s="3264" t="s">
        <v>2058</v>
      </c>
      <c r="B59" s="3265"/>
      <c r="C59" s="3265"/>
      <c r="D59" s="2786">
        <f ca="1">IF(H59="非个人房产","——",IF(H59="个人住宅（满五唯一有凭证）",0,IF(H59="个人其他（无凭证）",ROUND(D45*F59,0),ROUND(C67*F59,0))))</f>
        <v>582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2878</v>
      </c>
      <c r="J59" s="3262">
        <f>J57+1</f>
        <v>6</v>
      </c>
      <c r="K59" s="3261" t="s">
        <v>2059</v>
      </c>
      <c r="L59" s="2749" t="s">
        <v>2055</v>
      </c>
      <c r="M59" s="2763"/>
      <c r="N59" s="2764" t="e">
        <f ca="1">M49-N57</f>
        <v>#VALUE!</v>
      </c>
      <c r="O59" s="2765"/>
    </row>
    <row r="60" spans="1:35" ht="12" customHeight="1">
      <c r="A60" s="1995"/>
      <c r="B60" s="1933"/>
      <c r="C60" s="1933"/>
      <c r="D60" s="1933"/>
      <c r="E60" s="1764"/>
      <c r="F60" s="1994"/>
      <c r="G60" s="1994"/>
      <c r="H60" s="1996"/>
      <c r="I60" s="134"/>
      <c r="J60" s="3263"/>
      <c r="K60" s="3261"/>
      <c r="L60" s="2756" t="s">
        <v>2057</v>
      </c>
      <c r="M60" s="2760"/>
      <c r="N60" s="2761" t="e">
        <f ca="1">NUMBERSTRING(INT(N59*10000),2)&amp;"元整"</f>
        <v>#VALUE!</v>
      </c>
      <c r="O60" s="2762"/>
    </row>
    <row r="61" spans="1:35" ht="13.5" thickBot="1">
      <c r="A61" s="3206" t="s">
        <v>2060</v>
      </c>
      <c r="B61" s="3206"/>
      <c r="C61" s="3206"/>
      <c r="D61" s="3206"/>
      <c r="E61" s="3206"/>
      <c r="F61" s="1994"/>
      <c r="G61" s="1994"/>
      <c r="H61" s="1996"/>
      <c r="I61" s="134"/>
      <c r="J61" s="2749">
        <f>J59+1</f>
        <v>7</v>
      </c>
      <c r="K61" s="3261" t="s">
        <v>2061</v>
      </c>
      <c r="L61" s="3261"/>
      <c r="M61" s="2766"/>
      <c r="N61" s="2767" t="e">
        <f ca="1">ROUND(N59*10000/'数据-汇总表'!E3,0)</f>
        <v>#VALUE!</v>
      </c>
      <c r="O61" s="2768"/>
    </row>
    <row r="62" spans="1:35" ht="12.75">
      <c r="A62" s="3224" t="s">
        <v>2062</v>
      </c>
      <c r="B62" s="3225"/>
      <c r="C62" s="2209"/>
      <c r="D62" s="2209" t="s">
        <v>2063</v>
      </c>
      <c r="E62" s="171" t="s">
        <v>2064</v>
      </c>
      <c r="F62" s="1994"/>
      <c r="G62" s="1994"/>
      <c r="H62" s="1996"/>
      <c r="I62" s="134"/>
    </row>
    <row r="63" spans="1:35" ht="12.75">
      <c r="A63" s="178" t="s">
        <v>775</v>
      </c>
      <c r="B63" s="172" t="s">
        <v>2065</v>
      </c>
      <c r="C63" s="2790">
        <f ca="1">ROUND((C64+C65)/(1+'数据-取费表'!C42),0)</f>
        <v>58203</v>
      </c>
      <c r="D63" s="172"/>
      <c r="E63" s="173"/>
      <c r="F63" s="1994"/>
      <c r="G63" s="1994"/>
      <c r="H63" s="1996"/>
      <c r="I63" s="134"/>
      <c r="J63" s="3286" t="s">
        <v>2066</v>
      </c>
      <c r="K63" s="1502" t="s">
        <v>2067</v>
      </c>
      <c r="L63" s="1502" t="e">
        <f>IF(M49&gt;10000,M49*0.5%,IF(AND(M49&gt;1000,M49&lt;=10000),M49*1%,IF(AND(M49&gt;100,M49&lt;=1000),M49*3%,IF(AND(M49&gt;10,M49&lt;=100),M49*5%,M49*8%))))</f>
        <v>#VALUE!</v>
      </c>
      <c r="M63" s="308" t="e">
        <f>ROUND(L63,1)</f>
        <v>#VALUE!</v>
      </c>
      <c r="N63" s="2769"/>
      <c r="Z63" s="1938"/>
      <c r="AI63" s="1939"/>
    </row>
    <row r="64" spans="1:35" ht="14.25" customHeight="1">
      <c r="A64" s="174" t="s">
        <v>770</v>
      </c>
      <c r="B64" s="175" t="s">
        <v>2068</v>
      </c>
      <c r="C64" s="2791">
        <f ca="1">D45</f>
        <v>61113</v>
      </c>
      <c r="D64" s="175" t="s">
        <v>32</v>
      </c>
      <c r="E64" s="177"/>
      <c r="F64" s="1994"/>
      <c r="G64" s="1994"/>
      <c r="H64" s="1996"/>
      <c r="I64" s="134"/>
      <c r="J64" s="3286"/>
      <c r="K64" s="1502" t="s">
        <v>2069</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2070</v>
      </c>
      <c r="Z64" s="1938"/>
      <c r="AI64" s="1939"/>
    </row>
    <row r="65" spans="1:35" ht="14.25" customHeight="1">
      <c r="A65" s="174" t="s">
        <v>771</v>
      </c>
      <c r="B65" s="175" t="s">
        <v>2071</v>
      </c>
      <c r="C65" s="2792"/>
      <c r="D65" s="175"/>
      <c r="E65" s="177"/>
      <c r="F65" s="1994"/>
      <c r="G65" s="1994"/>
      <c r="H65" s="1996"/>
      <c r="I65" s="134"/>
      <c r="J65" s="3286"/>
      <c r="K65" s="1502" t="s">
        <v>2072</v>
      </c>
      <c r="L65" s="1502" t="e">
        <f>IF(M49&gt;1000,M49*0.1%,IF(AND(M49&gt;500,M49&lt;=1000),M49*0.5%,IF(AND(M49&gt;50,M49&lt;=500),M49*1%,IF(AND(M49&gt;1,M49&lt;=50),M49*1.5%))))</f>
        <v>#VALUE!</v>
      </c>
      <c r="M65" s="308" t="e">
        <f t="shared" si="1"/>
        <v>#VALUE!</v>
      </c>
      <c r="N65" s="2770" t="s">
        <v>2070</v>
      </c>
      <c r="Z65" s="1938"/>
      <c r="AI65" s="1939"/>
    </row>
    <row r="66" spans="1:35" ht="14.25" customHeight="1">
      <c r="A66" s="178" t="s">
        <v>772</v>
      </c>
      <c r="B66" s="179" t="s">
        <v>2073</v>
      </c>
      <c r="C66" s="2793"/>
      <c r="D66" s="179" t="s">
        <v>32</v>
      </c>
      <c r="E66" s="1510" t="s">
        <v>1337</v>
      </c>
      <c r="F66" s="1994"/>
      <c r="G66" s="1994"/>
      <c r="H66" s="1996"/>
      <c r="I66" s="134"/>
      <c r="J66" s="3286"/>
      <c r="K66" s="1502" t="s">
        <v>2074</v>
      </c>
      <c r="L66" s="1502" t="e">
        <f>M49*0.5%</f>
        <v>#VALUE!</v>
      </c>
      <c r="M66" s="308" t="e">
        <f>IF(L66&gt;0.5,0.5,ROUND(L66,0))</f>
        <v>#VALUE!</v>
      </c>
      <c r="N66" s="2770" t="s">
        <v>2075</v>
      </c>
      <c r="Z66" s="1938"/>
      <c r="AI66" s="1939"/>
    </row>
    <row r="67" spans="1:35" ht="14.25" customHeight="1">
      <c r="A67" s="178" t="s">
        <v>773</v>
      </c>
      <c r="B67" s="179" t="s">
        <v>2076</v>
      </c>
      <c r="C67" s="2794">
        <f ca="1">C63-C66</f>
        <v>58203</v>
      </c>
      <c r="D67" s="175" t="s">
        <v>32</v>
      </c>
      <c r="E67" s="177"/>
      <c r="F67" s="1994"/>
      <c r="G67" s="1994"/>
      <c r="H67" s="1996"/>
      <c r="I67" s="134"/>
      <c r="J67" s="3286"/>
      <c r="K67" s="1502" t="s">
        <v>2077</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8"/>
      <c r="AI67" s="1939"/>
    </row>
    <row r="68" spans="1:35" ht="14.25" customHeight="1" thickBot="1">
      <c r="A68" s="181" t="s">
        <v>774</v>
      </c>
      <c r="B68" s="182" t="s">
        <v>2078</v>
      </c>
      <c r="C68" s="2795">
        <f ca="1">IF(C67&lt;=0,0,ROUND(C67*D68,0))</f>
        <v>3259</v>
      </c>
      <c r="D68" s="2796">
        <f>'数据-取费表'!B41</f>
        <v>5.6000000000000001E-2</v>
      </c>
      <c r="E68" s="184"/>
      <c r="F68" s="1994"/>
      <c r="G68" s="1994"/>
      <c r="H68" s="1996"/>
      <c r="I68" s="134"/>
      <c r="J68" s="3286"/>
      <c r="K68" s="1502" t="s">
        <v>2079</v>
      </c>
      <c r="L68" s="1502" t="e">
        <f>IF(M49&gt;10000,M49*0.5%,IF(AND(M49&gt;5000,M49&lt;=10000),M49*1%,IF(AND(M49&gt;1000,M49&lt;=5000),M49*2%,IF(AND(M49&gt;200,M49&lt;=1000),M49*3%,M49*5%))))</f>
        <v>#VALUE!</v>
      </c>
      <c r="M68" s="308" t="e">
        <f>ROUND(L68,1)</f>
        <v>#VALUE!</v>
      </c>
      <c r="N68" s="2769"/>
      <c r="Z68" s="1938"/>
      <c r="AI68" s="1939"/>
    </row>
    <row r="69" spans="1:35" s="1958" customFormat="1" ht="16.5" customHeight="1">
      <c r="A69" s="1997"/>
      <c r="B69" s="1998"/>
      <c r="C69" s="1999"/>
      <c r="D69" s="2000"/>
      <c r="E69" s="2001"/>
      <c r="F69" s="1764"/>
      <c r="G69" s="1764"/>
      <c r="H69" s="1763"/>
      <c r="I69" s="1933"/>
      <c r="J69" s="3286"/>
      <c r="K69" s="1502" t="s">
        <v>2080</v>
      </c>
      <c r="L69" s="1502"/>
      <c r="M69" s="308" t="e">
        <f>ROUND(SUM(M63:M68),0)</f>
        <v>#VALUE!</v>
      </c>
      <c r="N69" s="2771"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5" t="s">
        <v>2081</v>
      </c>
      <c r="B70" s="3246"/>
      <c r="C70" s="3246"/>
      <c r="D70" s="3246"/>
      <c r="E70" s="3246"/>
      <c r="F70" s="3246"/>
      <c r="G70" s="3246"/>
      <c r="H70" s="324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4" t="s">
        <v>2062</v>
      </c>
      <c r="B71" s="3225"/>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58203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349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19" t="s">
        <v>2089</v>
      </c>
      <c r="F76" s="3193"/>
      <c r="G76" s="3193"/>
      <c r="H76" s="324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349</v>
      </c>
      <c r="D78" s="2803">
        <f>'数据-取费表'!B43</f>
        <v>6.000000000000001E-3</v>
      </c>
      <c r="E78" s="3203" t="s">
        <v>2093</v>
      </c>
      <c r="F78" s="3204"/>
      <c r="G78" s="3204"/>
      <c r="H78" s="321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57854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165.77077363896848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34590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5" t="s">
        <v>2097</v>
      </c>
      <c r="B83" s="3246"/>
      <c r="C83" s="3246"/>
      <c r="D83" s="3246"/>
      <c r="E83" s="3246"/>
      <c r="F83" s="3246"/>
      <c r="G83" s="3246"/>
      <c r="H83" s="324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4" t="s">
        <v>2062</v>
      </c>
      <c r="B84" s="3225"/>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58203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349</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288" t="s">
        <v>2870</v>
      </c>
      <c r="H90" s="3289"/>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03" t="s">
        <v>2106</v>
      </c>
      <c r="F91" s="3204"/>
      <c r="G91" s="320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03" t="s">
        <v>2109</v>
      </c>
      <c r="F92" s="3204"/>
      <c r="G92" s="3204"/>
      <c r="H92" s="3213"/>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349</v>
      </c>
      <c r="D93" s="2803">
        <f>'数据-取费表'!B43</f>
        <v>6.000000000000001E-3</v>
      </c>
      <c r="E93" s="3203" t="s">
        <v>2093</v>
      </c>
      <c r="F93" s="3204"/>
      <c r="G93" s="3204"/>
      <c r="H93" s="321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14" t="s">
        <v>2113</v>
      </c>
      <c r="F94" s="3215"/>
      <c r="G94" s="3215"/>
      <c r="H94" s="321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57854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165.77077363896848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34590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87" t="s">
        <v>2115</v>
      </c>
      <c r="B100" s="3188"/>
      <c r="C100" s="3188"/>
      <c r="D100" s="3205"/>
      <c r="E100" s="3188" t="s">
        <v>2116</v>
      </c>
      <c r="F100" s="3188"/>
      <c r="G100" s="3188"/>
      <c r="H100" s="3205"/>
      <c r="I100" s="134"/>
    </row>
    <row r="101" spans="1:35" ht="18.75" customHeight="1">
      <c r="A101" s="3269" t="s">
        <v>2117</v>
      </c>
      <c r="B101" s="3270"/>
      <c r="C101" s="2811" t="str">
        <f>C4</f>
        <v>成本法</v>
      </c>
      <c r="D101" s="2812" t="str">
        <f>D4</f>
        <v>假设开发法</v>
      </c>
      <c r="E101" s="3283" t="s">
        <v>2118</v>
      </c>
      <c r="F101" s="3237"/>
      <c r="G101" s="2013" t="s">
        <v>2119</v>
      </c>
      <c r="H101" s="2821">
        <f ca="1">H118</f>
        <v>61113</v>
      </c>
      <c r="I101" s="134"/>
    </row>
    <row r="102" spans="1:35" ht="18.75" customHeight="1">
      <c r="A102" s="3239" t="s">
        <v>2120</v>
      </c>
      <c r="B102" s="2810" t="s">
        <v>2119</v>
      </c>
      <c r="C102" s="2811">
        <f ca="1">C19</f>
        <v>57737</v>
      </c>
      <c r="D102" s="2812">
        <f ca="1">D19</f>
        <v>64488</v>
      </c>
      <c r="E102" s="3283"/>
      <c r="F102" s="3237"/>
      <c r="G102" s="2013" t="s">
        <v>2121</v>
      </c>
      <c r="H102" s="2781">
        <f ca="1">I118</f>
        <v>37237</v>
      </c>
      <c r="I102" s="134"/>
    </row>
    <row r="103" spans="1:35" ht="42.75" customHeight="1">
      <c r="A103" s="3239"/>
      <c r="B103" s="2810" t="s">
        <v>2121</v>
      </c>
      <c r="C103" s="2813">
        <f ca="1">C20</f>
        <v>35180</v>
      </c>
      <c r="D103" s="2814">
        <f ca="1">D20</f>
        <v>39293</v>
      </c>
      <c r="E103" s="3277" t="s">
        <v>2122</v>
      </c>
      <c r="F103" s="3278"/>
      <c r="G103" s="2014" t="s">
        <v>2123</v>
      </c>
      <c r="H103" s="2821">
        <f>IF(D36="正常操作",H104+H105+H106,H105+H106)</f>
        <v>0</v>
      </c>
      <c r="I103" s="134"/>
    </row>
    <row r="104" spans="1:35" ht="18.75" customHeight="1">
      <c r="A104" s="3239" t="s">
        <v>2124</v>
      </c>
      <c r="B104" s="2815" t="s">
        <v>2119</v>
      </c>
      <c r="C104" s="2816">
        <f ca="1">H118</f>
        <v>61113</v>
      </c>
      <c r="D104" s="2817"/>
      <c r="E104" s="1860" t="s">
        <v>2125</v>
      </c>
      <c r="F104" s="1852"/>
      <c r="G104" s="2014" t="s">
        <v>2123</v>
      </c>
      <c r="H104" s="2822">
        <f>IF(D36="同一抵押权人同一抵押物续贷",C36&amp;"（续贷，未扣减，详见特别提示）",C36)</f>
        <v>0</v>
      </c>
      <c r="I104" s="134"/>
    </row>
    <row r="105" spans="1:35" ht="18.75" customHeight="1" thickBot="1">
      <c r="A105" s="3240"/>
      <c r="B105" s="2818" t="s">
        <v>2121</v>
      </c>
      <c r="C105" s="2819">
        <f ca="1">I118</f>
        <v>37237</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36" t="str">
        <f>IF(项目基本情况!E8="已注销","——","3.房地产抵押价值")</f>
        <v>3.房地产抵押价值</v>
      </c>
      <c r="F107" s="3237"/>
      <c r="G107" s="2013" t="s">
        <v>2119</v>
      </c>
      <c r="H107" s="2821">
        <f ca="1">IF(E107="——","——",H101-H103)</f>
        <v>61113</v>
      </c>
      <c r="I107" s="134"/>
    </row>
    <row r="108" spans="1:35" ht="18.75" customHeight="1">
      <c r="A108" s="134"/>
      <c r="B108" s="134"/>
      <c r="C108" s="134"/>
      <c r="D108" s="134"/>
      <c r="E108" s="3236"/>
      <c r="F108" s="3237"/>
      <c r="G108" s="2013" t="s">
        <v>2121</v>
      </c>
      <c r="H108" s="2781">
        <f ca="1">ROUND(H107*10000/'数据-汇总表'!E3,0)</f>
        <v>37237</v>
      </c>
      <c r="I108" s="134"/>
    </row>
    <row r="109" spans="1:35" ht="18.75" customHeight="1">
      <c r="A109" s="134"/>
      <c r="B109" s="134"/>
      <c r="C109" s="134"/>
      <c r="D109" s="134"/>
      <c r="E109" s="3236" t="str">
        <f>IF(项目基本情况!E8="已注销及未注销","4.抵押担保权已注销时的房地产抵押价值",IF(项目基本情况!E8="已注销","3.抵押担保权已注销时的房地产抵押价值","——"))</f>
        <v>——</v>
      </c>
      <c r="F109" s="3237"/>
      <c r="G109" s="2013" t="s">
        <v>2119</v>
      </c>
      <c r="H109" s="2824" t="str">
        <f>IF(E109="——","——",H101-H105-H106)</f>
        <v>——</v>
      </c>
      <c r="I109" s="134"/>
    </row>
    <row r="110" spans="1:35" ht="18.75" customHeight="1">
      <c r="A110" s="134"/>
      <c r="B110" s="134"/>
      <c r="C110" s="134"/>
      <c r="D110" s="134"/>
      <c r="E110" s="3236"/>
      <c r="F110" s="3237"/>
      <c r="G110" s="2013" t="s">
        <v>2121</v>
      </c>
      <c r="H110" s="2781" t="str">
        <f>IF(H109="——","——",ROUND(H109*10000/'数据-汇总表'!E3,0))</f>
        <v>——</v>
      </c>
      <c r="I110" s="134"/>
    </row>
    <row r="111" spans="1:35" ht="18.75" customHeight="1">
      <c r="A111" s="134"/>
      <c r="B111" s="134"/>
      <c r="C111" s="134"/>
      <c r="D111" s="134"/>
      <c r="E111" s="3271" t="str">
        <f>IF(项目基本情况!E9="抵押净值",IF(OR(项目基本情况!E8="已注销",项目基本情况!E8="房地产抵押价值"),"4.抵押净值","5.抵押净值"),"——")</f>
        <v>——</v>
      </c>
      <c r="F111" s="3238"/>
      <c r="G111" s="2013" t="s">
        <v>2119</v>
      </c>
      <c r="H111" s="2821" t="str">
        <f>IF(E111="——","——",N59)</f>
        <v>——</v>
      </c>
      <c r="I111" s="134"/>
    </row>
    <row r="112" spans="1:35" ht="18.75" customHeight="1" thickBot="1">
      <c r="A112" s="134"/>
      <c r="B112" s="134"/>
      <c r="C112" s="134"/>
      <c r="D112" s="134"/>
      <c r="E112" s="3272"/>
      <c r="F112" s="3273"/>
      <c r="G112" s="2016" t="s">
        <v>2121</v>
      </c>
      <c r="H112" s="2825" t="str">
        <f>IF(E111="——","——",N61)</f>
        <v>——</v>
      </c>
      <c r="I112" s="134"/>
    </row>
    <row r="113" spans="1:27" ht="18.75" customHeight="1">
      <c r="A113" s="134"/>
      <c r="B113" s="134"/>
      <c r="C113" s="134"/>
      <c r="D113" s="134"/>
      <c r="E113" s="3241" t="s">
        <v>2127</v>
      </c>
      <c r="F113" s="3241"/>
      <c r="G113" s="3241"/>
      <c r="H113" s="3241"/>
      <c r="I113" s="134"/>
    </row>
    <row r="114" spans="1:27" ht="3.75" customHeight="1">
      <c r="A114" s="1933"/>
      <c r="B114" s="1933"/>
      <c r="C114" s="1933"/>
      <c r="D114" s="1933"/>
      <c r="E114" s="1995"/>
      <c r="F114" s="1995"/>
      <c r="G114" s="1995"/>
      <c r="H114" s="1995"/>
      <c r="I114" s="1933"/>
    </row>
    <row r="115" spans="1:27" ht="18.75" customHeight="1">
      <c r="A115" s="3254" t="s">
        <v>2129</v>
      </c>
      <c r="B115" s="3255"/>
      <c r="C115" s="3255"/>
      <c r="D115" s="3255"/>
      <c r="E115" s="3255"/>
      <c r="F115" s="3255"/>
      <c r="G115" s="3255"/>
      <c r="H115" s="3255"/>
      <c r="I115" s="3256"/>
    </row>
    <row r="116" spans="1:27" ht="27" customHeight="1">
      <c r="A116" s="3207" t="s">
        <v>2130</v>
      </c>
      <c r="B116" s="3242" t="s">
        <v>2131</v>
      </c>
      <c r="C116" s="3242" t="s">
        <v>2132</v>
      </c>
      <c r="D116" s="3258" t="s">
        <v>2133</v>
      </c>
      <c r="E116" s="3259"/>
      <c r="F116" s="3250" t="s">
        <v>2134</v>
      </c>
      <c r="G116" s="3250"/>
      <c r="H116" s="3207" t="s">
        <v>2135</v>
      </c>
      <c r="I116" s="3207"/>
    </row>
    <row r="117" spans="1:27" ht="18.75" customHeight="1">
      <c r="A117" s="3207"/>
      <c r="B117" s="3243"/>
      <c r="C117" s="3243"/>
      <c r="D117" s="2552" t="s">
        <v>2136</v>
      </c>
      <c r="E117" s="2552" t="s">
        <v>2137</v>
      </c>
      <c r="F117" s="2552" t="s">
        <v>2136</v>
      </c>
      <c r="G117" s="2552" t="s">
        <v>2138</v>
      </c>
      <c r="H117" s="2552" t="s">
        <v>2136</v>
      </c>
      <c r="I117" s="2552" t="s">
        <v>2138</v>
      </c>
    </row>
    <row r="118" spans="1:27" ht="24.75" customHeight="1">
      <c r="A118" s="2826" t="str">
        <f>项目基本情况!S2</f>
        <v>出让国有建设用地使用权及在建建筑物房地产</v>
      </c>
      <c r="B118" s="2552">
        <f>M18</f>
        <v>16412.019999999993</v>
      </c>
      <c r="C118" s="2552">
        <f>M19</f>
        <v>0</v>
      </c>
      <c r="D118" s="2552">
        <f ca="1">ROUND(IF(D32="总价",C34,E118*B118/10000),0)</f>
        <v>51579</v>
      </c>
      <c r="E118" s="2552">
        <f ca="1">ROUND(IF(C33="自定义",IF(D32="楼面单价",C34,D118*10000/B118),I118-G118),0)</f>
        <v>31428</v>
      </c>
      <c r="F118" s="2552">
        <f ca="1">ROUND(IF(D32="总价",C35,G118*B118/10000),0)</f>
        <v>9534</v>
      </c>
      <c r="G118" s="2552">
        <f ca="1">ROUND(IF(D32="楼面单价",C35,F118*10000/B118),0)</f>
        <v>5809</v>
      </c>
      <c r="H118" s="2552">
        <f ca="1">ROUND(IF(D32="总价",C32,I118*B118/10000),0)</f>
        <v>61113</v>
      </c>
      <c r="I118" s="2552">
        <f ca="1">ROUND(IF(D32="楼面单价",C32,H118*10000/B118),0)</f>
        <v>37237</v>
      </c>
    </row>
    <row r="119" spans="1:27" ht="18.75" customHeight="1">
      <c r="A119" s="3207" t="s">
        <v>2139</v>
      </c>
      <c r="B119" s="3207"/>
      <c r="C119" s="3207"/>
      <c r="D119" s="3247" t="str">
        <f ca="1">NUMBERSTRING(INT(D118*10000),2)&amp;"元整"</f>
        <v>伍亿壹仟伍佰柒拾玖万元整</v>
      </c>
      <c r="E119" s="3249"/>
      <c r="F119" s="3247" t="str">
        <f ca="1">NUMBERSTRING(INT(F118*10000),2)&amp;"元整"</f>
        <v>玖仟伍佰叁拾肆万元整</v>
      </c>
      <c r="G119" s="3249"/>
      <c r="H119" s="3247" t="str">
        <f ca="1">NUMBERSTRING(INT(H118*10000),2)&amp;"元整"</f>
        <v>陆亿壹仟壹佰壹拾叁万元整</v>
      </c>
      <c r="I119" s="3249"/>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1" t="s">
        <v>2139</v>
      </c>
      <c r="B121" s="3252"/>
      <c r="C121" s="3253"/>
      <c r="D121" s="3247" t="str">
        <f>IF(D120=0,"零元整",NUMBERSTRING(INT(D120*10000),2)&amp;"元整")</f>
        <v>零元整</v>
      </c>
      <c r="E121" s="3248"/>
      <c r="F121" s="3248"/>
      <c r="G121" s="3248"/>
      <c r="H121" s="3248"/>
      <c r="I121" s="3249"/>
      <c r="AA121" s="734"/>
    </row>
    <row r="122" spans="1:27" ht="18.75" customHeight="1">
      <c r="A122" s="3238" t="str">
        <f>IF(项目基本情况!B9="房地产市场价值","",MID(E107,3,LEN(E107)-2))</f>
        <v>房地产抵押价值</v>
      </c>
      <c r="B122" s="3238"/>
      <c r="C122" s="3238"/>
      <c r="D122" s="3274">
        <f ca="1">H107</f>
        <v>61113</v>
      </c>
      <c r="E122" s="3275"/>
      <c r="F122" s="3275"/>
      <c r="G122" s="3275"/>
      <c r="H122" s="3275"/>
      <c r="I122" s="3276"/>
      <c r="AA122" s="734"/>
    </row>
    <row r="123" spans="1:27" ht="18.75" customHeight="1">
      <c r="A123" s="3207" t="s">
        <v>2139</v>
      </c>
      <c r="B123" s="3207"/>
      <c r="C123" s="3207"/>
      <c r="D123" s="3247" t="str">
        <f ca="1">NUMBERSTRING(INT(D122*10000),2)&amp;"元整"</f>
        <v>陆亿壹仟壹佰壹拾叁万元整</v>
      </c>
      <c r="E123" s="3248"/>
      <c r="F123" s="3248"/>
      <c r="G123" s="3248"/>
      <c r="H123" s="3248"/>
      <c r="I123" s="3249"/>
      <c r="AA123" s="734"/>
    </row>
    <row r="124" spans="1:27" ht="18.75" customHeight="1">
      <c r="A124" s="3238" t="str">
        <f>IF(项目基本情况!B9="房地产市场价值","",MID(E109,3,LEN(E109)-2))</f>
        <v/>
      </c>
      <c r="B124" s="3238"/>
      <c r="C124" s="3238"/>
      <c r="D124" s="3274" t="str">
        <f>H109</f>
        <v>——</v>
      </c>
      <c r="E124" s="3275"/>
      <c r="F124" s="3275"/>
      <c r="G124" s="3275"/>
      <c r="H124" s="3275"/>
      <c r="I124" s="3276"/>
      <c r="AA124" s="734"/>
    </row>
    <row r="125" spans="1:27" ht="18.75" customHeight="1">
      <c r="A125" s="3207" t="s">
        <v>2139</v>
      </c>
      <c r="B125" s="3207"/>
      <c r="C125" s="3207"/>
      <c r="D125" s="3247" t="e">
        <f>NUMBERSTRING(INT(D124*10000),2)&amp;"元整"</f>
        <v>#VALUE!</v>
      </c>
      <c r="E125" s="3248"/>
      <c r="F125" s="3248"/>
      <c r="G125" s="3248"/>
      <c r="H125" s="3248"/>
      <c r="I125" s="3249"/>
      <c r="AA125" s="734"/>
    </row>
    <row r="126" spans="1:27" ht="18.75" customHeight="1">
      <c r="A126" s="3238" t="str">
        <f>IF(项目基本情况!B9="房地产市场价值","",MID(E111,3,LEN(E111)-2))</f>
        <v/>
      </c>
      <c r="B126" s="3238"/>
      <c r="C126" s="3238"/>
      <c r="D126" s="3274" t="str">
        <f>H111</f>
        <v>——</v>
      </c>
      <c r="E126" s="3275"/>
      <c r="F126" s="3275"/>
      <c r="G126" s="3275"/>
      <c r="H126" s="3275"/>
      <c r="I126" s="3276"/>
      <c r="AA126" s="734"/>
    </row>
    <row r="127" spans="1:27" ht="18.75" customHeight="1">
      <c r="A127" s="3207" t="s">
        <v>2139</v>
      </c>
      <c r="B127" s="3207"/>
      <c r="C127" s="3207"/>
      <c r="D127" s="3247" t="e">
        <f>NUMBERSTRING(INT(D126*10000),2)&amp;"元整"</f>
        <v>#VALUE!</v>
      </c>
      <c r="E127" s="3248"/>
      <c r="F127" s="3248"/>
      <c r="G127" s="3248"/>
      <c r="H127" s="3248"/>
      <c r="I127" s="3249"/>
      <c r="AA127" s="734"/>
    </row>
    <row r="128" spans="1:27" ht="21.75" customHeight="1">
      <c r="A128" s="3257" t="s">
        <v>2140</v>
      </c>
      <c r="B128" s="3257"/>
      <c r="C128" s="3257"/>
      <c r="D128" s="3257"/>
      <c r="E128" s="3257"/>
      <c r="F128" s="3257"/>
      <c r="G128" s="3257"/>
      <c r="H128" s="3257"/>
      <c r="I128" s="3257"/>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9" t="str">
        <f>项目基本情况!B1</f>
        <v>出让国有建设用地使用权及在建建筑物预评估</v>
      </c>
      <c r="C37" s="3089"/>
      <c r="D37" s="3089"/>
      <c r="E37" s="3089"/>
      <c r="F37" s="3089"/>
      <c r="G37" s="3089"/>
      <c r="H37" s="3089"/>
      <c r="I37" s="3089"/>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C4" zoomScale="85" zoomScaleNormal="70" zoomScaleSheetLayoutView="85" workbookViewId="0">
      <selection activeCell="L27" sqref="L27"/>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c r="C1" s="204"/>
      <c r="D1" s="204"/>
      <c r="E1" s="204"/>
      <c r="F1" s="204"/>
      <c r="G1" s="1288">
        <f>MATCH(B1,'数据-取费表'!A6:A16,0)+5</f>
        <v>9</v>
      </c>
    </row>
    <row r="2" spans="1:9" s="206" customFormat="1" ht="18" customHeight="1">
      <c r="A2" s="207" t="s">
        <v>2149</v>
      </c>
      <c r="B2" s="208">
        <f ca="1">IF(D2="——",C52,C52-E2)</f>
        <v>57737</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35180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33002</v>
      </c>
      <c r="D5" s="217" t="s">
        <v>2156</v>
      </c>
      <c r="E5" s="218" t="s">
        <v>2157</v>
      </c>
      <c r="F5" s="218" t="s">
        <v>2158</v>
      </c>
      <c r="G5" s="219"/>
    </row>
    <row r="6" spans="1:9" s="220" customFormat="1" ht="13.5" customHeight="1">
      <c r="A6" s="886" t="s">
        <v>2159</v>
      </c>
      <c r="B6" s="221" t="s">
        <v>2160</v>
      </c>
      <c r="C6" s="222">
        <f>'土地比较法-住宅、综合'!B2</f>
        <v>31946</v>
      </c>
      <c r="D6" s="223"/>
      <c r="E6" s="224"/>
      <c r="F6" s="224"/>
      <c r="G6" s="225"/>
    </row>
    <row r="7" spans="1:9" s="220" customFormat="1" ht="13.5" customHeight="1">
      <c r="A7" s="886" t="s">
        <v>2161</v>
      </c>
      <c r="B7" s="221" t="s">
        <v>2162</v>
      </c>
      <c r="C7" s="226">
        <f>ROUND(C6*F7,0)</f>
        <v>974</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82</v>
      </c>
      <c r="D8" s="228"/>
      <c r="E8" s="226"/>
      <c r="F8" s="227"/>
      <c r="G8" s="2042" t="s">
        <v>3319</v>
      </c>
    </row>
    <row r="9" spans="1:9" s="220" customFormat="1" ht="13.5" customHeight="1">
      <c r="A9" s="887" t="s">
        <v>800</v>
      </c>
      <c r="B9" s="230" t="s">
        <v>2165</v>
      </c>
      <c r="C9" s="231">
        <f ca="1">ROUND(D9*E9/10000,0)</f>
        <v>82</v>
      </c>
      <c r="D9" s="954">
        <f ca="1">IF(B1="",'数据-汇总表'!E5,IF(INDIRECT("'数据-取费表'!c"&amp;$G$1)="住宅",INDIRECT("'数据-取费表'!k"&amp;$G$1),0))</f>
        <v>16412.019999999993</v>
      </c>
      <c r="E9" s="231">
        <f>'数据-取费表'!B27</f>
        <v>50</v>
      </c>
      <c r="F9" s="227"/>
      <c r="G9" s="2043" t="s">
        <v>3320</v>
      </c>
      <c r="H9" s="1299"/>
      <c r="I9" s="2044"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0</v>
      </c>
      <c r="E10" s="231">
        <f>'数据-取费表'!B28</f>
        <v>120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16412.019999999993</v>
      </c>
      <c r="E19" s="217">
        <f>'数据-取费表'!B31</f>
        <v>200</v>
      </c>
      <c r="F19" s="237"/>
      <c r="G19" s="2042" t="s">
        <v>3321</v>
      </c>
    </row>
    <row r="20" spans="1:7" s="220" customFormat="1" ht="13.5" customHeight="1">
      <c r="A20" s="261" t="s">
        <v>2180</v>
      </c>
      <c r="B20" s="216" t="s">
        <v>2181</v>
      </c>
      <c r="C20" s="238">
        <f ca="1">ROUND((C5+C19)*F20,0)</f>
        <v>660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3163</v>
      </c>
      <c r="D22" s="241">
        <f ca="1">C26</f>
        <v>8.9999999999999998E-4</v>
      </c>
      <c r="E22" s="242" t="s">
        <v>2185</v>
      </c>
      <c r="F22" s="243">
        <f ca="1">'数据-取费表'!B40</f>
        <v>3.85E-2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3132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31</v>
      </c>
      <c r="D25" s="244"/>
      <c r="E25" s="247"/>
      <c r="F25" s="245"/>
      <c r="G25" s="248" t="s">
        <v>2197</v>
      </c>
    </row>
    <row r="26" spans="1:7" s="220" customFormat="1">
      <c r="A26" s="888" t="s">
        <v>795</v>
      </c>
      <c r="B26" s="221" t="s">
        <v>2198</v>
      </c>
      <c r="C26" s="244">
        <f ca="1">ROUND(IF('数据-取费表'!B22&lt;=1,F21*F22*'数据-取费表'!B23/2,F21*(POWER((1+F22),'数据-取费表'!B23/2)-1)),4)</f>
        <v>8.9999999999999998E-4</v>
      </c>
      <c r="D26" s="244"/>
      <c r="E26" s="247"/>
      <c r="F26" s="245"/>
      <c r="G26" s="249"/>
    </row>
    <row r="27" spans="1:7" s="220" customFormat="1" ht="24.75">
      <c r="A27" s="261" t="s">
        <v>2199</v>
      </c>
      <c r="B27" s="250" t="s">
        <v>2200</v>
      </c>
      <c r="C27" s="251">
        <f ca="1">C28</f>
        <v>8079</v>
      </c>
      <c r="D27" s="241">
        <f ca="1">C29</f>
        <v>4.7999999999999996E-3</v>
      </c>
      <c r="E27" s="242" t="s">
        <v>2201</v>
      </c>
      <c r="F27" s="252">
        <f ca="1">IF(B1="",'数据-取费表'!Q16,INDIRECT("'数据-取费表'!q"&amp;$G$1))</f>
        <v>0.3</v>
      </c>
      <c r="G27" s="253" t="s">
        <v>2202</v>
      </c>
    </row>
    <row r="28" spans="1:7" s="220" customFormat="1" ht="13.5" customHeight="1">
      <c r="A28" s="888" t="s">
        <v>791</v>
      </c>
      <c r="B28" s="254" t="s">
        <v>2203</v>
      </c>
      <c r="C28" s="255">
        <f ca="1">ROUND((C5+C19+C20)*F27*'数据-取费表'!B21/'数据-取费表'!B20,0)</f>
        <v>8079</v>
      </c>
      <c r="D28" s="241"/>
      <c r="E28" s="242"/>
      <c r="F28" s="252"/>
      <c r="G28" s="253"/>
    </row>
    <row r="29" spans="1:7" s="220" customFormat="1" ht="13.5" customHeight="1">
      <c r="A29" s="888" t="s">
        <v>792</v>
      </c>
      <c r="B29" s="254" t="s">
        <v>2204</v>
      </c>
      <c r="C29" s="244">
        <f ca="1">ROUND(C21*F27*'数据-取费表'!B21/'数据-取费表'!B20,4)</f>
        <v>4.7999999999999996E-3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48756</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6015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5252</v>
      </c>
      <c r="D34" s="223"/>
      <c r="E34" s="226"/>
      <c r="F34" s="263">
        <f ca="1">IF('数据-取费表'!B24=0,1,IF(B1="",'数据-取费表'!N16,INDIRECT("'数据-取费表'!n"&amp;$G$1)))</f>
        <v>0.8</v>
      </c>
      <c r="G34" s="225" t="s">
        <v>2213</v>
      </c>
    </row>
    <row r="35" spans="1:7" ht="13.5" customHeight="1">
      <c r="A35" s="888" t="s">
        <v>796</v>
      </c>
      <c r="B35" s="221" t="s">
        <v>2214</v>
      </c>
      <c r="C35" s="226">
        <f ca="1">ROUND(C34*F35,0)</f>
        <v>158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263</v>
      </c>
      <c r="D36" s="226"/>
      <c r="E36" s="226"/>
      <c r="F36" s="265">
        <f>'数据-取费表'!B34</f>
        <v>0.05</v>
      </c>
      <c r="G36" s="266" t="s">
        <v>2217</v>
      </c>
    </row>
    <row r="37" spans="1:7" s="264" customFormat="1" ht="13.5" customHeight="1">
      <c r="A37" s="888" t="s">
        <v>798</v>
      </c>
      <c r="B37" s="221" t="s">
        <v>2218</v>
      </c>
      <c r="C37" s="255">
        <f ca="1">ROUND(E37*D37*F34/10000,0)</f>
        <v>263</v>
      </c>
      <c r="D37" s="223">
        <f ca="1">D19</f>
        <v>16412.019999999993</v>
      </c>
      <c r="E37" s="255">
        <f>'数据-取费表'!B35</f>
        <v>200</v>
      </c>
      <c r="F37" s="265"/>
      <c r="G37" s="267" t="s">
        <v>2219</v>
      </c>
    </row>
    <row r="38" spans="1:7" ht="13.5" customHeight="1">
      <c r="A38" s="888" t="s">
        <v>799</v>
      </c>
      <c r="B38" s="221" t="s">
        <v>2220</v>
      </c>
      <c r="C38" s="226">
        <f ca="1">ROUND(C34*F38,0)</f>
        <v>79</v>
      </c>
      <c r="D38" s="226"/>
      <c r="E38" s="226"/>
      <c r="F38" s="265">
        <f>'数据-取费表'!B36</f>
        <v>1.4999999999999999E-2</v>
      </c>
      <c r="G38" s="225" t="s">
        <v>2215</v>
      </c>
    </row>
    <row r="39" spans="1:7" s="220" customFormat="1" ht="13.5" customHeight="1">
      <c r="A39" s="261" t="s">
        <v>2221</v>
      </c>
      <c r="B39" s="216" t="s">
        <v>2222</v>
      </c>
      <c r="C39" s="238">
        <f ca="1">ROUND(C33*F20,0)</f>
        <v>120</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285</v>
      </c>
      <c r="D41" s="241">
        <f ca="1">C44</f>
        <v>8.9999999999999998E-4</v>
      </c>
      <c r="E41" s="242" t="s">
        <v>2226</v>
      </c>
      <c r="F41" s="2536">
        <f ca="1">F22</f>
        <v>3.85E-2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279</v>
      </c>
      <c r="D42" s="244"/>
      <c r="E42" s="244"/>
      <c r="F42" s="245"/>
      <c r="G42" s="3290" t="s">
        <v>2231</v>
      </c>
    </row>
    <row r="43" spans="1:7" ht="13.5" customHeight="1">
      <c r="A43" s="888" t="s">
        <v>792</v>
      </c>
      <c r="B43" s="221" t="s">
        <v>2232</v>
      </c>
      <c r="C43" s="244">
        <f ca="1">ROUND(IF('数据-取费表'!B22&lt;=1,C39*F22*'数据-取费表'!B21/2,C39*(POWER((1+F22),'数据-取费表'!B21/2)-1)),0)</f>
        <v>6</v>
      </c>
      <c r="D43" s="244"/>
      <c r="E43" s="244"/>
      <c r="F43" s="245"/>
      <c r="G43" s="3291"/>
    </row>
    <row r="44" spans="1:7" ht="13.5" customHeight="1">
      <c r="A44" s="888" t="s">
        <v>793</v>
      </c>
      <c r="B44" s="221" t="s">
        <v>2233</v>
      </c>
      <c r="C44" s="244">
        <f ca="1">ROUND(IF('数据-取费表'!B22&lt;=1,C40*F22*'数据-取费表'!B21/2,C40*(POWER((1+F22),'数据-取费表'!B21/2)-1)),4)</f>
        <v>8.9999999999999998E-4</v>
      </c>
      <c r="D44" s="244"/>
      <c r="E44" s="244"/>
      <c r="F44" s="245"/>
      <c r="G44" s="3292"/>
    </row>
    <row r="45" spans="1:7" s="220" customFormat="1" ht="13.5" customHeight="1">
      <c r="A45" s="261" t="s">
        <v>2234</v>
      </c>
      <c r="B45" s="250" t="s">
        <v>2200</v>
      </c>
      <c r="C45" s="251">
        <f ca="1">C46</f>
        <v>1841</v>
      </c>
      <c r="D45" s="241">
        <f ca="1">C47</f>
        <v>6.0000000000000001E-3</v>
      </c>
      <c r="E45" s="242" t="s">
        <v>2226</v>
      </c>
      <c r="F45" s="2537">
        <f ca="1">F27</f>
        <v>0.3</v>
      </c>
      <c r="G45" s="253" t="s">
        <v>2235</v>
      </c>
    </row>
    <row r="46" spans="1:7" s="220" customFormat="1" ht="13.5" customHeight="1">
      <c r="A46" s="888" t="s">
        <v>791</v>
      </c>
      <c r="B46" s="254" t="s">
        <v>2236</v>
      </c>
      <c r="C46" s="255">
        <f ca="1">ROUND((C33+C39)*F27,0)</f>
        <v>1841</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1496">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8981</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8981</v>
      </c>
      <c r="D51" s="238"/>
      <c r="E51" s="238"/>
      <c r="F51" s="270"/>
      <c r="G51" s="240" t="s">
        <v>2247</v>
      </c>
    </row>
    <row r="52" spans="1:7" s="214" customFormat="1" ht="16.5" thickBot="1">
      <c r="A52" s="271" t="s">
        <v>2248</v>
      </c>
      <c r="B52" s="272"/>
      <c r="C52" s="273">
        <f ca="1">C31+C51</f>
        <v>57737</v>
      </c>
      <c r="D52" s="272"/>
      <c r="E52" s="272"/>
      <c r="F52" s="272"/>
      <c r="G52" s="274"/>
    </row>
    <row r="55" spans="1:7" ht="15">
      <c r="B55" s="276" t="s">
        <v>2249</v>
      </c>
      <c r="C55" s="277"/>
    </row>
    <row r="56" spans="1:7">
      <c r="B56" s="279" t="s">
        <v>1478</v>
      </c>
      <c r="C56" s="281">
        <f ca="1">1-C57</f>
        <v>0.84399999999999997</v>
      </c>
    </row>
    <row r="57" spans="1:7">
      <c r="B57" s="279" t="s">
        <v>1479</v>
      </c>
      <c r="C57" s="280">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2148</v>
      </c>
      <c r="B1" s="1655"/>
      <c r="C1" s="2045"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11972</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7295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820601</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820601</v>
      </c>
      <c r="D8" s="228"/>
      <c r="E8" s="226"/>
      <c r="F8" s="227"/>
      <c r="G8" s="2042"/>
    </row>
    <row r="9" spans="1:8" s="220" customFormat="1" ht="13.5" customHeight="1">
      <c r="A9" s="887" t="s">
        <v>800</v>
      </c>
      <c r="B9" s="230" t="s">
        <v>2165</v>
      </c>
      <c r="C9" s="231">
        <f ca="1">ROUND(D9*E9,0)</f>
        <v>820601</v>
      </c>
      <c r="D9" s="954">
        <f ca="1">IF(B1="",'数据-汇总表'!E5,IF(INDIRECT("'数据-取费表'!c"&amp;$G$1)="住宅",INDIRECT("'数据-取费表'!k"&amp;$G$1),0))</f>
        <v>16412.019999999993</v>
      </c>
      <c r="E9" s="231">
        <f>'数据-取费表'!B27</f>
        <v>50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0</v>
      </c>
      <c r="E10" s="231">
        <f>'数据-取费表'!B28</f>
        <v>120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3282404</v>
      </c>
      <c r="D19" s="958">
        <f ca="1">D9+D10</f>
        <v>16412.019999999993</v>
      </c>
      <c r="E19" s="217">
        <f>'数据-取费表'!B31</f>
        <v>200</v>
      </c>
      <c r="F19" s="237"/>
      <c r="G19" s="2042"/>
    </row>
    <row r="20" spans="1:7" s="220" customFormat="1" ht="13.5" customHeight="1">
      <c r="A20" s="261" t="s">
        <v>2261</v>
      </c>
      <c r="B20" s="216" t="s">
        <v>2262</v>
      </c>
      <c r="C20" s="238">
        <f ca="1">ROUND((C5+C19)*F20,0)</f>
        <v>82060</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497160</v>
      </c>
      <c r="D22" s="241">
        <f ca="1">C26</f>
        <v>1.1999999999999999E-3</v>
      </c>
      <c r="E22" s="242" t="s">
        <v>2266</v>
      </c>
      <c r="F22" s="243">
        <f ca="1">'数据-取费表'!B40</f>
        <v>3.85E-2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98475</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393901</v>
      </c>
      <c r="D24" s="244"/>
      <c r="E24" s="244"/>
      <c r="F24" s="245"/>
      <c r="G24" s="246" t="s">
        <v>2273</v>
      </c>
    </row>
    <row r="25" spans="1:7" s="220" customFormat="1" ht="24">
      <c r="A25" s="888" t="s">
        <v>2163</v>
      </c>
      <c r="B25" s="221" t="s">
        <v>2274</v>
      </c>
      <c r="C25" s="1290">
        <f ca="1">ROUND(IF('数据-取费表'!B22&lt;=1,C20*F22*'数据-取费表'!B22/2,C20*(POWER((1+F22),'数据-取费表'!B22/2)-1)),0)</f>
        <v>4784</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4.75">
      <c r="A27" s="261" t="s">
        <v>2199</v>
      </c>
      <c r="B27" s="250" t="s">
        <v>2200</v>
      </c>
      <c r="C27" s="251">
        <f ca="1">C28</f>
        <v>1255520</v>
      </c>
      <c r="D27" s="241">
        <f ca="1">C29</f>
        <v>6.0000000000000001E-3</v>
      </c>
      <c r="E27" s="242" t="s">
        <v>2201</v>
      </c>
      <c r="F27" s="252">
        <f ca="1">IF(B1="",'数据-取费表'!Q16,INDIRECT("'数据-取费表'!q"&amp;$G$1))</f>
        <v>0.3</v>
      </c>
      <c r="G27" s="253" t="s">
        <v>2202</v>
      </c>
    </row>
    <row r="28" spans="1:7" s="220" customFormat="1" ht="13.5" customHeight="1">
      <c r="A28" s="888" t="s">
        <v>791</v>
      </c>
      <c r="B28" s="254" t="s">
        <v>2203</v>
      </c>
      <c r="C28" s="255">
        <f ca="1">ROUND((C5+C19+C20)*F27,0)</f>
        <v>1255520</v>
      </c>
      <c r="D28" s="241"/>
      <c r="E28" s="242"/>
      <c r="F28" s="252"/>
      <c r="G28" s="253"/>
    </row>
    <row r="29" spans="1:7" s="220" customFormat="1" ht="13.5" customHeight="1">
      <c r="A29" s="888" t="s">
        <v>792</v>
      </c>
      <c r="B29" s="254" t="s">
        <v>2204</v>
      </c>
      <c r="C29" s="244">
        <f ca="1">ROUND(C21*F27,4)</f>
        <v>6.0000000000000001E-3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6457580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75167051</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65648080</v>
      </c>
      <c r="D34" s="223"/>
      <c r="E34" s="226"/>
      <c r="F34" s="263"/>
      <c r="G34" s="225"/>
    </row>
    <row r="35" spans="1:7" ht="13.5" customHeight="1">
      <c r="A35" s="888" t="s">
        <v>796</v>
      </c>
      <c r="B35" s="221" t="s">
        <v>2214</v>
      </c>
      <c r="C35" s="226">
        <f ca="1">ROUND(C34*F35,0)</f>
        <v>1969442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3282404</v>
      </c>
      <c r="D36" s="226"/>
      <c r="E36" s="226"/>
      <c r="F36" s="265">
        <f>'数据-取费表'!B34</f>
        <v>0.05</v>
      </c>
      <c r="G36" s="266" t="s">
        <v>2217</v>
      </c>
    </row>
    <row r="37" spans="1:7" s="264" customFormat="1" ht="13.5" customHeight="1">
      <c r="A37" s="888" t="s">
        <v>798</v>
      </c>
      <c r="B37" s="221" t="s">
        <v>2218</v>
      </c>
      <c r="C37" s="255">
        <f ca="1">ROUND(E37*D37,0)</f>
        <v>3282404</v>
      </c>
      <c r="D37" s="223">
        <f ca="1">D19</f>
        <v>16412.019999999993</v>
      </c>
      <c r="E37" s="255">
        <f>'数据-取费表'!B35</f>
        <v>200</v>
      </c>
      <c r="F37" s="265"/>
      <c r="G37" s="267"/>
    </row>
    <row r="38" spans="1:7" ht="13.5" customHeight="1">
      <c r="A38" s="888" t="s">
        <v>799</v>
      </c>
      <c r="B38" s="221" t="s">
        <v>2220</v>
      </c>
      <c r="C38" s="226">
        <f ca="1">ROUND(C34*F38,0)</f>
        <v>984721</v>
      </c>
      <c r="D38" s="226"/>
      <c r="E38" s="226"/>
      <c r="F38" s="265">
        <f>'数据-取费表'!B36</f>
        <v>1.4999999999999999E-2</v>
      </c>
      <c r="G38" s="225" t="s">
        <v>2215</v>
      </c>
    </row>
    <row r="39" spans="1:7" s="220" customFormat="1" ht="13.5" customHeight="1">
      <c r="A39" s="261" t="s">
        <v>2221</v>
      </c>
      <c r="B39" s="216" t="s">
        <v>2222</v>
      </c>
      <c r="C39" s="238">
        <f ca="1">ROUND(C33*F20,0)</f>
        <v>1503341</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4470062</v>
      </c>
      <c r="D41" s="241">
        <f ca="1">C44</f>
        <v>1.1999999999999999E-3</v>
      </c>
      <c r="E41" s="242" t="s">
        <v>2226</v>
      </c>
      <c r="F41" s="2536">
        <f ca="1">F22</f>
        <v>3.85E-2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4382414</v>
      </c>
      <c r="D42" s="244"/>
      <c r="E42" s="244"/>
      <c r="F42" s="245"/>
      <c r="G42" s="3290" t="s">
        <v>2278</v>
      </c>
    </row>
    <row r="43" spans="1:7" ht="13.5" customHeight="1">
      <c r="A43" s="888" t="s">
        <v>792</v>
      </c>
      <c r="B43" s="221" t="s">
        <v>2232</v>
      </c>
      <c r="C43" s="244">
        <f ca="1">ROUND(IF('数据-取费表'!B22&lt;=1,C39*F22*'数据-取费表'!B20/2,C39*(POWER((1+F22),'数据-取费表'!B20/2)-1)),0)</f>
        <v>87648</v>
      </c>
      <c r="D43" s="244"/>
      <c r="E43" s="244"/>
      <c r="F43" s="245"/>
      <c r="G43" s="3291"/>
    </row>
    <row r="44" spans="1:7" ht="13.5" customHeight="1">
      <c r="A44" s="888" t="s">
        <v>793</v>
      </c>
      <c r="B44" s="221" t="s">
        <v>2233</v>
      </c>
      <c r="C44" s="244">
        <f ca="1">ROUND(IF('数据-取费表'!B22&lt;=1,C40*F22*'数据-取费表'!B20/2,C40*(POWER((1+F22),'数据-取费表'!B20/2)-1)),4)</f>
        <v>1.1999999999999999E-3</v>
      </c>
      <c r="D44" s="244"/>
      <c r="E44" s="244"/>
      <c r="F44" s="245"/>
      <c r="G44" s="3292"/>
    </row>
    <row r="45" spans="1:7" s="220" customFormat="1" ht="13.5" customHeight="1">
      <c r="A45" s="261" t="s">
        <v>2234</v>
      </c>
      <c r="B45" s="250" t="s">
        <v>2200</v>
      </c>
      <c r="C45" s="251">
        <f ca="1">C46</f>
        <v>23001118</v>
      </c>
      <c r="D45" s="241">
        <f ca="1">C47</f>
        <v>6.0000000000000001E-3</v>
      </c>
      <c r="E45" s="242" t="s">
        <v>2226</v>
      </c>
      <c r="F45" s="2537">
        <f ca="1">F27</f>
        <v>0.3</v>
      </c>
      <c r="G45" s="253" t="s">
        <v>2235</v>
      </c>
    </row>
    <row r="46" spans="1:7" s="220" customFormat="1" ht="13.5" customHeight="1">
      <c r="A46" s="888" t="s">
        <v>791</v>
      </c>
      <c r="B46" s="254" t="s">
        <v>2236</v>
      </c>
      <c r="C46" s="255">
        <f ca="1">ROUND((C33+C39)*F27,0)</f>
        <v>23001118</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113258915</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113258915</v>
      </c>
      <c r="D51" s="238"/>
      <c r="E51" s="238"/>
      <c r="F51" s="270"/>
      <c r="G51" s="240" t="s">
        <v>2247</v>
      </c>
    </row>
    <row r="52" spans="1:7" s="214" customFormat="1" ht="16.5" thickBot="1">
      <c r="A52" s="271" t="s">
        <v>2248</v>
      </c>
      <c r="B52" s="272"/>
      <c r="C52" s="273">
        <f ca="1">C31+C51</f>
        <v>119716495</v>
      </c>
      <c r="D52" s="272"/>
      <c r="E52" s="272"/>
      <c r="F52" s="272"/>
      <c r="G52" s="274"/>
    </row>
    <row r="55" spans="1:7" ht="15">
      <c r="B55" s="276" t="s">
        <v>2249</v>
      </c>
      <c r="C55" s="277"/>
    </row>
    <row r="56" spans="1:7">
      <c r="B56" s="279" t="s">
        <v>1478</v>
      </c>
      <c r="C56" s="281">
        <f ca="1">1-C57</f>
        <v>5.4000000000000048E-2</v>
      </c>
    </row>
    <row r="57" spans="1:7">
      <c r="B57" s="279" t="s">
        <v>1479</v>
      </c>
      <c r="C57" s="280">
        <f ca="1">ROUND(C51/C52,3)</f>
        <v>0.94599999999999995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60" zoomScaleNormal="60" workbookViewId="0">
      <selection activeCell="C47" sqref="C47"/>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31946</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19465</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297" t="s">
        <v>2465</v>
      </c>
      <c r="D4" s="3310"/>
      <c r="E4" s="3311" t="s">
        <v>2466</v>
      </c>
      <c r="F4" s="3312"/>
      <c r="G4" s="3297" t="s">
        <v>2467</v>
      </c>
      <c r="H4" s="3310"/>
      <c r="I4" s="3297" t="s">
        <v>2468</v>
      </c>
      <c r="J4" s="3310"/>
      <c r="K4" s="567" t="s">
        <v>2469</v>
      </c>
      <c r="L4" s="2944"/>
      <c r="M4" s="2945"/>
      <c r="N4" s="2945"/>
      <c r="O4" s="2945"/>
      <c r="P4" s="3313" t="s">
        <v>2470</v>
      </c>
      <c r="Q4" s="3314"/>
      <c r="R4" s="3319" t="s">
        <v>2466</v>
      </c>
      <c r="S4" s="3320"/>
      <c r="T4" s="3319" t="s">
        <v>2467</v>
      </c>
      <c r="U4" s="3320"/>
      <c r="V4" s="3306" t="s">
        <v>2468</v>
      </c>
      <c r="W4" s="3306"/>
      <c r="X4" s="1540"/>
      <c r="Y4" s="3319" t="s">
        <v>2470</v>
      </c>
      <c r="Z4" s="3320"/>
      <c r="AA4" s="3307" t="s">
        <v>2466</v>
      </c>
      <c r="AB4" s="3308" t="s">
        <v>2467</v>
      </c>
      <c r="AC4" s="3307" t="s">
        <v>2468</v>
      </c>
    </row>
    <row r="5" spans="1:30" ht="15">
      <c r="A5" s="364"/>
      <c r="B5" s="365"/>
      <c r="C5" s="3327" t="s">
        <v>2361</v>
      </c>
      <c r="D5" s="3328"/>
      <c r="E5" s="3334" t="str">
        <f>土地案例!A44</f>
        <v>温州市七都片区北单元03-B-22地块</v>
      </c>
      <c r="F5" s="3335"/>
      <c r="G5" s="3327" t="str">
        <f>土地案例!A27</f>
        <v>温州市广化桥路周边D-4-1地块</v>
      </c>
      <c r="H5" s="3328"/>
      <c r="I5" s="3327" t="str">
        <f>土地案例!A31</f>
        <v>温州市核心片区江滨单元垟儿地块</v>
      </c>
      <c r="J5" s="3328"/>
      <c r="K5" s="567"/>
      <c r="L5" s="2944"/>
      <c r="M5" s="2945"/>
      <c r="N5" s="2945"/>
      <c r="O5" s="2945"/>
      <c r="P5" s="3315"/>
      <c r="Q5" s="3316"/>
      <c r="R5" s="3321"/>
      <c r="S5" s="3322"/>
      <c r="T5" s="3321"/>
      <c r="U5" s="3322"/>
      <c r="V5" s="3306"/>
      <c r="W5" s="3306"/>
      <c r="X5" s="1540"/>
      <c r="Y5" s="3321"/>
      <c r="Z5" s="3322"/>
      <c r="AA5" s="3308"/>
      <c r="AB5" s="3308"/>
      <c r="AC5" s="3308"/>
    </row>
    <row r="6" spans="1:30" ht="15.75" thickBot="1">
      <c r="A6" s="366"/>
      <c r="B6" s="367"/>
      <c r="C6" s="3325" t="s">
        <v>2365</v>
      </c>
      <c r="D6" s="3326"/>
      <c r="E6" s="3332" t="s">
        <v>2365</v>
      </c>
      <c r="F6" s="3333"/>
      <c r="G6" s="3325" t="s">
        <v>2365</v>
      </c>
      <c r="H6" s="3326"/>
      <c r="I6" s="3325" t="s">
        <v>2365</v>
      </c>
      <c r="J6" s="3326"/>
      <c r="K6" s="567" t="s">
        <v>2366</v>
      </c>
      <c r="L6" s="2944"/>
      <c r="M6" s="2945"/>
      <c r="N6" s="2945"/>
      <c r="O6" s="2945"/>
      <c r="P6" s="3317"/>
      <c r="Q6" s="3318"/>
      <c r="R6" s="3321"/>
      <c r="S6" s="3322"/>
      <c r="T6" s="3323"/>
      <c r="U6" s="3324"/>
      <c r="V6" s="3306"/>
      <c r="W6" s="3306"/>
      <c r="X6" s="1540"/>
      <c r="Y6" s="3323"/>
      <c r="Z6" s="3324"/>
      <c r="AA6" s="3309"/>
      <c r="AB6" s="3309"/>
      <c r="AC6" s="3309"/>
    </row>
    <row r="7" spans="1:30" s="113" customFormat="1" ht="15.75" thickBot="1">
      <c r="A7" s="368" t="s">
        <v>2367</v>
      </c>
      <c r="B7" s="369"/>
      <c r="C7" s="370">
        <f>'数据-取费表'!B2</f>
        <v>44236</v>
      </c>
      <c r="D7" s="371">
        <v>100</v>
      </c>
      <c r="E7" s="372" t="str">
        <f>土地案例!J44</f>
        <v>2019-04-24</v>
      </c>
      <c r="F7" s="373">
        <f>SUMIF(70:70,YEAR(E7)&amp;"-"&amp;INT((MONTH(E7)+2)/3),71:71)</f>
        <v>93</v>
      </c>
      <c r="G7" s="2160" t="str">
        <f>土地案例!I27</f>
        <v>2019-10-17</v>
      </c>
      <c r="H7" s="371">
        <f>SUMIF(70:70,YEAR(G7)&amp;"-"&amp;INT((MONTH(G7)+2)/3),71:71)</f>
        <v>95</v>
      </c>
      <c r="I7" s="2160" t="str">
        <f>土地案例!J31</f>
        <v>2019-07-15</v>
      </c>
      <c r="J7" s="371">
        <f>SUMIF(70:70,YEAR(I7)&amp;"-"&amp;INT((MONTH(I7)+2)/3),71:71)</f>
        <v>94</v>
      </c>
      <c r="K7" s="568"/>
      <c r="L7" s="2946"/>
      <c r="M7" s="2947"/>
      <c r="N7" s="2947"/>
      <c r="O7" s="2947"/>
      <c r="P7" s="3329" t="s">
        <v>2368</v>
      </c>
      <c r="Q7" s="3331"/>
      <c r="R7" s="710" t="s">
        <v>17</v>
      </c>
      <c r="S7" s="711">
        <f t="shared" ref="S7:S15" si="0">F7</f>
        <v>93</v>
      </c>
      <c r="T7" s="710" t="s">
        <v>17</v>
      </c>
      <c r="U7" s="711">
        <f t="shared" ref="U7:U15" si="1">H7</f>
        <v>95</v>
      </c>
      <c r="V7" s="710" t="s">
        <v>17</v>
      </c>
      <c r="W7" s="711">
        <f t="shared" ref="W7:W15" si="2">J7</f>
        <v>94</v>
      </c>
      <c r="X7" s="712"/>
      <c r="Y7" s="3329" t="s">
        <v>2368</v>
      </c>
      <c r="Z7" s="3330"/>
      <c r="AA7" s="713">
        <f>D7/F7</f>
        <v>1.075268817204301</v>
      </c>
      <c r="AB7" s="713">
        <f>D7/H7</f>
        <v>1.0526315789473684</v>
      </c>
      <c r="AC7" s="713">
        <f>D7/J7</f>
        <v>1.0638297872340425</v>
      </c>
    </row>
    <row r="8" spans="1:30" s="113" customFormat="1" ht="15.75" thickBot="1">
      <c r="A8" s="368" t="s">
        <v>2369</v>
      </c>
      <c r="B8" s="369"/>
      <c r="C8" s="374" t="s">
        <v>2370</v>
      </c>
      <c r="D8" s="371">
        <v>100</v>
      </c>
      <c r="E8" s="374" t="s">
        <v>3317</v>
      </c>
      <c r="F8" s="373">
        <f>SUMIF(73:73,E8,74:74)-SUMIF(73:73,C8,74:74)+100</f>
        <v>100</v>
      </c>
      <c r="G8" s="374" t="s">
        <v>3317</v>
      </c>
      <c r="H8" s="371">
        <f>SUMIF(73:73,G8,74:74)-SUMIF(73:73,C8,74:74)+100</f>
        <v>100</v>
      </c>
      <c r="I8" s="374" t="s">
        <v>3317</v>
      </c>
      <c r="J8" s="371">
        <f>SUMIF(73:73,I8,74:74)-SUMIF(73:73,C8,74:74)+100</f>
        <v>100</v>
      </c>
      <c r="K8" s="568"/>
      <c r="L8" s="2946"/>
      <c r="M8" s="2947"/>
      <c r="N8" s="2947"/>
      <c r="O8" s="2947"/>
      <c r="P8" s="3329" t="s">
        <v>2371</v>
      </c>
      <c r="Q8" s="3330"/>
      <c r="R8" s="710" t="s">
        <v>17</v>
      </c>
      <c r="S8" s="711">
        <f t="shared" si="0"/>
        <v>100</v>
      </c>
      <c r="T8" s="710" t="s">
        <v>17</v>
      </c>
      <c r="U8" s="711">
        <f t="shared" si="1"/>
        <v>100</v>
      </c>
      <c r="V8" s="710" t="s">
        <v>17</v>
      </c>
      <c r="W8" s="711">
        <f t="shared" si="2"/>
        <v>100</v>
      </c>
      <c r="X8" s="712"/>
      <c r="Y8" s="3329" t="s">
        <v>2371</v>
      </c>
      <c r="Z8" s="3330"/>
      <c r="AA8" s="713">
        <f t="shared" ref="AA8:AA45" si="3">D8/F8</f>
        <v>1</v>
      </c>
      <c r="AB8" s="713">
        <f t="shared" ref="AB8:AB45" si="4">D8/H8</f>
        <v>1</v>
      </c>
      <c r="AC8" s="713">
        <f t="shared" ref="AC8:AC45" si="5">D8/J8</f>
        <v>1</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00"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102</v>
      </c>
      <c r="G10" s="422"/>
      <c r="H10" s="132">
        <f>ROUND(100/'数据-取费表'!G16,0)</f>
        <v>102</v>
      </c>
      <c r="I10" s="422"/>
      <c r="J10" s="132">
        <f>ROUND(100/'数据-取费表'!G16,0)</f>
        <v>102</v>
      </c>
      <c r="K10" s="628"/>
      <c r="L10" s="2948"/>
      <c r="M10" s="2949"/>
      <c r="N10" s="2949"/>
      <c r="O10" s="3002"/>
      <c r="P10" s="3300"/>
      <c r="Q10" s="1528" t="str">
        <f t="shared" si="6"/>
        <v>土地使用年限（年）</v>
      </c>
      <c r="R10" s="710" t="s">
        <v>17</v>
      </c>
      <c r="S10" s="711">
        <f t="shared" si="0"/>
        <v>102</v>
      </c>
      <c r="T10" s="710" t="s">
        <v>17</v>
      </c>
      <c r="U10" s="711">
        <f t="shared" si="1"/>
        <v>102</v>
      </c>
      <c r="V10" s="710" t="s">
        <v>17</v>
      </c>
      <c r="W10" s="711">
        <f t="shared" si="2"/>
        <v>102</v>
      </c>
      <c r="X10" s="712"/>
      <c r="Y10" s="3194"/>
      <c r="Z10" s="55" t="str">
        <f t="shared" si="7"/>
        <v>土地使用年限（年）</v>
      </c>
      <c r="AA10" s="713">
        <f t="shared" si="3"/>
        <v>0.98039215686274506</v>
      </c>
      <c r="AB10" s="713">
        <f t="shared" si="4"/>
        <v>0.98039215686274506</v>
      </c>
      <c r="AC10" s="713">
        <f t="shared" si="5"/>
        <v>0.98039215686274506</v>
      </c>
    </row>
    <row r="11" spans="1:30" ht="15">
      <c r="A11" s="387"/>
      <c r="B11" s="381" t="s">
        <v>2377</v>
      </c>
      <c r="C11" s="388">
        <v>1</v>
      </c>
      <c r="D11" s="132">
        <v>100</v>
      </c>
      <c r="E11" s="388">
        <v>2.4</v>
      </c>
      <c r="F11" s="132">
        <f>LOOKUP(E11,80:80,81:81)-LOOKUP(C11,80:80,81:81)+100</f>
        <v>90</v>
      </c>
      <c r="G11" s="389">
        <v>1.8</v>
      </c>
      <c r="H11" s="132">
        <f>LOOKUP(G11,80:80,81:81)-LOOKUP(C11,80:80,81:81)+100</f>
        <v>95</v>
      </c>
      <c r="I11" s="388">
        <v>1.9</v>
      </c>
      <c r="J11" s="132">
        <f>LOOKUP(I11,80:80,81:81)-LOOKUP(C11,80:80,81:81)+100</f>
        <v>95</v>
      </c>
      <c r="K11" s="629">
        <v>5</v>
      </c>
      <c r="L11" s="2950"/>
      <c r="M11" s="2945"/>
      <c r="N11" s="2945"/>
      <c r="O11" s="3003"/>
      <c r="P11" s="3300"/>
      <c r="Q11" s="1528" t="str">
        <f t="shared" si="6"/>
        <v>容积率</v>
      </c>
      <c r="R11" s="710" t="s">
        <v>17</v>
      </c>
      <c r="S11" s="711">
        <f t="shared" si="0"/>
        <v>90</v>
      </c>
      <c r="T11" s="710" t="s">
        <v>17</v>
      </c>
      <c r="U11" s="711">
        <f t="shared" si="1"/>
        <v>95</v>
      </c>
      <c r="V11" s="710" t="s">
        <v>17</v>
      </c>
      <c r="W11" s="711">
        <f t="shared" si="2"/>
        <v>95</v>
      </c>
      <c r="X11" s="712"/>
      <c r="Y11" s="3194"/>
      <c r="Z11" s="55" t="str">
        <f t="shared" si="7"/>
        <v>容积率</v>
      </c>
      <c r="AA11" s="713">
        <f t="shared" si="3"/>
        <v>1.1111111111111112</v>
      </c>
      <c r="AB11" s="713">
        <f t="shared" si="4"/>
        <v>1.0526315789473684</v>
      </c>
      <c r="AC11" s="713">
        <f t="shared" si="5"/>
        <v>1.0526315789473684</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00"/>
      <c r="Q12" s="1528" t="str">
        <f t="shared" si="6"/>
        <v>配建</v>
      </c>
      <c r="R12" s="710" t="s">
        <v>17</v>
      </c>
      <c r="S12" s="711">
        <f t="shared" si="0"/>
        <v>100</v>
      </c>
      <c r="T12" s="710" t="s">
        <v>17</v>
      </c>
      <c r="U12" s="711">
        <f t="shared" si="1"/>
        <v>100</v>
      </c>
      <c r="V12" s="710" t="s">
        <v>17</v>
      </c>
      <c r="W12" s="711">
        <f t="shared" si="2"/>
        <v>100</v>
      </c>
      <c r="X12" s="712"/>
      <c r="Y12" s="319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00"/>
      <c r="Q13" s="1528">
        <f t="shared" si="6"/>
        <v>111</v>
      </c>
      <c r="R13" s="710" t="s">
        <v>17</v>
      </c>
      <c r="S13" s="711">
        <f t="shared" si="0"/>
        <v>100</v>
      </c>
      <c r="T13" s="710" t="s">
        <v>17</v>
      </c>
      <c r="U13" s="711">
        <f t="shared" si="1"/>
        <v>100</v>
      </c>
      <c r="V13" s="710" t="s">
        <v>17</v>
      </c>
      <c r="W13" s="711">
        <f t="shared" si="2"/>
        <v>100</v>
      </c>
      <c r="X13" s="712"/>
      <c r="Y13" s="319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00"/>
      <c r="Q14" s="1528">
        <f t="shared" si="6"/>
        <v>111</v>
      </c>
      <c r="R14" s="710" t="s">
        <v>17</v>
      </c>
      <c r="S14" s="711">
        <f t="shared" si="0"/>
        <v>100</v>
      </c>
      <c r="T14" s="710" t="s">
        <v>17</v>
      </c>
      <c r="U14" s="711">
        <f t="shared" si="1"/>
        <v>100</v>
      </c>
      <c r="V14" s="710" t="s">
        <v>17</v>
      </c>
      <c r="W14" s="711">
        <f t="shared" si="2"/>
        <v>100</v>
      </c>
      <c r="X14" s="712"/>
      <c r="Y14" s="3194"/>
      <c r="Z14" s="55">
        <f t="shared" si="7"/>
        <v>111</v>
      </c>
      <c r="AA14" s="713">
        <f>D14/F14</f>
        <v>1</v>
      </c>
      <c r="AB14" s="713">
        <f>D14/H14</f>
        <v>1</v>
      </c>
      <c r="AC14" s="713">
        <f>D14/J14</f>
        <v>1</v>
      </c>
    </row>
    <row r="15" spans="1:30" ht="99.75">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2" t="s">
        <v>2379</v>
      </c>
      <c r="Q15" s="1537" t="str">
        <f t="shared" si="6"/>
        <v>居住社区成熟度</v>
      </c>
      <c r="R15" s="714" t="s">
        <v>17</v>
      </c>
      <c r="S15" s="715">
        <f t="shared" si="0"/>
        <v>100</v>
      </c>
      <c r="T15" s="714" t="s">
        <v>17</v>
      </c>
      <c r="U15" s="715">
        <f t="shared" si="1"/>
        <v>100</v>
      </c>
      <c r="V15" s="714" t="s">
        <v>17</v>
      </c>
      <c r="W15" s="715">
        <f t="shared" si="2"/>
        <v>100</v>
      </c>
      <c r="X15" s="1540"/>
      <c r="Y15" s="3302" t="s">
        <v>2379</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303"/>
      <c r="Q16" s="1537"/>
      <c r="R16" s="714"/>
      <c r="S16" s="715"/>
      <c r="T16" s="714"/>
      <c r="U16" s="715"/>
      <c r="V16" s="714"/>
      <c r="W16" s="715"/>
      <c r="X16" s="1540"/>
      <c r="Y16" s="3303"/>
      <c r="Z16" s="1541"/>
      <c r="AA16" s="1538">
        <v>1</v>
      </c>
      <c r="AB16" s="1538">
        <v>1</v>
      </c>
      <c r="AC16" s="1538">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03"/>
      <c r="Q17" s="1537" t="str">
        <f>B17</f>
        <v>商业繁华度</v>
      </c>
      <c r="R17" s="714" t="s">
        <v>17</v>
      </c>
      <c r="S17" s="715">
        <f>F17</f>
        <v>100</v>
      </c>
      <c r="T17" s="714" t="s">
        <v>17</v>
      </c>
      <c r="U17" s="715">
        <f>H17</f>
        <v>100</v>
      </c>
      <c r="V17" s="714" t="s">
        <v>17</v>
      </c>
      <c r="W17" s="715">
        <f>J17</f>
        <v>100</v>
      </c>
      <c r="X17" s="1540"/>
      <c r="Y17" s="3303"/>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51"/>
      <c r="M18" s="2945"/>
      <c r="N18" s="2945"/>
      <c r="O18" s="3003"/>
      <c r="P18" s="3303"/>
      <c r="Q18" s="1537"/>
      <c r="R18" s="714"/>
      <c r="S18" s="715"/>
      <c r="T18" s="714"/>
      <c r="U18" s="715"/>
      <c r="V18" s="714"/>
      <c r="W18" s="715"/>
      <c r="X18" s="1540"/>
      <c r="Y18" s="3303"/>
      <c r="Z18" s="1541"/>
      <c r="AA18" s="1538">
        <v>1</v>
      </c>
      <c r="AB18" s="1538">
        <v>1</v>
      </c>
      <c r="AC18" s="1538">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03"/>
      <c r="Q19" s="1537" t="str">
        <f>B19</f>
        <v>办公集聚程度</v>
      </c>
      <c r="R19" s="714" t="s">
        <v>17</v>
      </c>
      <c r="S19" s="715">
        <f>F19</f>
        <v>100</v>
      </c>
      <c r="T19" s="714" t="s">
        <v>17</v>
      </c>
      <c r="U19" s="715">
        <f>H19</f>
        <v>100</v>
      </c>
      <c r="V19" s="714" t="s">
        <v>17</v>
      </c>
      <c r="W19" s="715">
        <f>J19</f>
        <v>100</v>
      </c>
      <c r="X19" s="1540"/>
      <c r="Y19" s="3303"/>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51"/>
      <c r="M20" s="2945"/>
      <c r="N20" s="2945"/>
      <c r="O20" s="3003"/>
      <c r="P20" s="3303"/>
      <c r="Q20" s="1537"/>
      <c r="R20" s="714"/>
      <c r="S20" s="715"/>
      <c r="T20" s="714"/>
      <c r="U20" s="715"/>
      <c r="V20" s="714"/>
      <c r="W20" s="715"/>
      <c r="X20" s="1540"/>
      <c r="Y20" s="3303"/>
      <c r="Z20" s="1541"/>
      <c r="AA20" s="1538">
        <v>1</v>
      </c>
      <c r="AB20" s="1538">
        <v>1</v>
      </c>
      <c r="AC20" s="1538">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03"/>
      <c r="Q21" s="1537" t="str">
        <f>B21</f>
        <v>交通便捷度</v>
      </c>
      <c r="R21" s="714" t="s">
        <v>17</v>
      </c>
      <c r="S21" s="715">
        <f>F21</f>
        <v>100</v>
      </c>
      <c r="T21" s="714" t="s">
        <v>17</v>
      </c>
      <c r="U21" s="715">
        <f>H21</f>
        <v>100</v>
      </c>
      <c r="V21" s="714" t="s">
        <v>17</v>
      </c>
      <c r="W21" s="715">
        <f>J21</f>
        <v>100</v>
      </c>
      <c r="X21" s="1540"/>
      <c r="Y21" s="3303"/>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51"/>
      <c r="M22" s="2945"/>
      <c r="N22" s="2945"/>
      <c r="O22" s="3003"/>
      <c r="P22" s="3303"/>
      <c r="Q22" s="1537"/>
      <c r="R22" s="714"/>
      <c r="S22" s="715"/>
      <c r="T22" s="714"/>
      <c r="U22" s="715"/>
      <c r="V22" s="714"/>
      <c r="W22" s="715"/>
      <c r="X22" s="1540"/>
      <c r="Y22" s="3303"/>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03"/>
      <c r="Q23" s="1537" t="str">
        <f t="shared" ref="Q23:Q37" si="8">B23</f>
        <v>区域土地利用方向</v>
      </c>
      <c r="R23" s="714" t="s">
        <v>17</v>
      </c>
      <c r="S23" s="715">
        <f>F23</f>
        <v>100</v>
      </c>
      <c r="T23" s="714" t="s">
        <v>17</v>
      </c>
      <c r="U23" s="715">
        <f>H23</f>
        <v>100</v>
      </c>
      <c r="V23" s="714" t="s">
        <v>17</v>
      </c>
      <c r="W23" s="715">
        <f>J23</f>
        <v>100</v>
      </c>
      <c r="X23" s="1540"/>
      <c r="Y23" s="3303"/>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303"/>
      <c r="Q24" s="1537"/>
      <c r="R24" s="714"/>
      <c r="S24" s="715"/>
      <c r="T24" s="714"/>
      <c r="U24" s="715"/>
      <c r="V24" s="714"/>
      <c r="W24" s="715"/>
      <c r="X24" s="1540"/>
      <c r="Y24" s="3303"/>
      <c r="Z24" s="1541"/>
      <c r="AA24" s="1538"/>
      <c r="AB24" s="1538"/>
      <c r="AC24" s="1538"/>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03"/>
      <c r="Q25" s="1537" t="str">
        <f t="shared" si="8"/>
        <v>自然及人文环境状况</v>
      </c>
      <c r="R25" s="714" t="s">
        <v>17</v>
      </c>
      <c r="S25" s="715">
        <f>F25</f>
        <v>100</v>
      </c>
      <c r="T25" s="714" t="s">
        <v>17</v>
      </c>
      <c r="U25" s="715">
        <f>H25</f>
        <v>100</v>
      </c>
      <c r="V25" s="714" t="s">
        <v>17</v>
      </c>
      <c r="W25" s="715">
        <f>J25</f>
        <v>100</v>
      </c>
      <c r="X25" s="1540"/>
      <c r="Y25" s="3303"/>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51"/>
      <c r="M26" s="2945"/>
      <c r="N26" s="2945"/>
      <c r="O26" s="3003"/>
      <c r="P26" s="3303"/>
      <c r="Q26" s="1537"/>
      <c r="R26" s="714"/>
      <c r="S26" s="715"/>
      <c r="T26" s="714"/>
      <c r="U26" s="715"/>
      <c r="V26" s="714"/>
      <c r="W26" s="715"/>
      <c r="X26" s="1540"/>
      <c r="Y26" s="3303"/>
      <c r="Z26" s="1541"/>
      <c r="AA26" s="1538">
        <v>1</v>
      </c>
      <c r="AB26" s="1538">
        <v>1</v>
      </c>
      <c r="AC26" s="1538">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03"/>
      <c r="Q27" s="1528" t="str">
        <f t="shared" si="8"/>
        <v>公共配套设施</v>
      </c>
      <c r="R27" s="710" t="s">
        <v>17</v>
      </c>
      <c r="S27" s="711">
        <f>F27</f>
        <v>100</v>
      </c>
      <c r="T27" s="710" t="s">
        <v>17</v>
      </c>
      <c r="U27" s="711">
        <f>H27</f>
        <v>100</v>
      </c>
      <c r="V27" s="710" t="s">
        <v>17</v>
      </c>
      <c r="W27" s="711">
        <f>J27</f>
        <v>100</v>
      </c>
      <c r="X27" s="712"/>
      <c r="Y27" s="3303"/>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6"/>
      <c r="M28" s="2947"/>
      <c r="N28" s="2947"/>
      <c r="O28" s="3001"/>
      <c r="P28" s="3303"/>
      <c r="Q28" s="1528"/>
      <c r="R28" s="710"/>
      <c r="S28" s="711"/>
      <c r="T28" s="710"/>
      <c r="U28" s="711"/>
      <c r="V28" s="710"/>
      <c r="W28" s="711"/>
      <c r="X28" s="712"/>
      <c r="Y28" s="3303"/>
      <c r="Z28" s="55"/>
      <c r="AA28" s="1538">
        <v>1</v>
      </c>
      <c r="AB28" s="1538">
        <v>1</v>
      </c>
      <c r="AC28" s="1538">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03"/>
      <c r="Q29" s="1528" t="str">
        <f t="shared" ref="Q29" si="9">B29</f>
        <v>基础设施水平</v>
      </c>
      <c r="R29" s="710" t="s">
        <v>17</v>
      </c>
      <c r="S29" s="711">
        <f>F29</f>
        <v>100</v>
      </c>
      <c r="T29" s="710" t="s">
        <v>17</v>
      </c>
      <c r="U29" s="711">
        <f>H29</f>
        <v>100</v>
      </c>
      <c r="V29" s="710" t="s">
        <v>17</v>
      </c>
      <c r="W29" s="711">
        <f>J29</f>
        <v>100</v>
      </c>
      <c r="X29" s="712"/>
      <c r="Y29" s="3303"/>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6"/>
      <c r="M30" s="2947"/>
      <c r="N30" s="2947"/>
      <c r="O30" s="3001"/>
      <c r="P30" s="3303"/>
      <c r="Q30" s="1528"/>
      <c r="R30" s="710"/>
      <c r="S30" s="711"/>
      <c r="T30" s="710"/>
      <c r="U30" s="711"/>
      <c r="V30" s="710"/>
      <c r="W30" s="711"/>
      <c r="X30" s="712"/>
      <c r="Y30" s="3303"/>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0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03"/>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03"/>
      <c r="Q32" s="1537" t="str">
        <f t="shared" si="8"/>
        <v>毗邻道路的类型与等级</v>
      </c>
      <c r="R32" s="714" t="s">
        <v>17</v>
      </c>
      <c r="S32" s="715">
        <f t="shared" si="10"/>
        <v>100</v>
      </c>
      <c r="T32" s="714" t="s">
        <v>17</v>
      </c>
      <c r="U32" s="715">
        <f t="shared" si="11"/>
        <v>100</v>
      </c>
      <c r="V32" s="714" t="s">
        <v>17</v>
      </c>
      <c r="W32" s="715">
        <f t="shared" si="12"/>
        <v>100</v>
      </c>
      <c r="X32" s="1540"/>
      <c r="Y32" s="3303"/>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303"/>
      <c r="Q33" s="1537"/>
      <c r="R33" s="714"/>
      <c r="S33" s="715"/>
      <c r="T33" s="714"/>
      <c r="U33" s="715"/>
      <c r="V33" s="714"/>
      <c r="W33" s="715"/>
      <c r="X33" s="1540"/>
      <c r="Y33" s="3303"/>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03"/>
      <c r="Q34" s="1537" t="str">
        <f t="shared" si="8"/>
        <v>土地级别</v>
      </c>
      <c r="R34" s="714" t="s">
        <v>17</v>
      </c>
      <c r="S34" s="715">
        <f t="shared" si="10"/>
        <v>100</v>
      </c>
      <c r="T34" s="714" t="s">
        <v>17</v>
      </c>
      <c r="U34" s="715">
        <f t="shared" si="11"/>
        <v>100</v>
      </c>
      <c r="V34" s="714" t="s">
        <v>17</v>
      </c>
      <c r="W34" s="715">
        <f t="shared" si="12"/>
        <v>100</v>
      </c>
      <c r="X34" s="1540"/>
      <c r="Y34" s="330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03"/>
      <c r="Q35" s="1537">
        <f t="shared" si="8"/>
        <v>111</v>
      </c>
      <c r="R35" s="714" t="s">
        <v>17</v>
      </c>
      <c r="S35" s="715">
        <f t="shared" si="10"/>
        <v>100</v>
      </c>
      <c r="T35" s="714" t="s">
        <v>17</v>
      </c>
      <c r="U35" s="715">
        <f t="shared" si="11"/>
        <v>100</v>
      </c>
      <c r="V35" s="714" t="s">
        <v>17</v>
      </c>
      <c r="W35" s="715">
        <f t="shared" si="12"/>
        <v>100</v>
      </c>
      <c r="X35" s="1540"/>
      <c r="Y35" s="330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04" t="s">
        <v>2384</v>
      </c>
      <c r="Q36" s="1537">
        <f t="shared" si="8"/>
        <v>111</v>
      </c>
      <c r="R36" s="714" t="s">
        <v>17</v>
      </c>
      <c r="S36" s="715">
        <f t="shared" si="10"/>
        <v>100</v>
      </c>
      <c r="T36" s="714" t="s">
        <v>17</v>
      </c>
      <c r="U36" s="715">
        <f t="shared" si="11"/>
        <v>100</v>
      </c>
      <c r="V36" s="714" t="s">
        <v>17</v>
      </c>
      <c r="W36" s="715">
        <f t="shared" si="12"/>
        <v>100</v>
      </c>
      <c r="X36" s="1540"/>
      <c r="Y36" s="3305" t="s">
        <v>2384</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05"/>
      <c r="Q37" s="1537">
        <f t="shared" si="8"/>
        <v>111</v>
      </c>
      <c r="R37" s="717" t="s">
        <v>17</v>
      </c>
      <c r="S37" s="718">
        <f t="shared" si="10"/>
        <v>100</v>
      </c>
      <c r="T37" s="717" t="s">
        <v>17</v>
      </c>
      <c r="U37" s="718">
        <f t="shared" si="11"/>
        <v>100</v>
      </c>
      <c r="V37" s="717" t="s">
        <v>17</v>
      </c>
      <c r="W37" s="718">
        <f t="shared" si="12"/>
        <v>100</v>
      </c>
      <c r="X37" s="719"/>
      <c r="Y37" s="3305"/>
      <c r="Z37" s="720">
        <f t="shared" si="13"/>
        <v>111</v>
      </c>
      <c r="AA37" s="1538">
        <f t="shared" si="3"/>
        <v>1</v>
      </c>
      <c r="AB37" s="1538">
        <f t="shared" si="4"/>
        <v>1</v>
      </c>
      <c r="AC37" s="1538">
        <f t="shared" si="5"/>
        <v>1</v>
      </c>
    </row>
    <row r="38" spans="1:29" ht="15">
      <c r="A38" s="431" t="s">
        <v>2382</v>
      </c>
      <c r="B38" s="415" t="s">
        <v>2570</v>
      </c>
      <c r="C38" s="635">
        <v>64907</v>
      </c>
      <c r="D38" s="426">
        <v>100</v>
      </c>
      <c r="E38" s="635">
        <f>土地案例!D44</f>
        <v>35308.300000000003</v>
      </c>
      <c r="F38" s="426">
        <f>LOOKUP(E38,117:117,118:118)-LOOKUP(C38,117:117,118:118)+100</f>
        <v>98</v>
      </c>
      <c r="G38" s="635">
        <f>土地案例!D27</f>
        <v>21190.9</v>
      </c>
      <c r="H38" s="426">
        <f>LOOKUP(G38,117:117,118:118)-LOOKUP(C38,117:117,118:118)+100</f>
        <v>98</v>
      </c>
      <c r="I38" s="487">
        <f>土地案例!D31</f>
        <v>10274</v>
      </c>
      <c r="J38" s="426">
        <f>LOOKUP(I38,117:117,118:118)-LOOKUP(C38,117:117,118:118)+100</f>
        <v>98</v>
      </c>
      <c r="K38" s="570"/>
      <c r="L38" s="2951"/>
      <c r="M38" s="2945"/>
      <c r="N38" s="2945"/>
      <c r="O38" s="3003"/>
      <c r="P38" s="3305"/>
      <c r="Q38" s="1537" t="str">
        <f>B38</f>
        <v>宗地面积</v>
      </c>
      <c r="R38" s="714" t="s">
        <v>17</v>
      </c>
      <c r="S38" s="715">
        <f t="shared" si="10"/>
        <v>98</v>
      </c>
      <c r="T38" s="714" t="s">
        <v>17</v>
      </c>
      <c r="U38" s="715">
        <f t="shared" si="11"/>
        <v>98</v>
      </c>
      <c r="V38" s="714" t="s">
        <v>17</v>
      </c>
      <c r="W38" s="715">
        <f t="shared" si="12"/>
        <v>98</v>
      </c>
      <c r="X38" s="1540"/>
      <c r="Y38" s="3305"/>
      <c r="Z38" s="1541" t="str">
        <f t="shared" si="13"/>
        <v>宗地面积</v>
      </c>
      <c r="AA38" s="1538">
        <f t="shared" si="3"/>
        <v>1.0204081632653061</v>
      </c>
      <c r="AB38" s="1538">
        <f t="shared" si="4"/>
        <v>1.0204081632653061</v>
      </c>
      <c r="AC38" s="1538">
        <f t="shared" si="5"/>
        <v>1.0204081632653061</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05"/>
      <c r="Q39" s="1537" t="str">
        <f t="shared" ref="Q39:Q45" si="14">B39</f>
        <v>宗地形状</v>
      </c>
      <c r="R39" s="714" t="s">
        <v>17</v>
      </c>
      <c r="S39" s="715">
        <f t="shared" si="10"/>
        <v>100</v>
      </c>
      <c r="T39" s="714" t="s">
        <v>17</v>
      </c>
      <c r="U39" s="715">
        <f t="shared" si="11"/>
        <v>100</v>
      </c>
      <c r="V39" s="714" t="s">
        <v>17</v>
      </c>
      <c r="W39" s="715">
        <f t="shared" si="12"/>
        <v>100</v>
      </c>
      <c r="X39" s="1540"/>
      <c r="Y39" s="3305"/>
      <c r="Z39" s="1541" t="str">
        <f t="shared" si="13"/>
        <v>宗地形状</v>
      </c>
      <c r="AA39" s="1538">
        <f t="shared" si="3"/>
        <v>1</v>
      </c>
      <c r="AB39" s="1538">
        <f t="shared" si="4"/>
        <v>1</v>
      </c>
      <c r="AC39" s="1538">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05"/>
      <c r="Q40" s="1537" t="str">
        <f t="shared" si="14"/>
        <v>临街宽度及深度</v>
      </c>
      <c r="R40" s="714" t="s">
        <v>17</v>
      </c>
      <c r="S40" s="715">
        <f t="shared" si="10"/>
        <v>100</v>
      </c>
      <c r="T40" s="714" t="s">
        <v>17</v>
      </c>
      <c r="U40" s="715">
        <f t="shared" si="11"/>
        <v>100</v>
      </c>
      <c r="V40" s="714" t="s">
        <v>17</v>
      </c>
      <c r="W40" s="715">
        <f t="shared" si="12"/>
        <v>100</v>
      </c>
      <c r="X40" s="1540"/>
      <c r="Y40" s="3305"/>
      <c r="Z40" s="1541" t="str">
        <f t="shared" si="13"/>
        <v>临街宽度及深度</v>
      </c>
      <c r="AA40" s="1538">
        <f t="shared" si="3"/>
        <v>1</v>
      </c>
      <c r="AB40" s="1538">
        <f t="shared" si="4"/>
        <v>1</v>
      </c>
      <c r="AC40" s="1538">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05"/>
      <c r="Q41" s="1537" t="str">
        <f t="shared" si="14"/>
        <v>宗地开发程度</v>
      </c>
      <c r="R41" s="710" t="s">
        <v>17</v>
      </c>
      <c r="S41" s="711">
        <f t="shared" si="10"/>
        <v>100</v>
      </c>
      <c r="T41" s="710" t="s">
        <v>17</v>
      </c>
      <c r="U41" s="711">
        <f t="shared" si="11"/>
        <v>100</v>
      </c>
      <c r="V41" s="710" t="s">
        <v>17</v>
      </c>
      <c r="W41" s="711">
        <f t="shared" si="12"/>
        <v>100</v>
      </c>
      <c r="X41" s="712"/>
      <c r="Y41" s="3305"/>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05" t="s">
        <v>2384</v>
      </c>
      <c r="Q42" s="1537" t="str">
        <f t="shared" si="14"/>
        <v>工程地质条件</v>
      </c>
      <c r="R42" s="714" t="s">
        <v>17</v>
      </c>
      <c r="S42" s="715">
        <f t="shared" si="10"/>
        <v>100</v>
      </c>
      <c r="T42" s="714" t="s">
        <v>17</v>
      </c>
      <c r="U42" s="715">
        <f t="shared" si="11"/>
        <v>100</v>
      </c>
      <c r="V42" s="714" t="s">
        <v>17</v>
      </c>
      <c r="W42" s="715">
        <f t="shared" si="12"/>
        <v>100</v>
      </c>
      <c r="X42" s="1540"/>
      <c r="Y42" s="3305" t="s">
        <v>2384</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05"/>
      <c r="Q43" s="1537">
        <f t="shared" si="14"/>
        <v>111</v>
      </c>
      <c r="R43" s="714" t="s">
        <v>17</v>
      </c>
      <c r="S43" s="715">
        <f t="shared" si="10"/>
        <v>100</v>
      </c>
      <c r="T43" s="714" t="s">
        <v>17</v>
      </c>
      <c r="U43" s="715">
        <f t="shared" si="11"/>
        <v>100</v>
      </c>
      <c r="V43" s="714" t="s">
        <v>17</v>
      </c>
      <c r="W43" s="715">
        <f t="shared" si="12"/>
        <v>100</v>
      </c>
      <c r="X43" s="1540"/>
      <c r="Y43" s="3305"/>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05"/>
      <c r="Q44" s="1537">
        <f t="shared" si="14"/>
        <v>111</v>
      </c>
      <c r="R44" s="714" t="s">
        <v>17</v>
      </c>
      <c r="S44" s="715">
        <f t="shared" si="10"/>
        <v>100</v>
      </c>
      <c r="T44" s="714" t="s">
        <v>17</v>
      </c>
      <c r="U44" s="715">
        <f t="shared" si="11"/>
        <v>100</v>
      </c>
      <c r="V44" s="714" t="s">
        <v>17</v>
      </c>
      <c r="W44" s="715">
        <f t="shared" si="12"/>
        <v>100</v>
      </c>
      <c r="X44" s="1540"/>
      <c r="Y44" s="3305"/>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05"/>
      <c r="Q45" s="1537">
        <f t="shared" si="14"/>
        <v>111</v>
      </c>
      <c r="R45" s="717" t="s">
        <v>17</v>
      </c>
      <c r="S45" s="718">
        <f t="shared" si="10"/>
        <v>100</v>
      </c>
      <c r="T45" s="717" t="s">
        <v>17</v>
      </c>
      <c r="U45" s="718">
        <f t="shared" si="11"/>
        <v>100</v>
      </c>
      <c r="V45" s="717" t="s">
        <v>17</v>
      </c>
      <c r="W45" s="718">
        <f t="shared" si="12"/>
        <v>100</v>
      </c>
      <c r="X45" s="719"/>
      <c r="Y45" s="3305"/>
      <c r="Z45" s="720">
        <f t="shared" si="13"/>
        <v>111</v>
      </c>
      <c r="AA45" s="1538">
        <f t="shared" si="3"/>
        <v>1</v>
      </c>
      <c r="AB45" s="1538">
        <f t="shared" si="4"/>
        <v>1</v>
      </c>
      <c r="AC45" s="1538">
        <f t="shared" si="5"/>
        <v>1</v>
      </c>
    </row>
    <row r="46" spans="1:29" ht="15">
      <c r="A46" s="438" t="s">
        <v>2539</v>
      </c>
      <c r="B46" s="2168" t="s">
        <v>2575</v>
      </c>
      <c r="C46" s="638" t="s">
        <v>1</v>
      </c>
      <c r="D46" s="440"/>
      <c r="E46" s="441">
        <f>土地案例!M44</f>
        <v>13606.34</v>
      </c>
      <c r="F46" s="442"/>
      <c r="G46" s="443">
        <f>土地案例!M27</f>
        <v>16988.34</v>
      </c>
      <c r="H46" s="444"/>
      <c r="I46" s="441">
        <f>土地案例!M31</f>
        <v>20798.54</v>
      </c>
      <c r="J46" s="444"/>
      <c r="K46" s="723"/>
      <c r="L46" s="2953"/>
      <c r="M46" s="2954"/>
      <c r="N46" s="2945"/>
      <c r="O46" s="2954"/>
      <c r="P46" s="3300" t="str">
        <f>A46</f>
        <v>成交单价</v>
      </c>
      <c r="Q46" s="3300"/>
      <c r="R46" s="3306">
        <f>E46</f>
        <v>13606.34</v>
      </c>
      <c r="S46" s="3306"/>
      <c r="T46" s="3306">
        <f>G46</f>
        <v>16988.34</v>
      </c>
      <c r="U46" s="3306"/>
      <c r="V46" s="3306">
        <f>I46</f>
        <v>20798.54</v>
      </c>
      <c r="W46" s="3306"/>
      <c r="X46" s="699"/>
      <c r="Y46" s="721"/>
      <c r="Z46" s="699"/>
      <c r="AA46" s="699"/>
      <c r="AB46" s="699"/>
      <c r="AC46" s="699"/>
    </row>
    <row r="47" spans="1:29" ht="15.75" thickBot="1">
      <c r="A47" s="445" t="s">
        <v>2488</v>
      </c>
      <c r="B47" s="639"/>
      <c r="C47" s="448">
        <f>R48</f>
        <v>19465</v>
      </c>
      <c r="D47" s="2538" t="s">
        <v>2879</v>
      </c>
      <c r="E47" s="448">
        <f>R47</f>
        <v>16263</v>
      </c>
      <c r="F47" s="2539"/>
      <c r="G47" s="447">
        <f>T47</f>
        <v>18831</v>
      </c>
      <c r="H47" s="2539"/>
      <c r="I47" s="448">
        <f>V47</f>
        <v>23300</v>
      </c>
      <c r="J47" s="2539"/>
      <c r="K47" s="2541">
        <f>F47+H47+J47</f>
        <v>0</v>
      </c>
      <c r="L47" s="2953"/>
      <c r="M47" s="2954"/>
      <c r="N47" s="2954"/>
      <c r="O47" s="2954"/>
      <c r="P47" s="3300" t="str">
        <f>A47</f>
        <v>比较价值（元/平方米）</v>
      </c>
      <c r="Q47" s="3300"/>
      <c r="R47" s="3293">
        <f>ROUND(PRODUCT(R46,AA7:AA45),0)</f>
        <v>16263</v>
      </c>
      <c r="S47" s="3293"/>
      <c r="T47" s="3293">
        <f>ROUND(PRODUCT(T46,AB7:AB45),0)</f>
        <v>18831</v>
      </c>
      <c r="U47" s="3293"/>
      <c r="V47" s="3293">
        <f>ROUND(PRODUCT(V46,AC7:AC45),0)</f>
        <v>23300</v>
      </c>
      <c r="W47" s="3293"/>
      <c r="X47" s="699"/>
      <c r="Y47" s="699"/>
      <c r="Z47" s="699"/>
      <c r="AA47" s="699"/>
      <c r="AB47" s="699"/>
      <c r="AC47" s="699"/>
    </row>
    <row r="48" spans="1:29" ht="15.75" thickBot="1">
      <c r="A48" s="449" t="s">
        <v>2576</v>
      </c>
      <c r="B48" s="450"/>
      <c r="C48" s="451">
        <f>R48</f>
        <v>19465</v>
      </c>
      <c r="D48" s="451"/>
      <c r="E48" s="451"/>
      <c r="F48" s="451"/>
      <c r="G48" s="451"/>
      <c r="H48" s="451"/>
      <c r="I48" s="451"/>
      <c r="J48" s="451"/>
      <c r="K48" s="724"/>
      <c r="L48" s="2953"/>
      <c r="M48" s="2954"/>
      <c r="N48" s="2954"/>
      <c r="O48" s="2954"/>
      <c r="P48" s="3294" t="str">
        <f>A48</f>
        <v>估价对象XX用房的比较价值（楼面单价，元/平方米）</v>
      </c>
      <c r="Q48" s="3295"/>
      <c r="R48" s="3296">
        <f>ROUND(IF(D47="简单平均",AVERAGE(R47:W47),R47*F47+T47*H47+V47*J47),0)</f>
        <v>19465</v>
      </c>
      <c r="S48" s="3296"/>
      <c r="T48" s="3296"/>
      <c r="U48" s="3296"/>
      <c r="V48" s="3296"/>
      <c r="W48" s="329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f>IF(E46&lt;E47,E47/E46-1,E46/E47-1)</f>
        <v>0.19525162534524343</v>
      </c>
      <c r="F51" s="457" t="str">
        <f>IF(OR(E51&gt;=0.3,E51&lt;=-0.3),"超过30%","")</f>
        <v/>
      </c>
      <c r="G51" s="456">
        <f>IF(G46&lt;G47,G47/G46-1,G46/G47-1)</f>
        <v>0.10846615973073304</v>
      </c>
      <c r="H51" s="457" t="str">
        <f>IF(OR(G51&gt;=0.3,G51&lt;=-0.3),"超过30%","")</f>
        <v/>
      </c>
      <c r="I51" s="456">
        <f>IF(I46&lt;I47,I47/I46-1,I46/I47-1)</f>
        <v>0.12027094209497391</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f>IF(E47&lt;G47,G47/E47-1,E47/G47-1)</f>
        <v>0.15790444567422979</v>
      </c>
      <c r="F52" s="457" t="str">
        <f>IF(OR(E52&gt;=0.2,E52&lt;=-0.2),"超过20%","")</f>
        <v/>
      </c>
      <c r="G52" s="456">
        <f>IF(G47&lt;I47,I47/G47-1,G47/I47-1)</f>
        <v>0.2373214380542723</v>
      </c>
      <c r="H52" s="457" t="str">
        <f>IF(OR(G52&gt;=0.2,G52&lt;=-0.2),"超过20%","")</f>
        <v>超过20%</v>
      </c>
      <c r="I52" s="456">
        <f>IF(I47&lt;E47,E47/I47-1,I47/E47-1)</f>
        <v>0.43269999385107294</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f>IF(E46&lt;G46,G46/E46-1,E46/G46-1)</f>
        <v>0.24856059748617199</v>
      </c>
      <c r="F53" s="457" t="str">
        <f>IF(OR(E53&gt;=0.3,E53&lt;=-0.3),"超过30%","")</f>
        <v/>
      </c>
      <c r="G53" s="456">
        <f>IF(G46&lt;I46,I46/G46-1,G46/I46-1)</f>
        <v>0.22428324368360886</v>
      </c>
      <c r="H53" s="457" t="str">
        <f>IF(OR(G53&gt;=0.3,G53&lt;=-0.3),"超过30%","")</f>
        <v/>
      </c>
      <c r="I53" s="456">
        <f>IF(I46&lt;E46,E46/I46-1,I46/E46-1)</f>
        <v>0.52859181822591528</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69" t="s">
        <v>2579</v>
      </c>
      <c r="D55" s="2170" t="s">
        <v>2580</v>
      </c>
      <c r="E55" s="642" t="s">
        <v>2581</v>
      </c>
      <c r="F55" s="1021" t="s">
        <v>2582</v>
      </c>
      <c r="G55" s="3297" t="s">
        <v>2583</v>
      </c>
      <c r="H55" s="3298"/>
      <c r="I55" s="140" t="s">
        <v>2584</v>
      </c>
      <c r="J55" s="2171">
        <f>项目基本情况!F35</f>
        <v>0</v>
      </c>
      <c r="K55" s="2172"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f>C48</f>
        <v>19465</v>
      </c>
      <c r="C56" s="646">
        <v>1</v>
      </c>
      <c r="D56" s="1075">
        <v>1</v>
      </c>
      <c r="E56" s="646">
        <f>'数据-汇总表'!E8+'数据-汇总表'!E9</f>
        <v>16412.019999999993</v>
      </c>
      <c r="F56" s="1017">
        <f t="shared" ref="F56:F65" si="15">ROUND(B56*E56/10000,0)</f>
        <v>31946</v>
      </c>
      <c r="G56" s="3299"/>
      <c r="H56" s="330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f>ROUND($C$48*C57*D57,0)</f>
        <v>0</v>
      </c>
      <c r="C57" s="176">
        <f t="shared" ref="C57:C65" si="16">IF($C$55="北京市系数",I57,J57)</f>
        <v>0</v>
      </c>
      <c r="D57" s="1076">
        <v>0.25</v>
      </c>
      <c r="E57" s="650"/>
      <c r="F57" s="1017">
        <f t="shared" si="15"/>
        <v>0</v>
      </c>
      <c r="G57" s="3301"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f t="shared" ref="B58:B65" si="17">ROUND($C$48*C58*D58,0)</f>
        <v>0</v>
      </c>
      <c r="C58" s="176">
        <f t="shared" si="16"/>
        <v>0</v>
      </c>
      <c r="D58" s="1076">
        <v>0.25</v>
      </c>
      <c r="E58" s="650"/>
      <c r="F58" s="1017">
        <f t="shared" si="15"/>
        <v>0</v>
      </c>
      <c r="G58" s="330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f t="shared" si="17"/>
        <v>0</v>
      </c>
      <c r="C59" s="176">
        <f t="shared" si="16"/>
        <v>0</v>
      </c>
      <c r="D59" s="1076">
        <v>0.25</v>
      </c>
      <c r="E59" s="650"/>
      <c r="F59" s="1017">
        <f t="shared" si="15"/>
        <v>0</v>
      </c>
      <c r="G59" s="330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f t="shared" si="17"/>
        <v>0</v>
      </c>
      <c r="C60" s="176">
        <f t="shared" si="16"/>
        <v>0</v>
      </c>
      <c r="D60" s="1076">
        <v>0.25</v>
      </c>
      <c r="E60" s="650"/>
      <c r="F60" s="1017">
        <f t="shared" si="15"/>
        <v>0</v>
      </c>
      <c r="G60" s="330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f t="shared" si="17"/>
        <v>0</v>
      </c>
      <c r="C61" s="176">
        <f t="shared" si="16"/>
        <v>0</v>
      </c>
      <c r="D61" s="1076">
        <v>0.25</v>
      </c>
      <c r="E61" s="223">
        <f>'数据-汇总表'!E11</f>
        <v>0</v>
      </c>
      <c r="F61" s="1017">
        <f t="shared" si="15"/>
        <v>0</v>
      </c>
      <c r="G61" s="2173"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f t="shared" si="17"/>
        <v>0</v>
      </c>
      <c r="C64" s="176">
        <f t="shared" si="16"/>
        <v>0</v>
      </c>
      <c r="D64" s="1076">
        <v>0.25</v>
      </c>
      <c r="E64" s="223">
        <f>'数据-汇总表'!E14</f>
        <v>0</v>
      </c>
      <c r="F64" s="1017">
        <f t="shared" si="15"/>
        <v>0</v>
      </c>
      <c r="G64" s="2173"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f t="shared" si="17"/>
        <v>0</v>
      </c>
      <c r="C65" s="176">
        <f t="shared" si="16"/>
        <v>0</v>
      </c>
      <c r="D65" s="1076">
        <v>0.25</v>
      </c>
      <c r="E65" s="223">
        <f>'数据-汇总表'!E15</f>
        <v>0</v>
      </c>
      <c r="F65" s="1017">
        <f t="shared" si="15"/>
        <v>0</v>
      </c>
      <c r="G65" s="2174"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16412.019999999993</v>
      </c>
      <c r="F66" s="653">
        <f>IF(B46="楼面地价",SUM(F56:F65),ROUND(C48*E66/10000,0))</f>
        <v>31946</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2602</v>
      </c>
      <c r="B71" s="294" t="str">
        <f>"北京市平均增长率"&amp;TEXT(SUMIF(基准地价修正!N21:N25,A71,基准地价修正!P21:P25),"0.00%")</f>
        <v>北京市平均增长率1.85%</v>
      </c>
      <c r="C71" s="560">
        <v>100</v>
      </c>
      <c r="D71" s="552">
        <f>C71-1</f>
        <v>99</v>
      </c>
      <c r="E71" s="552">
        <f t="shared" ref="E71:M71" si="20">D71-1</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2369</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2373</v>
      </c>
      <c r="C75" s="3086" t="s">
        <v>3318</v>
      </c>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2376</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2377</v>
      </c>
      <c r="C79" s="504" t="str">
        <f>C80&amp;"（含）"&amp;"-"&amp;D80</f>
        <v>0（含）-1</v>
      </c>
      <c r="D79" s="504" t="str">
        <f t="shared" ref="D79:L79" si="21">D80&amp;"（含）"&amp;"-"&amp;E80</f>
        <v>1（含）-1.5</v>
      </c>
      <c r="E79" s="504" t="str">
        <f t="shared" si="21"/>
        <v>1.5（含）-2</v>
      </c>
      <c r="F79" s="504" t="str">
        <f t="shared" si="21"/>
        <v>2（含）-2.5</v>
      </c>
      <c r="G79" s="504" t="str">
        <f t="shared" si="21"/>
        <v>2.5（含）-3</v>
      </c>
      <c r="H79" s="504" t="str">
        <f t="shared" si="21"/>
        <v>3（含）-</v>
      </c>
      <c r="I79" s="504" t="str">
        <f t="shared" si="21"/>
        <v>（含）-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1.5</v>
      </c>
      <c r="F80" s="506">
        <v>2</v>
      </c>
      <c r="G80" s="506">
        <v>2.5</v>
      </c>
      <c r="H80" s="506">
        <v>3</v>
      </c>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95</v>
      </c>
      <c r="E81" s="501">
        <f t="shared" si="22"/>
        <v>90</v>
      </c>
      <c r="F81" s="501">
        <f t="shared" si="22"/>
        <v>85</v>
      </c>
      <c r="G81" s="501">
        <f t="shared" si="22"/>
        <v>80</v>
      </c>
      <c r="H81" s="501">
        <f t="shared" si="22"/>
        <v>75</v>
      </c>
      <c r="I81" s="501">
        <f t="shared" si="22"/>
        <v>70</v>
      </c>
      <c r="J81" s="501">
        <f t="shared" si="22"/>
        <v>65</v>
      </c>
      <c r="K81" s="501">
        <f t="shared" si="22"/>
        <v>60</v>
      </c>
      <c r="L81" s="501">
        <f t="shared" si="22"/>
        <v>55</v>
      </c>
      <c r="M81" s="501">
        <f t="shared" si="22"/>
        <v>50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2378</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2382</v>
      </c>
      <c r="B116" s="485" t="s">
        <v>2610</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v>200000</v>
      </c>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96</v>
      </c>
      <c r="D118" s="548">
        <v>98</v>
      </c>
      <c r="E118" s="548">
        <v>100</v>
      </c>
      <c r="F118" s="548">
        <v>98</v>
      </c>
      <c r="G118" s="548">
        <v>96</v>
      </c>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1"/>
  <sheetViews>
    <sheetView tabSelected="1" zoomScale="85" zoomScaleNormal="85" workbookViewId="0">
      <selection activeCell="M27" sqref="M27"/>
    </sheetView>
  </sheetViews>
  <sheetFormatPr defaultRowHeight="13.5"/>
  <cols>
    <col min="6" max="6" width="28.625" customWidth="1"/>
    <col min="10" max="10" width="14.5" customWidth="1"/>
  </cols>
  <sheetData>
    <row r="1" spans="1:16">
      <c r="A1" s="3081" t="s">
        <v>3095</v>
      </c>
      <c r="B1" s="3081" t="s">
        <v>3096</v>
      </c>
      <c r="C1" s="3081" t="s">
        <v>3097</v>
      </c>
      <c r="D1" s="3081" t="s">
        <v>3098</v>
      </c>
      <c r="E1" s="3081" t="s">
        <v>3099</v>
      </c>
      <c r="F1" s="3081" t="s">
        <v>3100</v>
      </c>
      <c r="G1" s="3081" t="s">
        <v>3101</v>
      </c>
      <c r="H1" s="3081" t="s">
        <v>3102</v>
      </c>
      <c r="I1" s="3081" t="s">
        <v>3103</v>
      </c>
      <c r="J1" s="3081" t="s">
        <v>3104</v>
      </c>
      <c r="K1" s="3081" t="s">
        <v>3105</v>
      </c>
      <c r="L1" s="3081" t="s">
        <v>3106</v>
      </c>
      <c r="M1" s="3081" t="s">
        <v>3107</v>
      </c>
      <c r="N1" s="3081" t="s">
        <v>3108</v>
      </c>
      <c r="O1" s="3081" t="s">
        <v>3109</v>
      </c>
      <c r="P1" s="3081" t="s">
        <v>3110</v>
      </c>
    </row>
    <row r="2" spans="1:16">
      <c r="A2" s="3081" t="s">
        <v>3111</v>
      </c>
      <c r="B2" s="3081" t="s">
        <v>3112</v>
      </c>
      <c r="C2" s="3081" t="s">
        <v>3113</v>
      </c>
      <c r="D2" s="3081">
        <v>11746.2</v>
      </c>
      <c r="E2" s="3081">
        <v>35238.6</v>
      </c>
      <c r="F2" s="3081" t="s">
        <v>3114</v>
      </c>
      <c r="G2" s="3081" t="s">
        <v>3115</v>
      </c>
      <c r="H2" s="3081" t="s">
        <v>3116</v>
      </c>
      <c r="I2" s="3081" t="s">
        <v>3117</v>
      </c>
      <c r="J2" s="3081" t="s">
        <v>3117</v>
      </c>
      <c r="K2" s="3081">
        <v>23600</v>
      </c>
      <c r="L2" s="3081">
        <v>28700</v>
      </c>
      <c r="M2" s="3081">
        <v>8144.47</v>
      </c>
      <c r="N2" s="3081">
        <v>21.61</v>
      </c>
      <c r="O2" s="3081" t="s">
        <v>3118</v>
      </c>
      <c r="P2" s="3081" t="s">
        <v>3119</v>
      </c>
    </row>
    <row r="3" spans="1:16">
      <c r="A3" s="3081" t="s">
        <v>3120</v>
      </c>
      <c r="B3" s="3081" t="s">
        <v>3112</v>
      </c>
      <c r="C3" s="3081" t="s">
        <v>3113</v>
      </c>
      <c r="D3" s="3081">
        <v>3867.59</v>
      </c>
      <c r="E3" s="3081">
        <v>7735.18</v>
      </c>
      <c r="F3" s="3081" t="s">
        <v>3121</v>
      </c>
      <c r="G3" s="3081" t="s">
        <v>3115</v>
      </c>
      <c r="H3" s="3081" t="s">
        <v>3116</v>
      </c>
      <c r="I3" s="3081" t="s">
        <v>3117</v>
      </c>
      <c r="J3" s="3081" t="s">
        <v>3117</v>
      </c>
      <c r="K3" s="3081">
        <v>4900</v>
      </c>
      <c r="L3" s="3081">
        <v>5200</v>
      </c>
      <c r="M3" s="3081">
        <v>6722.52</v>
      </c>
      <c r="N3" s="3081">
        <v>6.12</v>
      </c>
      <c r="O3" s="3081" t="s">
        <v>3118</v>
      </c>
      <c r="P3" s="3081" t="s">
        <v>3119</v>
      </c>
    </row>
    <row r="4" spans="1:16" s="3085" customFormat="1">
      <c r="A4" s="3084" t="s">
        <v>3122</v>
      </c>
      <c r="B4" s="3084" t="s">
        <v>3112</v>
      </c>
      <c r="C4" s="3084" t="s">
        <v>3113</v>
      </c>
      <c r="D4" s="3084">
        <v>27350.639999999999</v>
      </c>
      <c r="E4" s="3084">
        <v>76855.3</v>
      </c>
      <c r="F4" s="3084" t="s">
        <v>3123</v>
      </c>
      <c r="G4" s="3084" t="s">
        <v>3115</v>
      </c>
      <c r="H4" s="3084" t="s">
        <v>3124</v>
      </c>
      <c r="I4" s="3084" t="s">
        <v>3125</v>
      </c>
      <c r="J4" s="3084" t="s">
        <v>3125</v>
      </c>
      <c r="K4" s="3084">
        <v>94300</v>
      </c>
      <c r="L4" s="3084">
        <v>122500</v>
      </c>
      <c r="M4" s="3084">
        <v>15939.04</v>
      </c>
      <c r="N4" s="3084">
        <v>29.9</v>
      </c>
      <c r="O4" s="3084" t="s">
        <v>3126</v>
      </c>
      <c r="P4" s="3084" t="s">
        <v>3119</v>
      </c>
    </row>
    <row r="5" spans="1:16">
      <c r="A5" s="3081" t="s">
        <v>3127</v>
      </c>
      <c r="B5" s="3081" t="s">
        <v>3112</v>
      </c>
      <c r="C5" s="3081" t="s">
        <v>3113</v>
      </c>
      <c r="D5" s="3081">
        <v>24496.54</v>
      </c>
      <c r="E5" s="3081">
        <v>61241.35</v>
      </c>
      <c r="F5" s="3081" t="s">
        <v>3128</v>
      </c>
      <c r="G5" s="3081" t="s">
        <v>3115</v>
      </c>
      <c r="H5" s="3081" t="s">
        <v>3129</v>
      </c>
      <c r="I5" s="3081" t="s">
        <v>3130</v>
      </c>
      <c r="J5" s="3081" t="s">
        <v>3130</v>
      </c>
      <c r="K5" s="3081">
        <v>23900</v>
      </c>
      <c r="L5" s="3081">
        <v>32600</v>
      </c>
      <c r="M5" s="3081">
        <v>5323.19</v>
      </c>
      <c r="N5" s="3081">
        <v>36.4</v>
      </c>
      <c r="O5" s="3081" t="s">
        <v>3131</v>
      </c>
      <c r="P5" s="3081" t="s">
        <v>3132</v>
      </c>
    </row>
    <row r="6" spans="1:16">
      <c r="A6" s="3081" t="s">
        <v>3133</v>
      </c>
      <c r="B6" s="3081" t="s">
        <v>3112</v>
      </c>
      <c r="C6" s="3081" t="s">
        <v>3113</v>
      </c>
      <c r="D6" s="3081">
        <v>23166.57</v>
      </c>
      <c r="E6" s="3081">
        <v>67183.05</v>
      </c>
      <c r="F6" s="3081" t="s">
        <v>3134</v>
      </c>
      <c r="G6" s="3081" t="s">
        <v>3115</v>
      </c>
      <c r="H6" s="3081" t="s">
        <v>3135</v>
      </c>
      <c r="I6" s="3081" t="s">
        <v>3136</v>
      </c>
      <c r="J6" s="3081" t="s">
        <v>3136</v>
      </c>
      <c r="K6" s="3081">
        <v>26300</v>
      </c>
      <c r="L6" s="3081">
        <v>35900</v>
      </c>
      <c r="M6" s="3081">
        <v>5343.6</v>
      </c>
      <c r="N6" s="3081">
        <v>36.5</v>
      </c>
      <c r="O6" s="3081" t="s">
        <v>3118</v>
      </c>
      <c r="P6" s="3081" t="s">
        <v>3132</v>
      </c>
    </row>
    <row r="7" spans="1:16">
      <c r="A7" s="3081" t="s">
        <v>3137</v>
      </c>
      <c r="B7" s="3081" t="s">
        <v>3112</v>
      </c>
      <c r="C7" s="3081" t="s">
        <v>3113</v>
      </c>
      <c r="D7" s="3081">
        <v>78075.77</v>
      </c>
      <c r="E7" s="3081">
        <v>156151.54</v>
      </c>
      <c r="F7" s="3081" t="s">
        <v>3138</v>
      </c>
      <c r="G7" s="3081" t="s">
        <v>3115</v>
      </c>
      <c r="H7" s="3081" t="s">
        <v>3139</v>
      </c>
      <c r="I7" s="3081" t="s">
        <v>3140</v>
      </c>
      <c r="J7" s="3081" t="s">
        <v>3140</v>
      </c>
      <c r="K7" s="3081">
        <v>17200</v>
      </c>
      <c r="L7" s="3081">
        <v>17200</v>
      </c>
      <c r="M7" s="3081">
        <v>1101.49</v>
      </c>
      <c r="N7" s="3081">
        <v>0</v>
      </c>
      <c r="O7" s="3081" t="s">
        <v>3141</v>
      </c>
      <c r="P7" s="3081" t="s">
        <v>3142</v>
      </c>
    </row>
    <row r="8" spans="1:16">
      <c r="A8" s="3081" t="s">
        <v>3143</v>
      </c>
      <c r="B8" s="3081" t="s">
        <v>3112</v>
      </c>
      <c r="C8" s="3081" t="s">
        <v>3113</v>
      </c>
      <c r="D8" s="3081">
        <v>47989.71</v>
      </c>
      <c r="E8" s="3081">
        <v>170843.37</v>
      </c>
      <c r="F8" s="3081" t="s">
        <v>3144</v>
      </c>
      <c r="G8" s="3081" t="s">
        <v>3115</v>
      </c>
      <c r="H8" s="3081" t="s">
        <v>3145</v>
      </c>
      <c r="I8" s="3081" t="s">
        <v>3146</v>
      </c>
      <c r="J8" s="3081" t="s">
        <v>3146</v>
      </c>
      <c r="K8" s="3081">
        <v>127000</v>
      </c>
      <c r="L8" s="3081">
        <v>145600</v>
      </c>
      <c r="M8" s="3081">
        <v>8522.43</v>
      </c>
      <c r="N8" s="3081">
        <v>14.65</v>
      </c>
      <c r="O8" s="3081" t="s">
        <v>3147</v>
      </c>
      <c r="P8" s="3081" t="s">
        <v>3119</v>
      </c>
    </row>
    <row r="9" spans="1:16">
      <c r="A9" s="3081" t="s">
        <v>3148</v>
      </c>
      <c r="B9" s="3081" t="s">
        <v>3112</v>
      </c>
      <c r="C9" s="3081" t="s">
        <v>3113</v>
      </c>
      <c r="D9" s="3081">
        <v>10091.92</v>
      </c>
      <c r="E9" s="3081">
        <v>19174.650000000001</v>
      </c>
      <c r="F9" s="3081" t="s">
        <v>3149</v>
      </c>
      <c r="G9" s="3081" t="s">
        <v>3115</v>
      </c>
      <c r="H9" s="3081" t="s">
        <v>3145</v>
      </c>
      <c r="I9" s="3081" t="s">
        <v>3150</v>
      </c>
      <c r="J9" s="3081" t="s">
        <v>3150</v>
      </c>
      <c r="K9" s="3081">
        <v>6000</v>
      </c>
      <c r="L9" s="3081">
        <v>7200</v>
      </c>
      <c r="M9" s="3081">
        <v>3754.96</v>
      </c>
      <c r="N9" s="3081">
        <v>20</v>
      </c>
      <c r="O9" s="3081" t="s">
        <v>3151</v>
      </c>
      <c r="P9" s="3081" t="s">
        <v>3142</v>
      </c>
    </row>
    <row r="10" spans="1:16">
      <c r="A10" s="3081" t="s">
        <v>3143</v>
      </c>
      <c r="B10" s="3081" t="s">
        <v>3112</v>
      </c>
      <c r="C10" s="3081" t="s">
        <v>3113</v>
      </c>
      <c r="D10" s="3081">
        <v>12244</v>
      </c>
      <c r="E10" s="3081">
        <v>34405.64</v>
      </c>
      <c r="F10" s="3081" t="s">
        <v>3152</v>
      </c>
      <c r="G10" s="3081" t="s">
        <v>3115</v>
      </c>
      <c r="H10" s="3081" t="s">
        <v>3145</v>
      </c>
      <c r="I10" s="3081" t="s">
        <v>3153</v>
      </c>
      <c r="J10" s="3081" t="s">
        <v>3153</v>
      </c>
      <c r="K10" s="3081">
        <v>55050</v>
      </c>
      <c r="L10" s="3081">
        <v>71550</v>
      </c>
      <c r="M10" s="3081">
        <v>20796</v>
      </c>
      <c r="N10" s="3081">
        <v>29.97</v>
      </c>
      <c r="O10" s="3081" t="s">
        <v>3154</v>
      </c>
      <c r="P10" s="3081" t="s">
        <v>3119</v>
      </c>
    </row>
    <row r="11" spans="1:16" s="3085" customFormat="1">
      <c r="A11" s="3084" t="s">
        <v>3155</v>
      </c>
      <c r="B11" s="3084" t="s">
        <v>3112</v>
      </c>
      <c r="C11" s="3084" t="s">
        <v>3113</v>
      </c>
      <c r="D11" s="3084">
        <v>48728.55</v>
      </c>
      <c r="E11" s="3084">
        <v>136439.94</v>
      </c>
      <c r="F11" s="3084" t="s">
        <v>3156</v>
      </c>
      <c r="G11" s="3084" t="s">
        <v>3115</v>
      </c>
      <c r="H11" s="3084" t="s">
        <v>3157</v>
      </c>
      <c r="I11" s="3084" t="s">
        <v>3158</v>
      </c>
      <c r="J11" s="3084" t="s">
        <v>3158</v>
      </c>
      <c r="K11" s="3084">
        <v>240000</v>
      </c>
      <c r="L11" s="3084">
        <v>360000</v>
      </c>
      <c r="M11" s="3084">
        <v>26385.24</v>
      </c>
      <c r="N11" s="3084">
        <v>50</v>
      </c>
      <c r="O11" s="3084" t="s">
        <v>3159</v>
      </c>
      <c r="P11" s="3084" t="s">
        <v>3119</v>
      </c>
    </row>
    <row r="12" spans="1:16">
      <c r="A12" s="3081" t="s">
        <v>3160</v>
      </c>
      <c r="B12" s="3081" t="s">
        <v>3112</v>
      </c>
      <c r="C12" s="3081" t="s">
        <v>3113</v>
      </c>
      <c r="D12" s="3081">
        <v>135834</v>
      </c>
      <c r="E12" s="3081">
        <v>475419</v>
      </c>
      <c r="F12" s="3081" t="s">
        <v>3161</v>
      </c>
      <c r="G12" s="3081" t="s">
        <v>3115</v>
      </c>
      <c r="H12" s="3081" t="s">
        <v>3162</v>
      </c>
      <c r="I12" s="3081" t="s">
        <v>3163</v>
      </c>
      <c r="J12" s="3081" t="s">
        <v>3163</v>
      </c>
      <c r="K12" s="3081">
        <v>552800</v>
      </c>
      <c r="L12" s="3081">
        <v>552800</v>
      </c>
      <c r="M12" s="3081">
        <v>11627.63</v>
      </c>
      <c r="N12" s="3081">
        <v>0</v>
      </c>
      <c r="O12" s="3081" t="s">
        <v>3164</v>
      </c>
      <c r="P12" s="3081" t="s">
        <v>3142</v>
      </c>
    </row>
    <row r="13" spans="1:16">
      <c r="A13" s="3081" t="s">
        <v>3165</v>
      </c>
      <c r="B13" s="3081" t="s">
        <v>3112</v>
      </c>
      <c r="C13" s="3081" t="s">
        <v>3113</v>
      </c>
      <c r="D13" s="3081">
        <v>8617</v>
      </c>
      <c r="E13" s="3081">
        <v>27574.400000000001</v>
      </c>
      <c r="F13" s="3081" t="s">
        <v>3166</v>
      </c>
      <c r="G13" s="3081" t="s">
        <v>3115</v>
      </c>
      <c r="H13" s="3081" t="s">
        <v>3167</v>
      </c>
      <c r="I13" s="3081" t="s">
        <v>3168</v>
      </c>
      <c r="J13" s="3081" t="s">
        <v>3168</v>
      </c>
      <c r="K13" s="3081">
        <v>19400</v>
      </c>
      <c r="L13" s="3081">
        <v>19400</v>
      </c>
      <c r="M13" s="3081">
        <v>7035.51</v>
      </c>
      <c r="N13" s="3081">
        <v>0</v>
      </c>
      <c r="O13" s="3081" t="s">
        <v>3118</v>
      </c>
      <c r="P13" s="3081" t="s">
        <v>3119</v>
      </c>
    </row>
    <row r="14" spans="1:16">
      <c r="A14" s="3081" t="s">
        <v>3169</v>
      </c>
      <c r="B14" s="3081" t="s">
        <v>3112</v>
      </c>
      <c r="C14" s="3081" t="s">
        <v>3113</v>
      </c>
      <c r="D14" s="3081">
        <v>24058.32</v>
      </c>
      <c r="E14" s="3081">
        <v>79807</v>
      </c>
      <c r="F14" s="3081" t="s">
        <v>3170</v>
      </c>
      <c r="G14" s="3081" t="s">
        <v>3115</v>
      </c>
      <c r="H14" s="3081" t="s">
        <v>3171</v>
      </c>
      <c r="I14" s="3081" t="s">
        <v>3172</v>
      </c>
      <c r="J14" s="3081" t="s">
        <v>3172</v>
      </c>
      <c r="K14" s="3081">
        <v>58670</v>
      </c>
      <c r="L14" s="3081">
        <v>58970</v>
      </c>
      <c r="M14" s="3081">
        <v>7389.07</v>
      </c>
      <c r="N14" s="3081">
        <v>0.51</v>
      </c>
      <c r="O14" s="3081" t="s">
        <v>3173</v>
      </c>
      <c r="P14" s="3081" t="s">
        <v>3119</v>
      </c>
    </row>
    <row r="15" spans="1:16">
      <c r="A15" s="3081" t="s">
        <v>3174</v>
      </c>
      <c r="B15" s="3081" t="s">
        <v>3112</v>
      </c>
      <c r="C15" s="3081" t="s">
        <v>3113</v>
      </c>
      <c r="D15" s="3081">
        <v>88662.13</v>
      </c>
      <c r="E15" s="3081">
        <v>265986.39</v>
      </c>
      <c r="F15" s="3081" t="s">
        <v>3175</v>
      </c>
      <c r="G15" s="3081" t="s">
        <v>3115</v>
      </c>
      <c r="H15" s="3081" t="s">
        <v>3176</v>
      </c>
      <c r="I15" s="3081" t="s">
        <v>3177</v>
      </c>
      <c r="J15" s="3081" t="s">
        <v>3177</v>
      </c>
      <c r="K15" s="3081">
        <v>432200</v>
      </c>
      <c r="L15" s="3081">
        <v>486200</v>
      </c>
      <c r="M15" s="3081">
        <v>18279.13</v>
      </c>
      <c r="N15" s="3081">
        <v>12.49</v>
      </c>
      <c r="O15" s="3081" t="s">
        <v>3178</v>
      </c>
      <c r="P15" s="3081" t="s">
        <v>3142</v>
      </c>
    </row>
    <row r="16" spans="1:16">
      <c r="A16" s="3081" t="s">
        <v>3148</v>
      </c>
      <c r="B16" s="3081" t="s">
        <v>3112</v>
      </c>
      <c r="C16" s="3081" t="s">
        <v>3113</v>
      </c>
      <c r="D16" s="3081">
        <v>14905.25</v>
      </c>
      <c r="E16" s="3081">
        <v>46206.3</v>
      </c>
      <c r="F16" s="3081" t="s">
        <v>3179</v>
      </c>
      <c r="G16" s="3081" t="s">
        <v>3115</v>
      </c>
      <c r="H16" s="3081" t="s">
        <v>3180</v>
      </c>
      <c r="I16" s="3081" t="s">
        <v>3181</v>
      </c>
      <c r="J16" s="3081" t="s">
        <v>3181</v>
      </c>
      <c r="K16" s="3081">
        <v>19400</v>
      </c>
      <c r="L16" s="3081">
        <v>21800</v>
      </c>
      <c r="M16" s="3081">
        <v>4717.97</v>
      </c>
      <c r="N16" s="3081">
        <v>12.37</v>
      </c>
      <c r="O16" s="3081" t="s">
        <v>3182</v>
      </c>
      <c r="P16" s="3081" t="s">
        <v>3142</v>
      </c>
    </row>
    <row r="17" spans="1:16">
      <c r="A17" s="3081" t="s">
        <v>3183</v>
      </c>
      <c r="B17" s="3081" t="s">
        <v>3112</v>
      </c>
      <c r="C17" s="3081" t="s">
        <v>3113</v>
      </c>
      <c r="D17" s="3081">
        <v>15410.41</v>
      </c>
      <c r="E17" s="3081">
        <v>46231.23</v>
      </c>
      <c r="F17" s="3081" t="s">
        <v>3184</v>
      </c>
      <c r="G17" s="3081" t="s">
        <v>3115</v>
      </c>
      <c r="H17" s="3081" t="s">
        <v>3185</v>
      </c>
      <c r="I17" s="3081" t="s">
        <v>3181</v>
      </c>
      <c r="J17" s="3081" t="s">
        <v>3181</v>
      </c>
      <c r="K17" s="3081">
        <v>19400</v>
      </c>
      <c r="L17" s="3081">
        <v>19400</v>
      </c>
      <c r="M17" s="3081">
        <v>4196.3</v>
      </c>
      <c r="N17" s="3081">
        <v>0</v>
      </c>
      <c r="O17" s="3081" t="s">
        <v>3186</v>
      </c>
      <c r="P17" s="3081" t="s">
        <v>3142</v>
      </c>
    </row>
    <row r="18" spans="1:16">
      <c r="A18" s="3081" t="s">
        <v>3148</v>
      </c>
      <c r="B18" s="3081" t="s">
        <v>3112</v>
      </c>
      <c r="C18" s="3081" t="s">
        <v>3187</v>
      </c>
      <c r="D18" s="3081">
        <v>61496</v>
      </c>
      <c r="E18" s="3081">
        <v>147590</v>
      </c>
      <c r="F18" s="3081" t="s">
        <v>3188</v>
      </c>
      <c r="G18" s="3081" t="s">
        <v>3115</v>
      </c>
      <c r="H18" s="3081" t="s">
        <v>3189</v>
      </c>
      <c r="I18" s="3081" t="s">
        <v>3190</v>
      </c>
      <c r="J18" s="3081" t="s">
        <v>3190</v>
      </c>
      <c r="K18" s="3081">
        <v>117800</v>
      </c>
      <c r="L18" s="3081">
        <v>129800</v>
      </c>
      <c r="M18" s="3081">
        <v>8794.6200000000008</v>
      </c>
      <c r="N18" s="3081">
        <v>10.19</v>
      </c>
      <c r="O18" s="3081" t="s">
        <v>3191</v>
      </c>
      <c r="P18" s="3081" t="s">
        <v>3142</v>
      </c>
    </row>
    <row r="19" spans="1:16">
      <c r="A19" s="3081" t="s">
        <v>3192</v>
      </c>
      <c r="B19" s="3081" t="s">
        <v>3112</v>
      </c>
      <c r="C19" s="3081" t="s">
        <v>3113</v>
      </c>
      <c r="D19" s="3081">
        <v>11827.97</v>
      </c>
      <c r="E19" s="3081">
        <v>35483.730000000003</v>
      </c>
      <c r="F19" s="3081" t="s">
        <v>3175</v>
      </c>
      <c r="G19" s="3081" t="s">
        <v>3115</v>
      </c>
      <c r="H19" s="3081" t="s">
        <v>3167</v>
      </c>
      <c r="I19" s="3081" t="s">
        <v>3193</v>
      </c>
      <c r="J19" s="3081" t="s">
        <v>3193</v>
      </c>
      <c r="K19" s="3081">
        <v>55200</v>
      </c>
      <c r="L19" s="3081">
        <v>55200</v>
      </c>
      <c r="M19" s="3081">
        <v>15556.43</v>
      </c>
      <c r="N19" s="3081">
        <v>0</v>
      </c>
      <c r="O19" s="3081" t="s">
        <v>3194</v>
      </c>
      <c r="P19" s="3081" t="s">
        <v>3119</v>
      </c>
    </row>
    <row r="20" spans="1:16" s="3083" customFormat="1">
      <c r="A20" s="3082" t="s">
        <v>3195</v>
      </c>
      <c r="B20" s="3082" t="s">
        <v>3112</v>
      </c>
      <c r="C20" s="3082" t="s">
        <v>3113</v>
      </c>
      <c r="D20" s="3082">
        <v>52090</v>
      </c>
      <c r="E20" s="3082">
        <v>182805</v>
      </c>
      <c r="F20" s="3082" t="s">
        <v>3196</v>
      </c>
      <c r="G20" s="3082" t="s">
        <v>3115</v>
      </c>
      <c r="H20" s="3082" t="s">
        <v>3197</v>
      </c>
      <c r="I20" s="3082" t="s">
        <v>3193</v>
      </c>
      <c r="J20" s="3082" t="s">
        <v>3193</v>
      </c>
      <c r="K20" s="3082">
        <v>293200</v>
      </c>
      <c r="L20" s="3082">
        <v>371600</v>
      </c>
      <c r="M20" s="3082">
        <v>20327.66</v>
      </c>
      <c r="N20" s="3082">
        <v>26.74</v>
      </c>
      <c r="O20" s="3082" t="s">
        <v>3198</v>
      </c>
      <c r="P20" s="3082" t="s">
        <v>3119</v>
      </c>
    </row>
    <row r="21" spans="1:16">
      <c r="A21" s="3081" t="s">
        <v>3199</v>
      </c>
      <c r="B21" s="3081" t="s">
        <v>3112</v>
      </c>
      <c r="C21" s="3081" t="s">
        <v>3113</v>
      </c>
      <c r="D21" s="3081">
        <v>22723.66</v>
      </c>
      <c r="E21" s="3081">
        <v>54536.78</v>
      </c>
      <c r="F21" s="3081" t="s">
        <v>3200</v>
      </c>
      <c r="G21" s="3081" t="s">
        <v>3115</v>
      </c>
      <c r="H21" s="3081" t="s">
        <v>3201</v>
      </c>
      <c r="I21" s="3081" t="s">
        <v>3202</v>
      </c>
      <c r="J21" s="3081" t="s">
        <v>3202</v>
      </c>
      <c r="K21" s="3081">
        <v>18200</v>
      </c>
      <c r="L21" s="3081">
        <v>18200</v>
      </c>
      <c r="M21" s="3081">
        <v>3337.19</v>
      </c>
      <c r="N21" s="3081">
        <v>0</v>
      </c>
      <c r="O21" s="3081" t="s">
        <v>3118</v>
      </c>
      <c r="P21" s="3081" t="s">
        <v>3142</v>
      </c>
    </row>
    <row r="22" spans="1:16">
      <c r="A22" s="3081" t="s">
        <v>3203</v>
      </c>
      <c r="B22" s="3081" t="s">
        <v>3112</v>
      </c>
      <c r="C22" s="3081" t="s">
        <v>3187</v>
      </c>
      <c r="D22" s="3081">
        <v>19793.25</v>
      </c>
      <c r="E22" s="3081">
        <v>59379.75</v>
      </c>
      <c r="F22" s="3081" t="s">
        <v>3204</v>
      </c>
      <c r="G22" s="3081" t="s">
        <v>3115</v>
      </c>
      <c r="H22" s="3081" t="s">
        <v>3205</v>
      </c>
      <c r="I22" s="3081" t="s">
        <v>3206</v>
      </c>
      <c r="J22" s="3081" t="s">
        <v>3206</v>
      </c>
      <c r="K22" s="3081">
        <v>24800</v>
      </c>
      <c r="L22" s="3081">
        <v>24800</v>
      </c>
      <c r="M22" s="3081">
        <v>4176.51</v>
      </c>
      <c r="N22" s="3081">
        <v>0</v>
      </c>
      <c r="O22" s="3081" t="s">
        <v>3147</v>
      </c>
      <c r="P22" s="3081" t="s">
        <v>3142</v>
      </c>
    </row>
    <row r="23" spans="1:16">
      <c r="A23" s="3081" t="s">
        <v>3207</v>
      </c>
      <c r="B23" s="3081" t="s">
        <v>3112</v>
      </c>
      <c r="C23" s="3081" t="s">
        <v>3113</v>
      </c>
      <c r="D23" s="3081">
        <v>57780.13</v>
      </c>
      <c r="E23" s="3081">
        <v>167562.38</v>
      </c>
      <c r="F23" s="3081" t="s">
        <v>3208</v>
      </c>
      <c r="G23" s="3081" t="s">
        <v>3115</v>
      </c>
      <c r="H23" s="3081" t="s">
        <v>3157</v>
      </c>
      <c r="I23" s="3081" t="s">
        <v>3209</v>
      </c>
      <c r="J23" s="3081" t="s">
        <v>3209</v>
      </c>
      <c r="K23" s="3081">
        <v>207200</v>
      </c>
      <c r="L23" s="3081">
        <v>254200</v>
      </c>
      <c r="M23" s="3081">
        <v>15170.46</v>
      </c>
      <c r="N23" s="3081">
        <v>22.68</v>
      </c>
      <c r="O23" s="3081" t="s">
        <v>3210</v>
      </c>
      <c r="P23" s="3081" t="s">
        <v>3142</v>
      </c>
    </row>
    <row r="24" spans="1:16">
      <c r="A24" s="3081" t="s">
        <v>3211</v>
      </c>
      <c r="B24" s="3081" t="s">
        <v>3112</v>
      </c>
      <c r="C24" s="3081" t="s">
        <v>3113</v>
      </c>
      <c r="D24" s="3081">
        <v>12223.4</v>
      </c>
      <c r="E24" s="3081">
        <v>36670.199999999997</v>
      </c>
      <c r="F24" s="3081" t="s">
        <v>3204</v>
      </c>
      <c r="G24" s="3081" t="s">
        <v>3115</v>
      </c>
      <c r="H24" s="3081" t="s">
        <v>3167</v>
      </c>
      <c r="I24" s="3081" t="s">
        <v>3212</v>
      </c>
      <c r="J24" s="3081" t="s">
        <v>3212</v>
      </c>
      <c r="K24" s="3081">
        <v>25700</v>
      </c>
      <c r="L24" s="3081">
        <v>25700</v>
      </c>
      <c r="M24" s="3081">
        <v>7008.42</v>
      </c>
      <c r="N24" s="3081">
        <v>0</v>
      </c>
      <c r="O24" s="3081" t="s">
        <v>3118</v>
      </c>
      <c r="P24" s="3081" t="s">
        <v>3119</v>
      </c>
    </row>
    <row r="25" spans="1:16">
      <c r="A25" s="3081" t="s">
        <v>3213</v>
      </c>
      <c r="B25" s="3081" t="s">
        <v>3112</v>
      </c>
      <c r="C25" s="3081" t="s">
        <v>3113</v>
      </c>
      <c r="D25" s="3081">
        <v>30236.38</v>
      </c>
      <c r="E25" s="3081">
        <v>84964.23</v>
      </c>
      <c r="F25" s="3081" t="s">
        <v>3214</v>
      </c>
      <c r="G25" s="3081" t="s">
        <v>3115</v>
      </c>
      <c r="H25" s="3081" t="s">
        <v>3145</v>
      </c>
      <c r="I25" s="3081" t="s">
        <v>3215</v>
      </c>
      <c r="J25" s="3081" t="s">
        <v>3215</v>
      </c>
      <c r="K25" s="3081">
        <v>86300</v>
      </c>
      <c r="L25" s="3081">
        <v>112300</v>
      </c>
      <c r="M25" s="3081">
        <v>13217.32</v>
      </c>
      <c r="N25" s="3081">
        <v>30.13</v>
      </c>
      <c r="O25" s="3081" t="s">
        <v>3216</v>
      </c>
      <c r="P25" s="3081" t="s">
        <v>3119</v>
      </c>
    </row>
    <row r="26" spans="1:16">
      <c r="A26" s="3081" t="s">
        <v>3217</v>
      </c>
      <c r="B26" s="3081" t="s">
        <v>3112</v>
      </c>
      <c r="C26" s="3081" t="s">
        <v>3113</v>
      </c>
      <c r="D26" s="3081">
        <v>42894.48</v>
      </c>
      <c r="E26" s="3081">
        <v>94367.86</v>
      </c>
      <c r="F26" s="3081" t="s">
        <v>3218</v>
      </c>
      <c r="G26" s="3081" t="s">
        <v>3115</v>
      </c>
      <c r="H26" s="3081" t="s">
        <v>3219</v>
      </c>
      <c r="I26" s="3081" t="s">
        <v>3220</v>
      </c>
      <c r="J26" s="3081" t="s">
        <v>3220</v>
      </c>
      <c r="K26" s="3081">
        <v>40900</v>
      </c>
      <c r="L26" s="3081">
        <v>52900</v>
      </c>
      <c r="M26" s="3081">
        <v>5605.72</v>
      </c>
      <c r="N26" s="3081">
        <v>29.34</v>
      </c>
      <c r="O26" s="3081" t="s">
        <v>3147</v>
      </c>
      <c r="P26" s="3081" t="s">
        <v>3132</v>
      </c>
    </row>
    <row r="27" spans="1:16" s="3083" customFormat="1">
      <c r="A27" s="3082" t="s">
        <v>3221</v>
      </c>
      <c r="B27" s="3082" t="s">
        <v>3112</v>
      </c>
      <c r="C27" s="3082" t="s">
        <v>3113</v>
      </c>
      <c r="D27" s="3082">
        <v>21190.9</v>
      </c>
      <c r="E27" s="3082">
        <v>38143.800000000003</v>
      </c>
      <c r="F27" s="3082" t="s">
        <v>3222</v>
      </c>
      <c r="G27" s="3082" t="s">
        <v>3115</v>
      </c>
      <c r="H27" s="3082" t="s">
        <v>3145</v>
      </c>
      <c r="I27" s="3082" t="s">
        <v>3223</v>
      </c>
      <c r="J27" s="3082" t="s">
        <v>3223</v>
      </c>
      <c r="K27" s="3082">
        <v>51900</v>
      </c>
      <c r="L27" s="3082">
        <v>64800</v>
      </c>
      <c r="M27" s="3082">
        <v>16988.34</v>
      </c>
      <c r="N27" s="3082">
        <v>24.86</v>
      </c>
      <c r="O27" s="3082" t="s">
        <v>3224</v>
      </c>
      <c r="P27" s="3082" t="s">
        <v>3142</v>
      </c>
    </row>
    <row r="28" spans="1:16">
      <c r="A28" s="3081" t="s">
        <v>3225</v>
      </c>
      <c r="B28" s="3081" t="s">
        <v>3112</v>
      </c>
      <c r="C28" s="3081" t="s">
        <v>3113</v>
      </c>
      <c r="D28" s="3081">
        <v>69331.69</v>
      </c>
      <c r="E28" s="3081">
        <v>214929.2</v>
      </c>
      <c r="F28" s="3081" t="s">
        <v>3226</v>
      </c>
      <c r="G28" s="3081" t="s">
        <v>3115</v>
      </c>
      <c r="H28" s="3081" t="s">
        <v>3227</v>
      </c>
      <c r="I28" s="3081" t="s">
        <v>3228</v>
      </c>
      <c r="J28" s="3081" t="s">
        <v>3228</v>
      </c>
      <c r="K28" s="3081">
        <v>325700</v>
      </c>
      <c r="L28" s="3081">
        <v>367700</v>
      </c>
      <c r="M28" s="3081">
        <v>17107.95</v>
      </c>
      <c r="N28" s="3081">
        <v>12.9</v>
      </c>
      <c r="O28" s="3081" t="s">
        <v>3229</v>
      </c>
      <c r="P28" s="3081" t="s">
        <v>3119</v>
      </c>
    </row>
    <row r="29" spans="1:16">
      <c r="A29" s="3081" t="s">
        <v>3230</v>
      </c>
      <c r="B29" s="3081" t="s">
        <v>3112</v>
      </c>
      <c r="C29" s="3081" t="s">
        <v>3113</v>
      </c>
      <c r="D29" s="3081">
        <v>53295</v>
      </c>
      <c r="E29" s="3081">
        <v>168055</v>
      </c>
      <c r="F29" s="3081" t="s">
        <v>3231</v>
      </c>
      <c r="G29" s="3081" t="s">
        <v>3115</v>
      </c>
      <c r="H29" s="3081" t="s">
        <v>3145</v>
      </c>
      <c r="I29" s="3081" t="s">
        <v>3232</v>
      </c>
      <c r="J29" s="3081" t="s">
        <v>3232</v>
      </c>
      <c r="K29" s="3081">
        <v>167400</v>
      </c>
      <c r="L29" s="3081">
        <v>212400</v>
      </c>
      <c r="M29" s="3081">
        <v>12638.71</v>
      </c>
      <c r="N29" s="3081">
        <v>26.88</v>
      </c>
      <c r="O29" s="3081" t="s">
        <v>3233</v>
      </c>
      <c r="P29" s="3081" t="s">
        <v>3142</v>
      </c>
    </row>
    <row r="30" spans="1:16">
      <c r="A30" s="3081" t="s">
        <v>3234</v>
      </c>
      <c r="B30" s="3081" t="s">
        <v>3112</v>
      </c>
      <c r="C30" s="3081" t="s">
        <v>3113</v>
      </c>
      <c r="D30" s="3081">
        <v>38129.769999999997</v>
      </c>
      <c r="E30" s="3081">
        <v>133455</v>
      </c>
      <c r="F30" s="3081" t="s">
        <v>3235</v>
      </c>
      <c r="G30" s="3081" t="s">
        <v>3115</v>
      </c>
      <c r="H30" s="3081" t="s">
        <v>3236</v>
      </c>
      <c r="I30" s="3081" t="s">
        <v>3237</v>
      </c>
      <c r="J30" s="3081" t="s">
        <v>3237</v>
      </c>
      <c r="K30" s="3081">
        <v>89400</v>
      </c>
      <c r="L30" s="3081">
        <v>110700</v>
      </c>
      <c r="M30" s="3081">
        <v>8294.93</v>
      </c>
      <c r="N30" s="3081">
        <v>23.83</v>
      </c>
      <c r="O30" s="3081" t="s">
        <v>3118</v>
      </c>
      <c r="P30" s="3081" t="s">
        <v>3119</v>
      </c>
    </row>
    <row r="31" spans="1:16" s="3083" customFormat="1">
      <c r="A31" s="3082" t="s">
        <v>3238</v>
      </c>
      <c r="B31" s="3082" t="s">
        <v>3112</v>
      </c>
      <c r="C31" s="3082" t="s">
        <v>3113</v>
      </c>
      <c r="D31" s="3082">
        <v>10274</v>
      </c>
      <c r="E31" s="3082">
        <v>19520.599999999999</v>
      </c>
      <c r="F31" s="3082" t="s">
        <v>3239</v>
      </c>
      <c r="G31" s="3082" t="s">
        <v>3115</v>
      </c>
      <c r="H31" s="3082" t="s">
        <v>3240</v>
      </c>
      <c r="I31" s="3082" t="s">
        <v>3241</v>
      </c>
      <c r="J31" s="3082" t="s">
        <v>3241</v>
      </c>
      <c r="K31" s="3082">
        <v>31300</v>
      </c>
      <c r="L31" s="3082">
        <v>40600</v>
      </c>
      <c r="M31" s="3082">
        <v>20798.54</v>
      </c>
      <c r="N31" s="3082">
        <v>29.71</v>
      </c>
      <c r="O31" s="3082" t="s">
        <v>3242</v>
      </c>
      <c r="P31" s="3082" t="s">
        <v>3119</v>
      </c>
    </row>
    <row r="32" spans="1:16">
      <c r="A32" s="3081" t="s">
        <v>3243</v>
      </c>
      <c r="B32" s="3081" t="s">
        <v>3112</v>
      </c>
      <c r="C32" s="3081" t="s">
        <v>3113</v>
      </c>
      <c r="D32" s="3081">
        <v>23254.52</v>
      </c>
      <c r="E32" s="3081">
        <v>109584</v>
      </c>
      <c r="F32" s="3081" t="s">
        <v>3244</v>
      </c>
      <c r="G32" s="3081" t="s">
        <v>3245</v>
      </c>
      <c r="H32" s="3081" t="s">
        <v>1298</v>
      </c>
      <c r="I32" s="3081" t="s">
        <v>3246</v>
      </c>
      <c r="J32" s="3081" t="s">
        <v>3246</v>
      </c>
      <c r="K32" s="3081">
        <v>113900</v>
      </c>
      <c r="L32" s="3081">
        <v>140400</v>
      </c>
      <c r="M32" s="3081">
        <v>12812.09</v>
      </c>
      <c r="N32" s="3081">
        <v>23.27</v>
      </c>
      <c r="O32" s="3081" t="s">
        <v>3247</v>
      </c>
      <c r="P32" s="3081" t="s">
        <v>3119</v>
      </c>
    </row>
    <row r="33" spans="1:16">
      <c r="A33" s="3081" t="s">
        <v>3248</v>
      </c>
      <c r="B33" s="3081" t="s">
        <v>3112</v>
      </c>
      <c r="C33" s="3081" t="s">
        <v>3113</v>
      </c>
      <c r="D33" s="3081">
        <v>23543.11</v>
      </c>
      <c r="E33" s="3081">
        <v>56503.46</v>
      </c>
      <c r="F33" s="3081" t="s">
        <v>3249</v>
      </c>
      <c r="G33" s="3081" t="s">
        <v>3115</v>
      </c>
      <c r="H33" s="3081" t="s">
        <v>3157</v>
      </c>
      <c r="I33" s="3081" t="s">
        <v>3250</v>
      </c>
      <c r="J33" s="3081" t="s">
        <v>3250</v>
      </c>
      <c r="K33" s="3081">
        <v>85400</v>
      </c>
      <c r="L33" s="3081">
        <v>101900</v>
      </c>
      <c r="M33" s="3081">
        <v>18034.29</v>
      </c>
      <c r="N33" s="3081">
        <v>19.32</v>
      </c>
      <c r="O33" s="3081" t="s">
        <v>3251</v>
      </c>
      <c r="P33" s="3081" t="s">
        <v>3119</v>
      </c>
    </row>
    <row r="34" spans="1:16">
      <c r="A34" s="3081" t="s">
        <v>3252</v>
      </c>
      <c r="B34" s="3081" t="s">
        <v>3112</v>
      </c>
      <c r="C34" s="3081" t="s">
        <v>3113</v>
      </c>
      <c r="D34" s="3081">
        <v>57923.06</v>
      </c>
      <c r="E34" s="3081">
        <v>238646.1</v>
      </c>
      <c r="F34" s="3081" t="s">
        <v>3253</v>
      </c>
      <c r="G34" s="3081" t="s">
        <v>3115</v>
      </c>
      <c r="H34" s="3081" t="s">
        <v>3240</v>
      </c>
      <c r="I34" s="3081" t="s">
        <v>3254</v>
      </c>
      <c r="J34" s="3081" t="s">
        <v>3254</v>
      </c>
      <c r="K34" s="3081">
        <v>186300</v>
      </c>
      <c r="L34" s="3081">
        <v>242300</v>
      </c>
      <c r="M34" s="3081">
        <v>10153.11</v>
      </c>
      <c r="N34" s="3081">
        <v>30.06</v>
      </c>
      <c r="O34" s="3081" t="s">
        <v>3229</v>
      </c>
      <c r="P34" s="3081" t="s">
        <v>3119</v>
      </c>
    </row>
    <row r="35" spans="1:16">
      <c r="A35" s="3081" t="s">
        <v>3255</v>
      </c>
      <c r="B35" s="3081" t="s">
        <v>3112</v>
      </c>
      <c r="C35" s="3081" t="s">
        <v>3113</v>
      </c>
      <c r="D35" s="3081">
        <v>26063.53</v>
      </c>
      <c r="E35" s="3081">
        <v>93826</v>
      </c>
      <c r="F35" s="3081" t="s">
        <v>3256</v>
      </c>
      <c r="G35" s="3081" t="s">
        <v>3115</v>
      </c>
      <c r="H35" s="3081" t="s">
        <v>3145</v>
      </c>
      <c r="I35" s="3081" t="s">
        <v>3257</v>
      </c>
      <c r="J35" s="3081" t="s">
        <v>3257</v>
      </c>
      <c r="K35" s="3081">
        <v>168900</v>
      </c>
      <c r="L35" s="3081">
        <v>219400</v>
      </c>
      <c r="M35" s="3081">
        <v>23383.7</v>
      </c>
      <c r="N35" s="3081">
        <v>29.9</v>
      </c>
      <c r="O35" s="3081" t="s">
        <v>3258</v>
      </c>
      <c r="P35" s="3081" t="s">
        <v>3119</v>
      </c>
    </row>
    <row r="36" spans="1:16">
      <c r="A36" s="3081" t="s">
        <v>3259</v>
      </c>
      <c r="B36" s="3081" t="s">
        <v>3112</v>
      </c>
      <c r="C36" s="3081" t="s">
        <v>3113</v>
      </c>
      <c r="D36" s="3081">
        <v>53950</v>
      </c>
      <c r="E36" s="3081">
        <v>199615</v>
      </c>
      <c r="F36" s="3081" t="s">
        <v>3260</v>
      </c>
      <c r="G36" s="3081" t="s">
        <v>3115</v>
      </c>
      <c r="H36" s="3081" t="s">
        <v>3261</v>
      </c>
      <c r="I36" s="3081" t="s">
        <v>3262</v>
      </c>
      <c r="J36" s="3081" t="s">
        <v>3262</v>
      </c>
      <c r="K36" s="3081">
        <v>131800</v>
      </c>
      <c r="L36" s="3081">
        <v>160000</v>
      </c>
      <c r="M36" s="3081">
        <v>8015.43</v>
      </c>
      <c r="N36" s="3081">
        <v>21.4</v>
      </c>
      <c r="O36" s="3081" t="s">
        <v>3263</v>
      </c>
      <c r="P36" s="3081" t="s">
        <v>3119</v>
      </c>
    </row>
    <row r="37" spans="1:16">
      <c r="A37" s="3081" t="s">
        <v>3264</v>
      </c>
      <c r="B37" s="3081" t="s">
        <v>3112</v>
      </c>
      <c r="C37" s="3081" t="s">
        <v>3113</v>
      </c>
      <c r="D37" s="3081">
        <v>40426</v>
      </c>
      <c r="E37" s="3081">
        <v>136518</v>
      </c>
      <c r="F37" s="3081" t="s">
        <v>3244</v>
      </c>
      <c r="G37" s="3081" t="s">
        <v>3115</v>
      </c>
      <c r="H37" s="3081" t="s">
        <v>3157</v>
      </c>
      <c r="I37" s="3081" t="s">
        <v>3265</v>
      </c>
      <c r="J37" s="3081" t="s">
        <v>3265</v>
      </c>
      <c r="K37" s="3081">
        <v>51800</v>
      </c>
      <c r="L37" s="3081">
        <v>61100</v>
      </c>
      <c r="M37" s="3081">
        <v>4475.6000000000004</v>
      </c>
      <c r="N37" s="3081">
        <v>17.95</v>
      </c>
      <c r="O37" s="3081" t="s">
        <v>3266</v>
      </c>
      <c r="P37" s="3081" t="s">
        <v>3132</v>
      </c>
    </row>
    <row r="38" spans="1:16">
      <c r="A38" s="3081" t="s">
        <v>3267</v>
      </c>
      <c r="B38" s="3081" t="s">
        <v>3112</v>
      </c>
      <c r="C38" s="3081" t="s">
        <v>3113</v>
      </c>
      <c r="D38" s="3081">
        <v>47240</v>
      </c>
      <c r="E38" s="3081">
        <v>152332.5</v>
      </c>
      <c r="F38" s="3081" t="s">
        <v>3268</v>
      </c>
      <c r="G38" s="3081" t="s">
        <v>3115</v>
      </c>
      <c r="H38" s="3081" t="s">
        <v>3145</v>
      </c>
      <c r="I38" s="3081" t="s">
        <v>3265</v>
      </c>
      <c r="J38" s="3081" t="s">
        <v>3265</v>
      </c>
      <c r="K38" s="3081">
        <v>63500</v>
      </c>
      <c r="L38" s="3081">
        <v>75200</v>
      </c>
      <c r="M38" s="3081">
        <v>4936.5600000000004</v>
      </c>
      <c r="N38" s="3081">
        <v>18.43</v>
      </c>
      <c r="O38" s="3081" t="s">
        <v>3269</v>
      </c>
      <c r="P38" s="3081" t="s">
        <v>3132</v>
      </c>
    </row>
    <row r="39" spans="1:16">
      <c r="A39" s="3081" t="s">
        <v>3270</v>
      </c>
      <c r="B39" s="3081" t="s">
        <v>3112</v>
      </c>
      <c r="C39" s="3081" t="s">
        <v>3113</v>
      </c>
      <c r="D39" s="3081">
        <v>105167.8</v>
      </c>
      <c r="E39" s="3081">
        <v>513003</v>
      </c>
      <c r="F39" s="3081" t="s">
        <v>3271</v>
      </c>
      <c r="G39" s="3081" t="s">
        <v>3115</v>
      </c>
      <c r="H39" s="3081" t="s">
        <v>3272</v>
      </c>
      <c r="I39" s="3081" t="s">
        <v>3273</v>
      </c>
      <c r="J39" s="3081" t="s">
        <v>3273</v>
      </c>
      <c r="K39" s="3081">
        <v>344300</v>
      </c>
      <c r="L39" s="3081">
        <v>437300</v>
      </c>
      <c r="M39" s="3081">
        <v>8524.31</v>
      </c>
      <c r="N39" s="3081">
        <v>27.01</v>
      </c>
      <c r="O39" s="3081" t="s">
        <v>3274</v>
      </c>
      <c r="P39" s="3081" t="s">
        <v>3119</v>
      </c>
    </row>
    <row r="40" spans="1:16">
      <c r="A40" s="3081" t="s">
        <v>3275</v>
      </c>
      <c r="B40" s="3081" t="s">
        <v>3112</v>
      </c>
      <c r="C40" s="3081" t="s">
        <v>3113</v>
      </c>
      <c r="D40" s="3081">
        <v>41422</v>
      </c>
      <c r="E40" s="3081">
        <v>124266</v>
      </c>
      <c r="F40" s="3081" t="s">
        <v>3244</v>
      </c>
      <c r="G40" s="3081" t="s">
        <v>3115</v>
      </c>
      <c r="H40" s="3081" t="s">
        <v>3145</v>
      </c>
      <c r="I40" s="3081" t="s">
        <v>3276</v>
      </c>
      <c r="J40" s="3081" t="s">
        <v>3276</v>
      </c>
      <c r="K40" s="3081">
        <v>174700</v>
      </c>
      <c r="L40" s="3081">
        <v>223600</v>
      </c>
      <c r="M40" s="3081">
        <v>17993.650000000001</v>
      </c>
      <c r="N40" s="3081">
        <v>27.99</v>
      </c>
      <c r="O40" s="3081" t="s">
        <v>3277</v>
      </c>
      <c r="P40" s="3081" t="s">
        <v>3119</v>
      </c>
    </row>
    <row r="41" spans="1:16">
      <c r="A41" s="3081" t="s">
        <v>3278</v>
      </c>
      <c r="B41" s="3081" t="s">
        <v>3112</v>
      </c>
      <c r="C41" s="3081" t="s">
        <v>3113</v>
      </c>
      <c r="D41" s="3081">
        <v>47200.86</v>
      </c>
      <c r="E41" s="3081">
        <v>141602.6</v>
      </c>
      <c r="F41" s="3081" t="s">
        <v>3244</v>
      </c>
      <c r="G41" s="3081" t="s">
        <v>3115</v>
      </c>
      <c r="H41" s="3081" t="s">
        <v>3145</v>
      </c>
      <c r="I41" s="3081" t="s">
        <v>3279</v>
      </c>
      <c r="J41" s="3081" t="s">
        <v>3279</v>
      </c>
      <c r="K41" s="3081">
        <v>124700</v>
      </c>
      <c r="L41" s="3081">
        <v>161900</v>
      </c>
      <c r="M41" s="3081">
        <v>11433.4</v>
      </c>
      <c r="N41" s="3081">
        <v>29.83</v>
      </c>
      <c r="O41" s="3081" t="s">
        <v>3280</v>
      </c>
      <c r="P41" s="3081" t="s">
        <v>3119</v>
      </c>
    </row>
    <row r="42" spans="1:16">
      <c r="A42" s="3081" t="s">
        <v>3281</v>
      </c>
      <c r="B42" s="3081" t="s">
        <v>3112</v>
      </c>
      <c r="C42" s="3081" t="s">
        <v>3113</v>
      </c>
      <c r="D42" s="3081">
        <v>25461</v>
      </c>
      <c r="E42" s="3081">
        <v>78929.100000000006</v>
      </c>
      <c r="F42" s="3081" t="s">
        <v>3282</v>
      </c>
      <c r="G42" s="3081" t="s">
        <v>3115</v>
      </c>
      <c r="H42" s="3081" t="s">
        <v>3145</v>
      </c>
      <c r="I42" s="3081" t="s">
        <v>3283</v>
      </c>
      <c r="J42" s="3081" t="s">
        <v>3283</v>
      </c>
      <c r="K42" s="3081">
        <v>37300</v>
      </c>
      <c r="L42" s="3081">
        <v>45700</v>
      </c>
      <c r="M42" s="3081">
        <v>5790.01</v>
      </c>
      <c r="N42" s="3081">
        <v>22.52</v>
      </c>
      <c r="O42" s="3081" t="s">
        <v>3118</v>
      </c>
      <c r="P42" s="3081" t="s">
        <v>3119</v>
      </c>
    </row>
    <row r="43" spans="1:16">
      <c r="A43" s="3081" t="s">
        <v>3284</v>
      </c>
      <c r="B43" s="3081" t="s">
        <v>3112</v>
      </c>
      <c r="C43" s="3081" t="s">
        <v>3113</v>
      </c>
      <c r="D43" s="3081">
        <v>82663</v>
      </c>
      <c r="E43" s="3081">
        <v>269481.40000000002</v>
      </c>
      <c r="F43" s="3081" t="s">
        <v>3285</v>
      </c>
      <c r="G43" s="3081" t="s">
        <v>3115</v>
      </c>
      <c r="H43" s="3081" t="s">
        <v>3145</v>
      </c>
      <c r="I43" s="3081" t="s">
        <v>3286</v>
      </c>
      <c r="J43" s="3081" t="s">
        <v>3286</v>
      </c>
      <c r="K43" s="3081">
        <v>225100</v>
      </c>
      <c r="L43" s="3081">
        <v>292600</v>
      </c>
      <c r="M43" s="3081">
        <v>10857.88</v>
      </c>
      <c r="N43" s="3081">
        <v>29.99</v>
      </c>
      <c r="O43" s="3081" t="s">
        <v>3287</v>
      </c>
      <c r="P43" s="3081" t="s">
        <v>3142</v>
      </c>
    </row>
    <row r="44" spans="1:16" s="3083" customFormat="1">
      <c r="A44" s="3082" t="s">
        <v>3288</v>
      </c>
      <c r="B44" s="3082" t="s">
        <v>3112</v>
      </c>
      <c r="C44" s="3082" t="s">
        <v>3113</v>
      </c>
      <c r="D44" s="3082">
        <v>35308.300000000003</v>
      </c>
      <c r="E44" s="3082">
        <v>84739.92</v>
      </c>
      <c r="F44" s="3082" t="s">
        <v>3249</v>
      </c>
      <c r="G44" s="3082" t="s">
        <v>3115</v>
      </c>
      <c r="H44" s="3082" t="s">
        <v>3145</v>
      </c>
      <c r="I44" s="3082" t="s">
        <v>3289</v>
      </c>
      <c r="J44" s="3082" t="s">
        <v>3289</v>
      </c>
      <c r="K44" s="3082">
        <v>90100</v>
      </c>
      <c r="L44" s="3082">
        <v>115300</v>
      </c>
      <c r="M44" s="3082">
        <v>13606.34</v>
      </c>
      <c r="N44" s="3082">
        <v>27.97</v>
      </c>
      <c r="O44" s="3082" t="s">
        <v>3263</v>
      </c>
      <c r="P44" s="3082" t="s">
        <v>3132</v>
      </c>
    </row>
    <row r="45" spans="1:16">
      <c r="A45" s="3081" t="s">
        <v>3290</v>
      </c>
      <c r="B45" s="3081" t="s">
        <v>3112</v>
      </c>
      <c r="C45" s="3081" t="s">
        <v>3187</v>
      </c>
      <c r="D45" s="3081">
        <v>11989</v>
      </c>
      <c r="E45" s="3081">
        <v>33569.199999999997</v>
      </c>
      <c r="F45" s="3081" t="s">
        <v>3291</v>
      </c>
      <c r="G45" s="3081" t="s">
        <v>3115</v>
      </c>
      <c r="H45" s="3081" t="s">
        <v>3292</v>
      </c>
      <c r="I45" s="3081" t="s">
        <v>3293</v>
      </c>
      <c r="J45" s="3081" t="s">
        <v>3293</v>
      </c>
      <c r="K45" s="3081">
        <v>39600</v>
      </c>
      <c r="L45" s="3081">
        <v>51600</v>
      </c>
      <c r="M45" s="3081">
        <v>15371.22</v>
      </c>
      <c r="N45" s="3081">
        <v>30.3</v>
      </c>
      <c r="O45" s="3081" t="s">
        <v>3251</v>
      </c>
      <c r="P45" s="3081" t="s">
        <v>3119</v>
      </c>
    </row>
    <row r="46" spans="1:16">
      <c r="A46" s="3081" t="s">
        <v>3294</v>
      </c>
      <c r="B46" s="3081" t="s">
        <v>3112</v>
      </c>
      <c r="C46" s="3081" t="s">
        <v>3113</v>
      </c>
      <c r="D46" s="3081">
        <v>11296.75</v>
      </c>
      <c r="E46" s="3081">
        <v>39538.629999999997</v>
      </c>
      <c r="F46" s="3081" t="s">
        <v>3295</v>
      </c>
      <c r="G46" s="3081" t="s">
        <v>3115</v>
      </c>
      <c r="H46" s="3081" t="s">
        <v>3145</v>
      </c>
      <c r="I46" s="3081" t="s">
        <v>3296</v>
      </c>
      <c r="J46" s="3081" t="s">
        <v>3296</v>
      </c>
      <c r="K46" s="3081">
        <v>51400</v>
      </c>
      <c r="L46" s="3081">
        <v>69300</v>
      </c>
      <c r="M46" s="3081">
        <v>17527.150000000001</v>
      </c>
      <c r="N46" s="3081">
        <v>34.82</v>
      </c>
      <c r="O46" s="3081" t="s">
        <v>3297</v>
      </c>
      <c r="P46" s="3081" t="s">
        <v>3119</v>
      </c>
    </row>
    <row r="47" spans="1:16">
      <c r="A47" s="3081" t="s">
        <v>3298</v>
      </c>
      <c r="B47" s="3081" t="s">
        <v>3112</v>
      </c>
      <c r="C47" s="3081" t="s">
        <v>3113</v>
      </c>
      <c r="D47" s="3081">
        <v>57432</v>
      </c>
      <c r="E47" s="3081">
        <v>168401.4</v>
      </c>
      <c r="F47" s="3081" t="s">
        <v>3299</v>
      </c>
      <c r="G47" s="3081" t="s">
        <v>3115</v>
      </c>
      <c r="H47" s="3081" t="s">
        <v>3145</v>
      </c>
      <c r="I47" s="3081" t="s">
        <v>3300</v>
      </c>
      <c r="J47" s="3081" t="s">
        <v>3300</v>
      </c>
      <c r="K47" s="3081">
        <v>162700</v>
      </c>
      <c r="L47" s="3081">
        <v>162700</v>
      </c>
      <c r="M47" s="3081">
        <v>9661.44</v>
      </c>
      <c r="N47" s="3081">
        <v>0</v>
      </c>
      <c r="O47" s="3081" t="s">
        <v>3301</v>
      </c>
      <c r="P47" s="3081" t="s">
        <v>3119</v>
      </c>
    </row>
    <row r="48" spans="1:16">
      <c r="A48" s="3081" t="s">
        <v>3302</v>
      </c>
      <c r="B48" s="3081" t="s">
        <v>3112</v>
      </c>
      <c r="C48" s="3081" t="s">
        <v>3113</v>
      </c>
      <c r="D48" s="3081">
        <v>82926</v>
      </c>
      <c r="E48" s="3081">
        <v>290241</v>
      </c>
      <c r="F48" s="3081" t="s">
        <v>3303</v>
      </c>
      <c r="G48" s="3081" t="s">
        <v>3115</v>
      </c>
      <c r="H48" s="3081" t="s">
        <v>3145</v>
      </c>
      <c r="I48" s="3081" t="s">
        <v>3304</v>
      </c>
      <c r="J48" s="3081" t="s">
        <v>3304</v>
      </c>
      <c r="K48" s="3081">
        <v>130800</v>
      </c>
      <c r="L48" s="3081">
        <v>130800</v>
      </c>
      <c r="M48" s="3081">
        <v>4506.6000000000004</v>
      </c>
      <c r="N48" s="3081">
        <v>0</v>
      </c>
      <c r="O48" s="3081" t="s">
        <v>3305</v>
      </c>
      <c r="P48" s="3081" t="s">
        <v>3119</v>
      </c>
    </row>
    <row r="49" spans="1:16">
      <c r="A49" s="3081" t="s">
        <v>3306</v>
      </c>
      <c r="B49" s="3081" t="s">
        <v>3112</v>
      </c>
      <c r="C49" s="3081" t="s">
        <v>3113</v>
      </c>
      <c r="D49" s="3081">
        <v>44021</v>
      </c>
      <c r="E49" s="3081">
        <v>176084</v>
      </c>
      <c r="F49" s="3081" t="s">
        <v>3307</v>
      </c>
      <c r="G49" s="3081" t="s">
        <v>3115</v>
      </c>
      <c r="H49" s="3081" t="s">
        <v>3145</v>
      </c>
      <c r="I49" s="3081" t="s">
        <v>3304</v>
      </c>
      <c r="J49" s="3081" t="s">
        <v>3304</v>
      </c>
      <c r="K49" s="3081">
        <v>83400</v>
      </c>
      <c r="L49" s="3081">
        <v>91800</v>
      </c>
      <c r="M49" s="3081">
        <v>5213.42</v>
      </c>
      <c r="N49" s="3081">
        <v>10.07</v>
      </c>
      <c r="O49" s="3081" t="s">
        <v>3308</v>
      </c>
      <c r="P49" s="3081" t="s">
        <v>3142</v>
      </c>
    </row>
    <row r="50" spans="1:16">
      <c r="A50" s="3081" t="s">
        <v>3309</v>
      </c>
      <c r="B50" s="3081" t="s">
        <v>3112</v>
      </c>
      <c r="C50" s="3081" t="s">
        <v>3113</v>
      </c>
      <c r="D50" s="3081">
        <v>53743.69</v>
      </c>
      <c r="E50" s="3081">
        <v>214974.76</v>
      </c>
      <c r="F50" s="3081" t="s">
        <v>3310</v>
      </c>
      <c r="G50" s="3081" t="s">
        <v>3115</v>
      </c>
      <c r="H50" s="3081" t="s">
        <v>3311</v>
      </c>
      <c r="I50" s="3081" t="s">
        <v>3304</v>
      </c>
      <c r="J50" s="3081" t="s">
        <v>3304</v>
      </c>
      <c r="K50" s="3081">
        <v>314800</v>
      </c>
      <c r="L50" s="3081">
        <v>354800</v>
      </c>
      <c r="M50" s="3081">
        <v>16504.25</v>
      </c>
      <c r="N50" s="3081">
        <v>12.71</v>
      </c>
      <c r="O50" s="3081" t="s">
        <v>3312</v>
      </c>
      <c r="P50" s="3081" t="s">
        <v>3119</v>
      </c>
    </row>
    <row r="51" spans="1:16">
      <c r="A51" s="3081" t="s">
        <v>3313</v>
      </c>
      <c r="B51" s="3081" t="s">
        <v>3112</v>
      </c>
      <c r="C51" s="3081" t="s">
        <v>3113</v>
      </c>
      <c r="D51" s="3081">
        <v>66721.2</v>
      </c>
      <c r="E51" s="3081">
        <v>233524.2</v>
      </c>
      <c r="F51" s="3081" t="s">
        <v>3314</v>
      </c>
      <c r="G51" s="3081" t="s">
        <v>3115</v>
      </c>
      <c r="H51" s="3081" t="s">
        <v>3145</v>
      </c>
      <c r="I51" s="3081" t="s">
        <v>3315</v>
      </c>
      <c r="J51" s="3081" t="s">
        <v>3315</v>
      </c>
      <c r="K51" s="3081">
        <v>129200</v>
      </c>
      <c r="L51" s="3081">
        <v>129800</v>
      </c>
      <c r="M51" s="3081">
        <v>5558.31</v>
      </c>
      <c r="N51" s="3081">
        <v>0.46</v>
      </c>
      <c r="O51" s="3081" t="s">
        <v>3316</v>
      </c>
      <c r="P51" s="3081" t="s">
        <v>3119</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6" sqref="E6"/>
    </sheetView>
  </sheetViews>
  <sheetFormatPr defaultColWidth="6.625" defaultRowHeight="12.75"/>
  <cols>
    <col min="1" max="1" width="9.875" style="737" customWidth="1"/>
    <col min="2" max="2" width="25.875" style="889" customWidth="1"/>
    <col min="3" max="3" width="10.375" style="932" customWidth="1"/>
    <col min="4" max="4" width="9.875" style="889" customWidth="1"/>
    <col min="5" max="5" width="9.5" style="737" customWidth="1"/>
    <col min="6" max="6" width="10.125" style="889" customWidth="1"/>
    <col min="7" max="7" width="10.8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9</v>
      </c>
    </row>
    <row r="2" spans="1:33" ht="18" customHeight="1">
      <c r="A2" s="207" t="s">
        <v>2149</v>
      </c>
      <c r="B2" s="210">
        <f ca="1">C32</f>
        <v>64488</v>
      </c>
      <c r="C2" s="282" t="s">
        <v>2282</v>
      </c>
      <c r="D2" s="282"/>
      <c r="E2" s="3037"/>
      <c r="F2" s="3037"/>
      <c r="G2" s="3037"/>
      <c r="H2" s="3037"/>
      <c r="I2" s="3037"/>
      <c r="J2" s="3037"/>
      <c r="K2" s="3037"/>
    </row>
    <row r="3" spans="1:33" ht="18" customHeight="1" thickBot="1">
      <c r="A3" s="209" t="s">
        <v>2151</v>
      </c>
      <c r="B3" s="210">
        <f ca="1">ROUND(B2*10000/IF(C1="",'数据-汇总表'!E3,INDIRECT("'数据-取费表'!K"&amp;$K$1)),0)</f>
        <v>39293</v>
      </c>
      <c r="C3" s="282" t="s">
        <v>2283</v>
      </c>
      <c r="D3" s="282"/>
      <c r="E3" s="3037"/>
      <c r="F3" s="3037"/>
      <c r="G3" s="3037"/>
      <c r="H3" s="3037"/>
      <c r="I3" s="3037"/>
      <c r="J3" s="3037"/>
      <c r="K3" s="3037"/>
    </row>
    <row r="4" spans="1:33" s="893" customFormat="1" ht="16.5" customHeight="1">
      <c r="A4" s="890" t="s">
        <v>2284</v>
      </c>
      <c r="B4" s="891"/>
      <c r="C4" s="933">
        <f>SUM(C8:K8)</f>
        <v>78466.22199999998</v>
      </c>
      <c r="D4" s="891"/>
      <c r="E4" s="891"/>
      <c r="F4" s="891"/>
      <c r="G4" s="891"/>
      <c r="H4" s="891"/>
      <c r="I4" s="891"/>
      <c r="J4" s="891"/>
      <c r="K4" s="892"/>
    </row>
    <row r="5" spans="1:33" s="897" customFormat="1" ht="15">
      <c r="A5" s="894" t="s">
        <v>2285</v>
      </c>
      <c r="B5" s="895" t="s">
        <v>2286</v>
      </c>
      <c r="C5" s="2046" t="s">
        <v>3078</v>
      </c>
      <c r="D5" s="2046" t="s">
        <v>3075</v>
      </c>
      <c r="E5" s="2046" t="s">
        <v>3077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3088">
        <v>31000</v>
      </c>
      <c r="D6" s="3088">
        <v>48000</v>
      </c>
      <c r="E6" s="3088">
        <v>56000</v>
      </c>
      <c r="F6" s="899"/>
      <c r="G6" s="899"/>
      <c r="H6" s="899"/>
      <c r="I6" s="899"/>
      <c r="J6" s="899"/>
      <c r="K6" s="900"/>
      <c r="L6" s="901">
        <f ca="1">C4/D14</f>
        <v>4.7810215927107089</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4130.4999999999991</v>
      </c>
      <c r="D7" s="283">
        <f>SUMIF('数据-汇总表'!$C19:$C33,假设开发法!D5,'数据-汇总表'!$E19:$E33)</f>
        <v>3893.5499999999993</v>
      </c>
      <c r="E7" s="283">
        <f>SUMIF('数据-汇总表'!$C19:$C33,假设开发法!E5,'数据-汇总表'!$E19:$E33)</f>
        <v>8387.9699999999993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C6*C7/10000</f>
        <v>12804.549999999997</v>
      </c>
      <c r="D8" s="934">
        <f>D6*D7/10000</f>
        <v>18689.039999999997</v>
      </c>
      <c r="E8" s="934">
        <f>E6*E7/10000</f>
        <v>46972.631999999991</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1312</v>
      </c>
      <c r="D11" s="910"/>
      <c r="E11" s="335"/>
      <c r="F11" s="911">
        <f ca="1">1-IF('数据-取费表'!B24=0,1,IF(C1="",'数据-取费表'!N16,INDIRECT("'数据-取费表'!n"&amp;$K$1)))</f>
        <v>0.19999999999999996</v>
      </c>
      <c r="G11" s="8"/>
      <c r="H11" s="905"/>
      <c r="I11" s="905"/>
      <c r="J11" s="905"/>
      <c r="K11" s="906"/>
    </row>
    <row r="12" spans="1:33" s="912" customFormat="1" ht="13.5" customHeight="1">
      <c r="A12" s="908" t="s">
        <v>1301</v>
      </c>
      <c r="B12" s="909" t="s">
        <v>2300</v>
      </c>
      <c r="C12" s="24">
        <f ca="1">ROUND(C11*F12,0)</f>
        <v>39</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66</v>
      </c>
      <c r="D13" s="955"/>
      <c r="E13" s="335"/>
      <c r="F13" s="913">
        <f>'数据-取费表'!B34</f>
        <v>0.05</v>
      </c>
      <c r="G13" s="8" t="s">
        <v>2303</v>
      </c>
      <c r="H13" s="905"/>
      <c r="I13" s="905"/>
      <c r="J13" s="905"/>
      <c r="K13" s="906"/>
    </row>
    <row r="14" spans="1:33" s="914" customFormat="1" ht="13.5" customHeight="1">
      <c r="A14" s="908" t="s">
        <v>1303</v>
      </c>
      <c r="B14" s="909" t="s">
        <v>2304</v>
      </c>
      <c r="C14" s="24">
        <f ca="1">ROUND(D14*E14*F11/10000,0)</f>
        <v>66</v>
      </c>
      <c r="D14" s="955">
        <f ca="1">IF(C1="",'数据-汇总表'!E3,INDIRECT("'数据-取费表'!K"&amp;$K$1)+INDIRECT("'数据-取费表'!S"&amp;$K$1))</f>
        <v>16412.019999999993</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20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1503</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16412.019999999993</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82</v>
      </c>
      <c r="D19" s="955">
        <f ca="1">IF(C1="",'数据-汇总表'!E5,IF(INDIRECT("'数据-取费表'!c"&amp;$K$1)="住宅",INDIRECT("'数据-取费表'!k"&amp;$K$1),0))</f>
        <v>16412.019999999993</v>
      </c>
      <c r="E19" s="24">
        <f>'数据-取费表'!B27</f>
        <v>50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0</v>
      </c>
      <c r="E20" s="24">
        <f>'数据-取费表'!B28</f>
        <v>120</v>
      </c>
      <c r="F20" s="913"/>
      <c r="G20" s="15"/>
      <c r="H20" s="918"/>
      <c r="I20" s="918"/>
      <c r="J20" s="918"/>
      <c r="K20" s="919"/>
    </row>
    <row r="21" spans="1:33" s="912" customFormat="1" ht="13.5" customHeight="1">
      <c r="A21" s="898" t="s">
        <v>802</v>
      </c>
      <c r="B21" s="922" t="s">
        <v>2315</v>
      </c>
      <c r="C21" s="923">
        <f ca="1">C16+C17+C18</f>
        <v>1503</v>
      </c>
      <c r="D21" s="924"/>
      <c r="E21" s="287"/>
      <c r="F21" s="287"/>
      <c r="G21" s="136" t="s">
        <v>2316</v>
      </c>
      <c r="H21" s="916"/>
      <c r="I21" s="916"/>
      <c r="J21" s="916"/>
      <c r="K21" s="917"/>
    </row>
    <row r="22" spans="1:33" s="912" customFormat="1" ht="13.5" customHeight="1">
      <c r="A22" s="898" t="s">
        <v>2288</v>
      </c>
      <c r="B22" s="922" t="s">
        <v>2317</v>
      </c>
      <c r="C22" s="923">
        <f ca="1">ROUND(C21*F22,0)</f>
        <v>30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314</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21</v>
      </c>
      <c r="D25" s="286">
        <f ca="1">C26</f>
        <v>2.3599999999999999E-2</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2.3599999999999999E-2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554</v>
      </c>
      <c r="D28" s="286">
        <f ca="1">C29</f>
        <v>6.1699999999999998E-2</v>
      </c>
      <c r="E28" s="288" t="s">
        <v>15</v>
      </c>
      <c r="F28" s="294">
        <f ca="1">IF(C1="",'数据-取费表'!Q16,INDIRECT("'数据-取费表'!q"&amp;$K$1))</f>
        <v>0.3</v>
      </c>
      <c r="G28" s="926"/>
      <c r="H28" s="927"/>
      <c r="I28" s="927"/>
      <c r="J28" s="927"/>
      <c r="K28" s="928"/>
    </row>
    <row r="29" spans="1:33" s="297" customFormat="1" ht="13.5" customHeight="1">
      <c r="A29" s="908" t="s">
        <v>803</v>
      </c>
      <c r="B29" s="931" t="s">
        <v>2330</v>
      </c>
      <c r="C29" s="290">
        <f ca="1">ROUND((1+C24)*F28*'数据-取费表'!B24/'数据-取费表'!B20,4)</f>
        <v>6.1699999999999998E-2</v>
      </c>
      <c r="D29" s="290"/>
      <c r="E29" s="291"/>
      <c r="F29" s="296"/>
      <c r="G29" s="136" t="s">
        <v>2331</v>
      </c>
      <c r="H29" s="916"/>
      <c r="I29" s="916"/>
      <c r="J29" s="916"/>
      <c r="K29" s="917"/>
    </row>
    <row r="30" spans="1:33" s="297" customFormat="1" ht="13.5" customHeight="1">
      <c r="A30" s="908" t="s">
        <v>804</v>
      </c>
      <c r="B30" s="931" t="s">
        <v>2332</v>
      </c>
      <c r="C30" s="298">
        <f ca="1">ROUND((C21+C22+C23)*F28,0)</f>
        <v>554</v>
      </c>
      <c r="D30" s="290"/>
      <c r="E30" s="291"/>
      <c r="F30" s="296"/>
      <c r="G30" s="136"/>
      <c r="H30" s="916"/>
      <c r="I30" s="916"/>
      <c r="J30" s="916"/>
      <c r="K30" s="917"/>
    </row>
    <row r="31" spans="1:33" s="912" customFormat="1" ht="13.5" customHeight="1" thickBot="1">
      <c r="A31" s="2052" t="s">
        <v>2333</v>
      </c>
      <c r="B31" s="942" t="s">
        <v>2334</v>
      </c>
      <c r="C31" s="943">
        <f>ROUND(C4*F31/(1+'数据-取费表'!C42),0)</f>
        <v>4185</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64488</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L55" sqref="L55"/>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3" customWidth="1"/>
    <col min="12" max="12" width="16.375" style="264" customWidth="1"/>
    <col min="13" max="13" width="13" style="264" customWidth="1"/>
    <col min="14" max="14" width="13.875" style="1569" customWidth="1"/>
    <col min="15" max="15" width="5.125" style="1569" customWidth="1"/>
    <col min="16" max="16" width="25.875" style="1569" customWidth="1"/>
    <col min="17" max="17" width="13.875" style="1569" customWidth="1"/>
    <col min="18" max="18" width="20.5" style="1569" customWidth="1"/>
    <col min="19" max="19" width="13.125" style="1569" customWidth="1"/>
    <col min="20" max="37" width="9" style="1569"/>
    <col min="38" max="16384" width="9" style="264"/>
  </cols>
  <sheetData>
    <row r="1" spans="1:37" s="299" customFormat="1" ht="21">
      <c r="A1" s="1560" t="s">
        <v>1554</v>
      </c>
      <c r="B1" s="722"/>
      <c r="C1" s="1564"/>
      <c r="D1" s="1547"/>
      <c r="E1" s="1548" t="s">
        <v>1352</v>
      </c>
      <c r="F1" s="1193">
        <f ca="1">J53</f>
        <v>-0.59999999999999964</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5"/>
      <c r="H2" s="2924"/>
      <c r="I2" s="2924"/>
      <c r="J2" s="2924"/>
      <c r="K2" s="2925"/>
      <c r="L2" s="2924"/>
      <c r="M2" s="2924"/>
    </row>
    <row r="3" spans="1:37" ht="18" customHeight="1" thickBot="1">
      <c r="A3" s="1575" t="s">
        <v>1482</v>
      </c>
      <c r="B3" s="1576">
        <f ca="1">IF(ISERROR(B2*10000/F43),0,ROUND(B2*10000/F43,0))</f>
        <v>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0</v>
      </c>
      <c r="D5" s="1549" t="s">
        <v>1367</v>
      </c>
      <c r="E5" s="1203"/>
      <c r="F5" s="1204"/>
      <c r="G5" s="1569"/>
      <c r="H5" s="305">
        <v>1</v>
      </c>
      <c r="I5" s="306" t="s">
        <v>1366</v>
      </c>
      <c r="J5" s="1202">
        <f ca="1">J6+J10+J12</f>
        <v>0</v>
      </c>
      <c r="K5" s="1549" t="s">
        <v>1367</v>
      </c>
      <c r="L5" s="1203"/>
      <c r="M5" s="1204"/>
    </row>
    <row r="6" spans="1:37" ht="18" customHeight="1">
      <c r="A6" s="1201" t="s">
        <v>1003</v>
      </c>
      <c r="B6" s="3338" t="s">
        <v>1368</v>
      </c>
      <c r="C6" s="1206">
        <f ca="1">ROUND(F6*F8*F7*(1-F9)/10000,0)</f>
        <v>0</v>
      </c>
      <c r="D6" s="160" t="s">
        <v>2849</v>
      </c>
      <c r="E6" s="308" t="s">
        <v>1370</v>
      </c>
      <c r="F6" s="309">
        <f ca="1">INDIRECT("'数据-取费表'!u"&amp;$G$1)</f>
        <v>0</v>
      </c>
      <c r="G6" s="1569"/>
      <c r="H6" s="1201" t="s">
        <v>1003</v>
      </c>
      <c r="I6" s="3338" t="s">
        <v>1368</v>
      </c>
      <c r="J6" s="307">
        <f ca="1">ROUND(M6*M8*M7*(1-M9)/10000,0)</f>
        <v>0</v>
      </c>
      <c r="K6" s="160" t="s">
        <v>2848</v>
      </c>
      <c r="L6" s="308" t="s">
        <v>1370</v>
      </c>
      <c r="M6" s="309">
        <f ca="1">INDIRECT("'数据-取费表'!z"&amp;$G$1)</f>
        <v>0</v>
      </c>
    </row>
    <row r="7" spans="1:37" ht="18" customHeight="1">
      <c r="A7" s="1205"/>
      <c r="B7" s="3339"/>
      <c r="C7" s="1207"/>
      <c r="D7" s="313"/>
      <c r="E7" s="1208" t="s">
        <v>1371</v>
      </c>
      <c r="F7" s="309">
        <f ca="1">IF(INDIRECT("'数据-取费表'!ah"&amp;$G$1)="",INDIRECT("'数据-取费表'!k"&amp;$G$1),INDIRECT("'数据-取费表'!ah"&amp;$G$1))</f>
        <v>0</v>
      </c>
      <c r="G7" s="1569"/>
      <c r="H7" s="310"/>
      <c r="I7" s="3339"/>
      <c r="J7" s="312"/>
      <c r="K7" s="313"/>
      <c r="L7" s="308" t="s">
        <v>1371</v>
      </c>
      <c r="M7" s="309">
        <f ca="1">F7</f>
        <v>0</v>
      </c>
    </row>
    <row r="8" spans="1:37" ht="18" customHeight="1">
      <c r="A8" s="310"/>
      <c r="B8" s="3339"/>
      <c r="C8" s="312"/>
      <c r="D8" s="313"/>
      <c r="E8" s="308" t="s">
        <v>1372</v>
      </c>
      <c r="F8" s="309">
        <f ca="1">INDIRECT("'数据-取费表'!ai"&amp;$G$1)</f>
        <v>0</v>
      </c>
      <c r="G8" s="1569"/>
      <c r="H8" s="310"/>
      <c r="I8" s="3339"/>
      <c r="J8" s="312"/>
      <c r="K8" s="313"/>
      <c r="L8" s="308" t="s">
        <v>1372</v>
      </c>
      <c r="M8" s="309">
        <f ca="1">INDIRECT("'数据-取费表'!ai"&amp;$G$1)</f>
        <v>0</v>
      </c>
    </row>
    <row r="9" spans="1:37" ht="18" customHeight="1">
      <c r="A9" s="310"/>
      <c r="B9" s="3340"/>
      <c r="C9" s="312"/>
      <c r="D9" s="313"/>
      <c r="E9" s="308" t="s">
        <v>1373</v>
      </c>
      <c r="F9" s="318">
        <f ca="1">INDIRECT("'数据-取费表'!w"&amp;$G$1)</f>
        <v>0</v>
      </c>
      <c r="G9" s="1569"/>
      <c r="H9" s="310"/>
      <c r="I9" s="334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f ca="1">IF(项目基本情况!B11="企业","——",IF('数据-取费表'!B10="住宅",IF(F6*F7*F8/12/(1+'数据-取费表'!F30)&gt;100000,4%,2.5%),IF(F6*F7*F8/12/(1+'数据-取费表'!F30)&gt;100000,12%,7%)))</f>
        <v>7.0000000000000007E-2</v>
      </c>
      <c r="G31" s="1569"/>
      <c r="H31" s="3039" t="s">
        <v>3056</v>
      </c>
      <c r="I31" s="1583"/>
      <c r="J31" s="1584"/>
      <c r="K31" s="2701"/>
      <c r="L31" s="2927"/>
      <c r="M31" s="2928"/>
    </row>
    <row r="32" spans="1:37" ht="18" customHeight="1">
      <c r="A32" s="1113" t="s">
        <v>1002</v>
      </c>
      <c r="B32" s="308" t="s">
        <v>1398</v>
      </c>
      <c r="C32" s="24">
        <f ca="1">IF(项目基本情况!B11="自然人","——",ROUND(C6*F32/(1+'数据-取费表'!C42),2))</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ROUND(C29*F36,1)</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ROUND(C13*F37,1)</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-0.59999999999999964</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-0.59999999999999964</v>
      </c>
      <c r="K53" s="3336" t="s">
        <v>1513</v>
      </c>
      <c r="L53" s="3337"/>
      <c r="O53" s="1603" t="s">
        <v>1014</v>
      </c>
      <c r="P53" s="1604" t="s">
        <v>1514</v>
      </c>
      <c r="Q53" s="1605" t="e">
        <f ca="1">Q47+Q48</f>
        <v>#DIV/0!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c r="K56" s="1606" t="s">
        <v>1520</v>
      </c>
      <c r="L56" s="1609">
        <f ca="1">IF(L48&lt;J51,"——",L48-J53)</f>
        <v>0.59999999999999964</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ROUND(C48*F66,1)</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3" customWidth="1"/>
    <col min="12" max="12" width="16.375" style="264" customWidth="1"/>
    <col min="13" max="13" width="13" style="264" customWidth="1"/>
    <col min="14" max="14" width="13.875" style="1569" customWidth="1"/>
    <col min="15" max="15" width="5.125" style="1569" customWidth="1"/>
    <col min="16" max="16" width="25.875" style="1569" customWidth="1"/>
    <col min="17" max="17" width="13.875" style="1569" customWidth="1"/>
    <col min="18" max="18" width="20.5" style="1569" customWidth="1"/>
    <col min="19" max="19" width="13.125" style="1569" customWidth="1"/>
    <col min="20" max="37" width="9" style="1569"/>
    <col min="38" max="16384" width="9" style="264"/>
  </cols>
  <sheetData>
    <row r="1" spans="1:37" s="299" customFormat="1" ht="21">
      <c r="A1" s="1560" t="s">
        <v>1554</v>
      </c>
      <c r="B1" s="722"/>
      <c r="C1" s="1564"/>
      <c r="D1" s="1547"/>
      <c r="E1" s="1548" t="s">
        <v>1352</v>
      </c>
      <c r="F1" s="1193">
        <f ca="1">J53</f>
        <v>-0.59999999999999964</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38" t="s">
        <v>1368</v>
      </c>
      <c r="C6" s="1206">
        <f ca="1">ROUND(F6*F8*F7*(1-F9),0)</f>
        <v>0</v>
      </c>
      <c r="D6" s="160" t="s">
        <v>2846</v>
      </c>
      <c r="E6" s="308" t="s">
        <v>1370</v>
      </c>
      <c r="F6" s="309">
        <f ca="1">INDIRECT("'数据-取费表'!u"&amp;$G$1)</f>
        <v>0</v>
      </c>
      <c r="G6" s="1569"/>
      <c r="H6" s="1201" t="s">
        <v>1003</v>
      </c>
      <c r="I6" s="3338" t="s">
        <v>1368</v>
      </c>
      <c r="J6" s="307">
        <f ca="1">ROUND(M6*M8*M7*(1-M9),0)</f>
        <v>0</v>
      </c>
      <c r="K6" s="1561" t="s">
        <v>2847</v>
      </c>
      <c r="L6" s="308" t="s">
        <v>1370</v>
      </c>
      <c r="M6" s="309">
        <f ca="1">INDIRECT("'数据-取费表'!z"&amp;$G$1)</f>
        <v>0</v>
      </c>
    </row>
    <row r="7" spans="1:37" ht="18" customHeight="1">
      <c r="A7" s="1205"/>
      <c r="B7" s="3339"/>
      <c r="C7" s="1207"/>
      <c r="D7" s="313"/>
      <c r="E7" s="1208" t="s">
        <v>1371</v>
      </c>
      <c r="F7" s="309">
        <f ca="1">IF(INDIRECT("'数据-取费表'!ah"&amp;$G$1)="",INDIRECT("'数据-取费表'!k"&amp;$G$1),INDIRECT("'数据-取费表'!ah"&amp;$G$1))</f>
        <v>0</v>
      </c>
      <c r="G7" s="1569"/>
      <c r="H7" s="310"/>
      <c r="I7" s="3339"/>
      <c r="J7" s="312"/>
      <c r="K7" s="313"/>
      <c r="L7" s="308" t="s">
        <v>1371</v>
      </c>
      <c r="M7" s="309">
        <f ca="1">F7</f>
        <v>0</v>
      </c>
    </row>
    <row r="8" spans="1:37" ht="18" customHeight="1">
      <c r="A8" s="310"/>
      <c r="B8" s="3339"/>
      <c r="C8" s="312"/>
      <c r="D8" s="313"/>
      <c r="E8" s="308" t="s">
        <v>1372</v>
      </c>
      <c r="F8" s="309">
        <f ca="1">INDIRECT("'数据-取费表'!ai"&amp;$G$1)</f>
        <v>0</v>
      </c>
      <c r="G8" s="1569"/>
      <c r="H8" s="310"/>
      <c r="I8" s="3339"/>
      <c r="J8" s="312"/>
      <c r="K8" s="313"/>
      <c r="L8" s="308" t="s">
        <v>1372</v>
      </c>
      <c r="M8" s="309">
        <f ca="1">INDIRECT("'数据-取费表'!ai"&amp;$G$1)</f>
        <v>0</v>
      </c>
    </row>
    <row r="9" spans="1:37" ht="18" customHeight="1">
      <c r="A9" s="310"/>
      <c r="B9" s="3340"/>
      <c r="C9" s="312"/>
      <c r="D9" s="313"/>
      <c r="E9" s="308" t="s">
        <v>1373</v>
      </c>
      <c r="F9" s="318">
        <f ca="1">INDIRECT("'数据-取费表'!w"&amp;$G$1)</f>
        <v>0</v>
      </c>
      <c r="G9" s="1569"/>
      <c r="H9" s="310"/>
      <c r="I9" s="334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f ca="1">IF(项目基本情况!B11="企业","——",IF('数据-取费表'!B10="住宅",IF(F6*F7*F8/12/(1+'数据-取费表'!F30)&gt;100000,4%,2.5%),IF(F6*F7*F8/12/(1+'数据-取费表'!F30)&gt;100000,12%,7%)))</f>
        <v>7.0000000000000007E-2</v>
      </c>
      <c r="G31" s="1569"/>
      <c r="H31" s="3039" t="s">
        <v>3056</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-0.59999999999999964</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6">
        <f ca="1">IF(M47="住宅",IF(D1="——",MAX(J51,L48),MAX(J51,L48-'数据-取费表'!B24)),IF(D1="——",MIN(J51,L48),MIN(J51,L48-'数据-取费表'!B24)))</f>
        <v>-0.59999999999999964</v>
      </c>
      <c r="K53" s="3336" t="s">
        <v>1513</v>
      </c>
      <c r="L53" s="3337"/>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2345</v>
      </c>
      <c r="B1" s="2054"/>
      <c r="C1" s="2054"/>
      <c r="D1" s="2054"/>
      <c r="E1" s="2055"/>
      <c r="F1" s="2936"/>
      <c r="G1" s="1675"/>
      <c r="H1" s="1675"/>
      <c r="I1" s="1675"/>
      <c r="J1" s="1675"/>
      <c r="K1" s="1675"/>
      <c r="L1" s="1675"/>
      <c r="M1" s="1675"/>
      <c r="N1" s="1675"/>
      <c r="O1" s="1675"/>
      <c r="P1" s="1675"/>
      <c r="Q1" s="1675"/>
      <c r="R1" s="1675"/>
      <c r="S1" s="1675"/>
    </row>
    <row r="2" spans="1:22" ht="15.75">
      <c r="A2" s="2056" t="s">
        <v>2149</v>
      </c>
      <c r="B2" s="2057">
        <f ca="1">SUMIF(B6:B13,"&lt;&gt;#ref!",B6:B13)</f>
        <v>0</v>
      </c>
      <c r="C2" s="2058" t="s">
        <v>2338</v>
      </c>
      <c r="D2" s="2059" t="s">
        <v>2339</v>
      </c>
      <c r="E2" s="2833">
        <f>SUM(E6:E13)</f>
        <v>0</v>
      </c>
      <c r="F2" s="2936"/>
      <c r="G2" s="1675"/>
      <c r="H2" s="1675"/>
      <c r="I2" s="1675"/>
      <c r="J2" s="1675"/>
      <c r="K2" s="1675"/>
      <c r="L2" s="1675"/>
      <c r="M2" s="1675"/>
      <c r="N2" s="1675"/>
      <c r="O2" s="1675"/>
      <c r="P2" s="1675"/>
      <c r="Q2" s="1675"/>
      <c r="R2" s="1675"/>
      <c r="S2" s="1675"/>
    </row>
    <row r="3" spans="1:22" ht="15.75">
      <c r="A3" s="2056" t="s">
        <v>1360</v>
      </c>
      <c r="B3" s="2827" t="e">
        <f ca="1">ROUND(B2*10000/E2,0)</f>
        <v>#DIV/0!</v>
      </c>
      <c r="C3" s="2058" t="s">
        <v>2346</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2340</v>
      </c>
      <c r="B5" s="3341" t="s">
        <v>2341</v>
      </c>
      <c r="C5" s="3342"/>
      <c r="D5" s="2937"/>
      <c r="E5" s="2060" t="s">
        <v>2342</v>
      </c>
      <c r="F5" s="2061" t="s">
        <v>2343</v>
      </c>
      <c r="G5" s="1675"/>
      <c r="H5" s="1675"/>
      <c r="I5" s="1675"/>
      <c r="J5" s="1675"/>
      <c r="K5" s="1675"/>
      <c r="L5" s="1675"/>
      <c r="M5" s="1675"/>
      <c r="N5" s="1675"/>
      <c r="O5" s="1675"/>
      <c r="P5" s="1675"/>
      <c r="Q5" s="1675"/>
      <c r="R5" s="1675"/>
      <c r="S5" s="1675"/>
    </row>
    <row r="6" spans="1:22">
      <c r="A6" s="2830">
        <f>'数据-取费表'!AN6</f>
        <v>0</v>
      </c>
      <c r="B6" s="2828" t="e">
        <f ca="1">IF(F6="是",'数据-取费表'!AO6,0)</f>
        <v>#REF!</v>
      </c>
      <c r="C6" s="2058" t="s">
        <v>2338</v>
      </c>
      <c r="D6" s="2938"/>
      <c r="E6" s="2832">
        <f>IF(OR(A6=0,F6="否"),0,'数据-取费表'!K6+'数据-取费表'!S6)</f>
        <v>0</v>
      </c>
      <c r="F6" s="2062" t="s">
        <v>2344</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8" t="s">
        <v>2338</v>
      </c>
      <c r="D7" s="2938"/>
      <c r="E7" s="2832">
        <f>IF(OR(A7=0,F7="否"),0,'数据-取费表'!K7+'数据-取费表'!S7)</f>
        <v>0</v>
      </c>
      <c r="F7" s="2062" t="s">
        <v>2344</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8" t="s">
        <v>2338</v>
      </c>
      <c r="D8" s="2938"/>
      <c r="E8" s="2832">
        <f>IF(OR(A8=0,F8="否"),0,'数据-取费表'!K8+'数据-取费表'!S8)</f>
        <v>0</v>
      </c>
      <c r="F8" s="2062" t="s">
        <v>2344</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2338</v>
      </c>
      <c r="D9" s="2938"/>
      <c r="E9" s="2832">
        <f>IF(OR(A9=0,F9="否"),0,'数据-取费表'!K9+'数据-取费表'!S9)</f>
        <v>0</v>
      </c>
      <c r="F9" s="2062" t="s">
        <v>2344</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2338</v>
      </c>
      <c r="D10" s="2938"/>
      <c r="E10" s="2832">
        <f>IF(OR(A10=0,F10="否"),0,'数据-取费表'!K10+'数据-取费表'!S10)</f>
        <v>0</v>
      </c>
      <c r="F10" s="2062" t="s">
        <v>2344</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2338</v>
      </c>
      <c r="D11" s="2938"/>
      <c r="E11" s="2832">
        <f>IF(OR(A11=0,F11="否"),0,'数据-取费表'!K11+'数据-取费表'!S11)</f>
        <v>0</v>
      </c>
      <c r="F11" s="2062" t="s">
        <v>2344</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2338</v>
      </c>
      <c r="D12" s="2938"/>
      <c r="E12" s="2832">
        <f>IF(OR(A12=0,F12="否"),0,'数据-取费表'!K12+'数据-取费表'!S12)</f>
        <v>0</v>
      </c>
      <c r="F12" s="2062" t="s">
        <v>2344</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875" customWidth="1"/>
  </cols>
  <sheetData>
    <row r="1" spans="1:9" ht="14.25">
      <c r="A1" s="3359" t="s">
        <v>1044</v>
      </c>
      <c r="B1" s="3360"/>
      <c r="C1" s="3361"/>
      <c r="D1" s="3362">
        <f>SUM(I10,I15,I20,I21,I23)</f>
        <v>0</v>
      </c>
      <c r="E1" s="3362"/>
      <c r="F1" s="3362"/>
      <c r="G1" s="3362"/>
      <c r="H1" s="3362"/>
      <c r="I1" s="3363"/>
    </row>
    <row r="2" spans="1:9">
      <c r="A2" s="3349" t="s">
        <v>1045</v>
      </c>
      <c r="B2" s="3350" t="s">
        <v>1046</v>
      </c>
      <c r="C2" s="3350"/>
      <c r="D2" s="1211" t="s">
        <v>1047</v>
      </c>
      <c r="E2" s="1211" t="s">
        <v>1048</v>
      </c>
      <c r="F2" s="1211" t="s">
        <v>1049</v>
      </c>
      <c r="G2" s="1211" t="s">
        <v>1050</v>
      </c>
      <c r="H2" s="1211" t="s">
        <v>1051</v>
      </c>
      <c r="I2" s="1212" t="s">
        <v>1052</v>
      </c>
    </row>
    <row r="3" spans="1:9">
      <c r="A3" s="3349"/>
      <c r="B3" s="3350" t="s">
        <v>1053</v>
      </c>
      <c r="C3" s="3350"/>
      <c r="D3" s="1213"/>
      <c r="E3" s="1211"/>
      <c r="F3" s="1214"/>
      <c r="G3" s="1214"/>
      <c r="H3" s="1215"/>
      <c r="I3" s="1216">
        <f>ROUND(D3*E3*F3*G3*H3/10000,0)</f>
        <v>0</v>
      </c>
    </row>
    <row r="4" spans="1:9">
      <c r="A4" s="3349"/>
      <c r="B4" s="3350" t="s">
        <v>1054</v>
      </c>
      <c r="C4" s="3350"/>
      <c r="D4" s="1213"/>
      <c r="E4" s="1211"/>
      <c r="F4" s="1214"/>
      <c r="G4" s="1214"/>
      <c r="H4" s="1215"/>
      <c r="I4" s="1216">
        <f t="shared" ref="I4:I9" si="0">ROUND(D4*E4*F4*G4*H4/10000,0)</f>
        <v>0</v>
      </c>
    </row>
    <row r="5" spans="1:9">
      <c r="A5" s="3349"/>
      <c r="B5" s="3350" t="s">
        <v>1055</v>
      </c>
      <c r="C5" s="3350"/>
      <c r="D5" s="1213"/>
      <c r="E5" s="1211"/>
      <c r="F5" s="1214"/>
      <c r="G5" s="1214"/>
      <c r="H5" s="1215"/>
      <c r="I5" s="1216">
        <f t="shared" si="0"/>
        <v>0</v>
      </c>
    </row>
    <row r="6" spans="1:9">
      <c r="A6" s="3349"/>
      <c r="B6" s="3350" t="s">
        <v>1056</v>
      </c>
      <c r="C6" s="3350"/>
      <c r="D6" s="1213"/>
      <c r="E6" s="1211"/>
      <c r="F6" s="1214"/>
      <c r="G6" s="1214"/>
      <c r="H6" s="1215"/>
      <c r="I6" s="1216">
        <f t="shared" si="0"/>
        <v>0</v>
      </c>
    </row>
    <row r="7" spans="1:9">
      <c r="A7" s="3349"/>
      <c r="B7" s="3350" t="s">
        <v>1057</v>
      </c>
      <c r="C7" s="3350"/>
      <c r="D7" s="1213"/>
      <c r="E7" s="1211"/>
      <c r="F7" s="1214"/>
      <c r="G7" s="1214"/>
      <c r="H7" s="1215"/>
      <c r="I7" s="1216">
        <f t="shared" si="0"/>
        <v>0</v>
      </c>
    </row>
    <row r="8" spans="1:9">
      <c r="A8" s="3349"/>
      <c r="B8" s="3350" t="s">
        <v>1058</v>
      </c>
      <c r="C8" s="3350"/>
      <c r="D8" s="1213"/>
      <c r="E8" s="1211"/>
      <c r="F8" s="1214"/>
      <c r="G8" s="1214"/>
      <c r="H8" s="1215"/>
      <c r="I8" s="1216">
        <f t="shared" si="0"/>
        <v>0</v>
      </c>
    </row>
    <row r="9" spans="1:9">
      <c r="A9" s="3349"/>
      <c r="B9" s="3350" t="s">
        <v>1059</v>
      </c>
      <c r="C9" s="3350"/>
      <c r="D9" s="1213"/>
      <c r="E9" s="1211"/>
      <c r="F9" s="1214"/>
      <c r="G9" s="1214"/>
      <c r="H9" s="1215"/>
      <c r="I9" s="1216">
        <f t="shared" si="0"/>
        <v>0</v>
      </c>
    </row>
    <row r="10" spans="1:9">
      <c r="A10" s="3349"/>
      <c r="B10" s="3351" t="s">
        <v>1060</v>
      </c>
      <c r="C10" s="3351"/>
      <c r="D10" s="1217"/>
      <c r="E10" s="1217" t="e">
        <f>ROUND(D1*10000/D10/H9,0)</f>
        <v>#DIV/0!</v>
      </c>
      <c r="F10" s="1218"/>
      <c r="G10" s="1218"/>
      <c r="H10" s="1219"/>
      <c r="I10" s="1220">
        <f>SUM(I3:I9)</f>
        <v>0</v>
      </c>
    </row>
    <row r="11" spans="1:9" ht="14.25">
      <c r="A11" s="3349" t="s">
        <v>1061</v>
      </c>
      <c r="B11" s="3350" t="s">
        <v>1062</v>
      </c>
      <c r="C11" s="3350"/>
      <c r="D11" s="1213" t="s">
        <v>1063</v>
      </c>
      <c r="E11" s="1213" t="s">
        <v>1064</v>
      </c>
      <c r="F11" s="1214" t="s">
        <v>1065</v>
      </c>
      <c r="G11" s="1214" t="s">
        <v>1051</v>
      </c>
      <c r="H11" s="1221" t="s">
        <v>1066</v>
      </c>
      <c r="I11" s="1212" t="s">
        <v>1052</v>
      </c>
    </row>
    <row r="12" spans="1:9">
      <c r="A12" s="3349"/>
      <c r="B12" s="3350" t="s">
        <v>1067</v>
      </c>
      <c r="C12" s="3350"/>
      <c r="D12" s="1213"/>
      <c r="E12" s="1213"/>
      <c r="F12" s="1214"/>
      <c r="G12" s="1215"/>
      <c r="H12" s="1222"/>
      <c r="I12" s="1212">
        <f>ROUND(D12*E12*F12*G12/10000,0)</f>
        <v>0</v>
      </c>
    </row>
    <row r="13" spans="1:9">
      <c r="A13" s="3349"/>
      <c r="B13" s="3350" t="s">
        <v>1068</v>
      </c>
      <c r="C13" s="3350"/>
      <c r="D13" s="1213"/>
      <c r="E13" s="1213"/>
      <c r="F13" s="1214"/>
      <c r="G13" s="1215"/>
      <c r="H13" s="1222"/>
      <c r="I13" s="1212">
        <f>ROUND(D13*E13*F13*G13/10000,0)</f>
        <v>0</v>
      </c>
    </row>
    <row r="14" spans="1:9">
      <c r="A14" s="3349"/>
      <c r="B14" s="3350" t="s">
        <v>1069</v>
      </c>
      <c r="C14" s="3350"/>
      <c r="D14" s="1213"/>
      <c r="E14" s="1213"/>
      <c r="F14" s="1214"/>
      <c r="G14" s="1215"/>
      <c r="H14" s="1222"/>
      <c r="I14" s="1212">
        <f>ROUND(D14*E14*F14*G14/10000,0)</f>
        <v>0</v>
      </c>
    </row>
    <row r="15" spans="1:9">
      <c r="A15" s="3349"/>
      <c r="B15" s="3351" t="s">
        <v>1060</v>
      </c>
      <c r="C15" s="3351"/>
      <c r="D15" s="1217"/>
      <c r="E15" s="1217">
        <f>SUM(E12:E14)</f>
        <v>0</v>
      </c>
      <c r="F15" s="1218"/>
      <c r="G15" s="1215"/>
      <c r="H15" s="1222"/>
      <c r="I15" s="1223">
        <f>SUM(I12:I14)</f>
        <v>0</v>
      </c>
    </row>
    <row r="16" spans="1:9" ht="24">
      <c r="A16" s="3349" t="s">
        <v>1070</v>
      </c>
      <c r="B16" s="3350" t="s">
        <v>1071</v>
      </c>
      <c r="C16" s="3350"/>
      <c r="D16" s="1213" t="s">
        <v>1047</v>
      </c>
      <c r="E16" s="1224" t="s">
        <v>1072</v>
      </c>
      <c r="F16" s="1214" t="s">
        <v>1073</v>
      </c>
      <c r="G16" s="1215" t="s">
        <v>1051</v>
      </c>
      <c r="H16" s="1221" t="s">
        <v>1066</v>
      </c>
      <c r="I16" s="1212" t="s">
        <v>1052</v>
      </c>
    </row>
    <row r="17" spans="1:9" ht="14.25">
      <c r="A17" s="3349"/>
      <c r="B17" s="3350" t="s">
        <v>1074</v>
      </c>
      <c r="C17" s="3350"/>
      <c r="D17" s="1213"/>
      <c r="E17" s="1213"/>
      <c r="F17" s="1214"/>
      <c r="G17" s="1215"/>
      <c r="H17" s="1225"/>
      <c r="I17" s="1226">
        <f>ROUND(D17*E17*F17*G17/10000,0)</f>
        <v>0</v>
      </c>
    </row>
    <row r="18" spans="1:9" ht="14.25">
      <c r="A18" s="3349"/>
      <c r="B18" s="3350" t="s">
        <v>1075</v>
      </c>
      <c r="C18" s="3350"/>
      <c r="D18" s="1213"/>
      <c r="E18" s="1213"/>
      <c r="F18" s="1214"/>
      <c r="G18" s="1215"/>
      <c r="H18" s="1225"/>
      <c r="I18" s="1226">
        <f>ROUND(D18*E18*F18*G18/10000,0)</f>
        <v>0</v>
      </c>
    </row>
    <row r="19" spans="1:9" ht="14.25">
      <c r="A19" s="3349"/>
      <c r="B19" s="3350" t="s">
        <v>1076</v>
      </c>
      <c r="C19" s="3350"/>
      <c r="D19" s="1213"/>
      <c r="E19" s="1213"/>
      <c r="F19" s="1214"/>
      <c r="G19" s="1215"/>
      <c r="H19" s="1225"/>
      <c r="I19" s="1226">
        <f>ROUND(D19*E19*F19*G19/10000,0)</f>
        <v>0</v>
      </c>
    </row>
    <row r="20" spans="1:9">
      <c r="A20" s="3349"/>
      <c r="B20" s="3351" t="s">
        <v>1060</v>
      </c>
      <c r="C20" s="3351"/>
      <c r="D20" s="1217">
        <f>SUM(D17:D19)</f>
        <v>0</v>
      </c>
      <c r="E20" s="1217"/>
      <c r="F20" s="1218"/>
      <c r="G20" s="1215"/>
      <c r="H20" s="1222"/>
      <c r="I20" s="1223">
        <f>SUM(I17:I19)</f>
        <v>0</v>
      </c>
    </row>
    <row r="21" spans="1:9">
      <c r="A21" s="3349" t="s">
        <v>1077</v>
      </c>
      <c r="B21" s="3352"/>
      <c r="C21" s="3352"/>
      <c r="D21" s="3352"/>
      <c r="E21" s="3352"/>
      <c r="F21" s="3352"/>
      <c r="G21" s="3352"/>
      <c r="H21" s="1503">
        <v>0.1</v>
      </c>
      <c r="I21" s="1220">
        <f>ROUND(I10*H21,0)</f>
        <v>0</v>
      </c>
    </row>
    <row r="22" spans="1:9" ht="14.25">
      <c r="A22" s="3353" t="s">
        <v>1078</v>
      </c>
      <c r="B22" s="3354"/>
      <c r="C22" s="3355"/>
      <c r="D22" s="1227" t="s">
        <v>1079</v>
      </c>
      <c r="E22" s="1227" t="s">
        <v>1080</v>
      </c>
      <c r="F22" s="1228" t="s">
        <v>1081</v>
      </c>
      <c r="G22" s="1228" t="s">
        <v>1082</v>
      </c>
      <c r="H22" s="1221" t="s">
        <v>1083</v>
      </c>
      <c r="I22" s="1212" t="s">
        <v>1084</v>
      </c>
    </row>
    <row r="23" spans="1:9" ht="14.25" thickBot="1">
      <c r="A23" s="3356"/>
      <c r="B23" s="3357"/>
      <c r="C23" s="3358"/>
      <c r="D23" s="1229"/>
      <c r="E23" s="1229"/>
      <c r="F23" s="1229"/>
      <c r="G23" s="1230"/>
      <c r="H23" s="1231"/>
      <c r="I23" s="1232">
        <f>ROUND(E23*D23*F23*(1-G23)/10000,0)</f>
        <v>0</v>
      </c>
    </row>
    <row r="26" spans="1:9">
      <c r="A26" s="1233" t="s">
        <v>1085</v>
      </c>
      <c r="B26" s="1233"/>
      <c r="C26" s="1233"/>
      <c r="D26" s="1233"/>
      <c r="E26" s="3346">
        <f>C27-C30-C31-C32</f>
        <v>0</v>
      </c>
      <c r="F26" s="3346"/>
      <c r="G26" s="3346"/>
      <c r="H26" s="1500" t="s">
        <v>1306</v>
      </c>
    </row>
    <row r="27" spans="1:9">
      <c r="A27" s="1234">
        <v>1</v>
      </c>
      <c r="B27" s="1235" t="s">
        <v>1086</v>
      </c>
      <c r="C27" s="1235">
        <f>C28+C29</f>
        <v>0</v>
      </c>
      <c r="D27" s="1235"/>
      <c r="E27" s="3347"/>
      <c r="F27" s="3347"/>
      <c r="G27" s="3347"/>
    </row>
    <row r="28" spans="1:9">
      <c r="A28" s="1236" t="s">
        <v>1087</v>
      </c>
      <c r="B28" s="1235" t="s">
        <v>1088</v>
      </c>
      <c r="C28" s="1235"/>
      <c r="D28" s="1235"/>
      <c r="E28" s="3347"/>
      <c r="F28" s="3347"/>
      <c r="G28" s="334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8"/>
      <c r="F32" s="3348"/>
      <c r="G32" s="3348"/>
    </row>
    <row r="33" spans="1:7" hidden="1">
      <c r="A33" s="3343" t="s">
        <v>1097</v>
      </c>
      <c r="B33" s="3344"/>
      <c r="C33" s="3344"/>
      <c r="D33" s="3345"/>
      <c r="E33" s="3346"/>
      <c r="F33" s="3346"/>
      <c r="G33" s="3346"/>
    </row>
    <row r="34" spans="1:7" hidden="1">
      <c r="A34" s="1238">
        <v>1</v>
      </c>
      <c r="B34" s="1235" t="s">
        <v>1098</v>
      </c>
      <c r="C34" s="1235"/>
      <c r="D34" s="1235"/>
      <c r="E34" s="3347"/>
      <c r="F34" s="3347"/>
      <c r="G34" s="3347"/>
    </row>
    <row r="35" spans="1:7" hidden="1">
      <c r="A35" s="1238">
        <v>2</v>
      </c>
      <c r="B35" s="1235" t="s">
        <v>1099</v>
      </c>
      <c r="C35" s="1235"/>
      <c r="D35" s="1235"/>
      <c r="E35" s="3347"/>
      <c r="F35" s="3347"/>
      <c r="G35" s="3347"/>
    </row>
    <row r="36" spans="1:7" hidden="1">
      <c r="A36" s="1238">
        <v>3</v>
      </c>
      <c r="B36" s="1235" t="s">
        <v>1100</v>
      </c>
      <c r="C36" s="1235"/>
      <c r="D36" s="1235"/>
      <c r="E36" s="3347"/>
      <c r="F36" s="3347"/>
      <c r="G36" s="3347"/>
    </row>
    <row r="37" spans="1:7" hidden="1">
      <c r="A37" s="1238">
        <v>4</v>
      </c>
      <c r="B37" s="1235" t="s">
        <v>1101</v>
      </c>
      <c r="C37" s="1235"/>
      <c r="D37" s="1235"/>
      <c r="E37" s="3347"/>
      <c r="F37" s="3347"/>
      <c r="G37" s="3347"/>
    </row>
    <row r="38" spans="1:7" hidden="1">
      <c r="A38" s="3343" t="s">
        <v>1102</v>
      </c>
      <c r="B38" s="3344"/>
      <c r="C38" s="3344"/>
      <c r="D38" s="3345"/>
      <c r="E38" s="3346"/>
      <c r="F38" s="3346"/>
      <c r="G38" s="33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受贵公司委托，我公司对出让国有建设用地使用权及在建建筑物房地产抵押价值进行了预评估。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估价对象为出让国有建设用地使用权及在建建筑物房地产，为所有。根据《国有土地使用证》[]，估价对象（分摊）出让国有建设用地使用权面积为0平方米，建筑面积为16412.02平方米。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16412.02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2021年2月9日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9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2"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16412.019999999993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2354</v>
      </c>
      <c r="B4" s="362"/>
      <c r="C4" s="3297" t="s">
        <v>2355</v>
      </c>
      <c r="D4" s="3310"/>
      <c r="E4" s="3311" t="s">
        <v>2356</v>
      </c>
      <c r="F4" s="3312"/>
      <c r="G4" s="3297" t="s">
        <v>2357</v>
      </c>
      <c r="H4" s="3310"/>
      <c r="I4" s="3297" t="s">
        <v>2358</v>
      </c>
      <c r="J4" s="3310"/>
      <c r="K4" s="2075" t="s">
        <v>2359</v>
      </c>
      <c r="L4" s="2944"/>
      <c r="M4" s="2945"/>
      <c r="N4" s="2945"/>
      <c r="O4" s="2945"/>
      <c r="P4" s="3313" t="s">
        <v>2360</v>
      </c>
      <c r="Q4" s="3314"/>
      <c r="R4" s="3319" t="s">
        <v>2356</v>
      </c>
      <c r="S4" s="3320"/>
      <c r="T4" s="3319" t="s">
        <v>2357</v>
      </c>
      <c r="U4" s="3320"/>
      <c r="V4" s="3306" t="s">
        <v>2358</v>
      </c>
      <c r="W4" s="3306"/>
      <c r="X4" s="1540"/>
      <c r="Y4" s="3319" t="s">
        <v>2360</v>
      </c>
      <c r="Z4" s="3320"/>
      <c r="AA4" s="3307" t="s">
        <v>2356</v>
      </c>
      <c r="AB4" s="3307" t="s">
        <v>2357</v>
      </c>
      <c r="AC4" s="3307" t="s">
        <v>2358</v>
      </c>
    </row>
    <row r="5" spans="1:29" ht="15">
      <c r="A5" s="364"/>
      <c r="B5" s="365"/>
      <c r="C5" s="3327" t="s">
        <v>2361</v>
      </c>
      <c r="D5" s="3328"/>
      <c r="E5" s="3334" t="s">
        <v>2362</v>
      </c>
      <c r="F5" s="3335"/>
      <c r="G5" s="3327" t="s">
        <v>2363</v>
      </c>
      <c r="H5" s="3328"/>
      <c r="I5" s="3327" t="s">
        <v>2364</v>
      </c>
      <c r="J5" s="3328"/>
      <c r="K5" s="2076"/>
      <c r="L5" s="2944"/>
      <c r="M5" s="2945"/>
      <c r="N5" s="2945"/>
      <c r="O5" s="2945"/>
      <c r="P5" s="3315"/>
      <c r="Q5" s="3316"/>
      <c r="R5" s="3321"/>
      <c r="S5" s="3322"/>
      <c r="T5" s="3321"/>
      <c r="U5" s="3322"/>
      <c r="V5" s="3306"/>
      <c r="W5" s="3306"/>
      <c r="X5" s="1540"/>
      <c r="Y5" s="3321"/>
      <c r="Z5" s="3322"/>
      <c r="AA5" s="3308"/>
      <c r="AB5" s="3308"/>
      <c r="AC5" s="3308"/>
    </row>
    <row r="6" spans="1:29" ht="15.75" thickBot="1">
      <c r="A6" s="366"/>
      <c r="B6" s="367"/>
      <c r="C6" s="3325" t="s">
        <v>2365</v>
      </c>
      <c r="D6" s="3326"/>
      <c r="E6" s="3332" t="s">
        <v>2365</v>
      </c>
      <c r="F6" s="3333"/>
      <c r="G6" s="3325" t="s">
        <v>2365</v>
      </c>
      <c r="H6" s="3326"/>
      <c r="I6" s="3325" t="s">
        <v>2365</v>
      </c>
      <c r="J6" s="3326"/>
      <c r="K6" s="2076" t="s">
        <v>2366</v>
      </c>
      <c r="L6" s="2944"/>
      <c r="M6" s="2945"/>
      <c r="N6" s="2945"/>
      <c r="O6" s="2945"/>
      <c r="P6" s="3317"/>
      <c r="Q6" s="3318"/>
      <c r="R6" s="3321"/>
      <c r="S6" s="3322"/>
      <c r="T6" s="3323"/>
      <c r="U6" s="3324"/>
      <c r="V6" s="3306"/>
      <c r="W6" s="3306"/>
      <c r="X6" s="1540"/>
      <c r="Y6" s="3323"/>
      <c r="Z6" s="3324"/>
      <c r="AA6" s="3309"/>
      <c r="AB6" s="3309"/>
      <c r="AC6" s="3309"/>
    </row>
    <row r="7" spans="1:29" s="113" customFormat="1" ht="15.75" thickBot="1">
      <c r="A7" s="368" t="s">
        <v>2367</v>
      </c>
      <c r="B7" s="369"/>
      <c r="C7" s="370">
        <f>'数据-取费表'!B2</f>
        <v>44236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9" t="s">
        <v>2368</v>
      </c>
      <c r="Q7" s="3331"/>
      <c r="R7" s="710" t="s">
        <v>23</v>
      </c>
      <c r="S7" s="711">
        <f t="shared" ref="S7:S15" si="0">F7</f>
        <v>0</v>
      </c>
      <c r="T7" s="710" t="s">
        <v>23</v>
      </c>
      <c r="U7" s="711">
        <f t="shared" ref="U7:U15" si="1">H7</f>
        <v>0</v>
      </c>
      <c r="V7" s="710" t="s">
        <v>23</v>
      </c>
      <c r="W7" s="711">
        <f t="shared" ref="W7:W15" si="2">J7</f>
        <v>0</v>
      </c>
      <c r="X7" s="712"/>
      <c r="Y7" s="3329" t="s">
        <v>2368</v>
      </c>
      <c r="Z7" s="3330"/>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9" t="s">
        <v>2371</v>
      </c>
      <c r="Q8" s="3330"/>
      <c r="R8" s="710" t="s">
        <v>23</v>
      </c>
      <c r="S8" s="711">
        <f t="shared" si="0"/>
        <v>0</v>
      </c>
      <c r="T8" s="710" t="s">
        <v>23</v>
      </c>
      <c r="U8" s="711">
        <f t="shared" si="1"/>
        <v>0</v>
      </c>
      <c r="V8" s="710" t="s">
        <v>23</v>
      </c>
      <c r="W8" s="711">
        <f t="shared" si="2"/>
        <v>0</v>
      </c>
      <c r="X8" s="712"/>
      <c r="Y8" s="3329" t="s">
        <v>2371</v>
      </c>
      <c r="Z8" s="333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9"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9"/>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9"/>
      <c r="Q11" s="1528" t="str">
        <f t="shared" si="6"/>
        <v>容积率</v>
      </c>
      <c r="R11" s="710" t="s">
        <v>21</v>
      </c>
      <c r="S11" s="711" t="e">
        <f t="shared" si="0"/>
        <v>#N/A</v>
      </c>
      <c r="T11" s="710" t="s">
        <v>21</v>
      </c>
      <c r="U11" s="711" t="e">
        <f t="shared" si="1"/>
        <v>#N/A</v>
      </c>
      <c r="V11" s="710" t="s">
        <v>21</v>
      </c>
      <c r="W11" s="711" t="e">
        <f t="shared" si="2"/>
        <v>#N/A</v>
      </c>
      <c r="X11" s="712"/>
      <c r="Y11" s="319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9"/>
      <c r="Q12" s="1528">
        <f t="shared" si="6"/>
        <v>111</v>
      </c>
      <c r="R12" s="710" t="s">
        <v>21</v>
      </c>
      <c r="S12" s="711">
        <f t="shared" si="0"/>
        <v>100</v>
      </c>
      <c r="T12" s="710" t="s">
        <v>21</v>
      </c>
      <c r="U12" s="711">
        <f t="shared" si="1"/>
        <v>100</v>
      </c>
      <c r="V12" s="710" t="s">
        <v>21</v>
      </c>
      <c r="W12" s="711">
        <f t="shared" si="2"/>
        <v>100</v>
      </c>
      <c r="X12" s="712"/>
      <c r="Y12" s="319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9"/>
      <c r="Q13" s="1528">
        <f t="shared" si="6"/>
        <v>111</v>
      </c>
      <c r="R13" s="710" t="s">
        <v>21</v>
      </c>
      <c r="S13" s="711">
        <f t="shared" si="0"/>
        <v>100</v>
      </c>
      <c r="T13" s="710" t="s">
        <v>21</v>
      </c>
      <c r="U13" s="711">
        <f t="shared" si="1"/>
        <v>100</v>
      </c>
      <c r="V13" s="710" t="s">
        <v>21</v>
      </c>
      <c r="W13" s="711">
        <f t="shared" si="2"/>
        <v>100</v>
      </c>
      <c r="X13" s="712"/>
      <c r="Y13" s="319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9"/>
      <c r="Q14" s="1528">
        <f t="shared" si="6"/>
        <v>111</v>
      </c>
      <c r="R14" s="710" t="s">
        <v>21</v>
      </c>
      <c r="S14" s="711">
        <f t="shared" si="0"/>
        <v>100</v>
      </c>
      <c r="T14" s="710" t="s">
        <v>21</v>
      </c>
      <c r="U14" s="711">
        <f t="shared" si="1"/>
        <v>100</v>
      </c>
      <c r="V14" s="710" t="s">
        <v>21</v>
      </c>
      <c r="W14" s="711">
        <f t="shared" si="2"/>
        <v>100</v>
      </c>
      <c r="X14" s="712"/>
      <c r="Y14" s="3194"/>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70" t="s">
        <v>2379</v>
      </c>
      <c r="Q15" s="1537" t="str">
        <f t="shared" si="6"/>
        <v>居住社区成熟度</v>
      </c>
      <c r="R15" s="714" t="s">
        <v>21</v>
      </c>
      <c r="S15" s="715">
        <f t="shared" si="0"/>
        <v>100</v>
      </c>
      <c r="T15" s="714" t="s">
        <v>21</v>
      </c>
      <c r="U15" s="715">
        <f t="shared" si="1"/>
        <v>100</v>
      </c>
      <c r="V15" s="714" t="s">
        <v>21</v>
      </c>
      <c r="W15" s="715">
        <f t="shared" si="2"/>
        <v>100</v>
      </c>
      <c r="X15" s="1540"/>
      <c r="Y15" s="3302" t="s">
        <v>2379</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71"/>
      <c r="Q16" s="1537"/>
      <c r="R16" s="714"/>
      <c r="S16" s="715"/>
      <c r="T16" s="714"/>
      <c r="U16" s="715"/>
      <c r="V16" s="714"/>
      <c r="W16" s="715"/>
      <c r="X16" s="1540"/>
      <c r="Y16" s="3303"/>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71"/>
      <c r="Q17" s="1537" t="str">
        <f>B17</f>
        <v>交通便捷度</v>
      </c>
      <c r="R17" s="714" t="s">
        <v>21</v>
      </c>
      <c r="S17" s="715">
        <f>F17</f>
        <v>100</v>
      </c>
      <c r="T17" s="714" t="s">
        <v>21</v>
      </c>
      <c r="U17" s="715">
        <f>H17</f>
        <v>100</v>
      </c>
      <c r="V17" s="714" t="s">
        <v>21</v>
      </c>
      <c r="W17" s="715">
        <f>J17</f>
        <v>100</v>
      </c>
      <c r="X17" s="1540"/>
      <c r="Y17" s="3303"/>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71"/>
      <c r="Q18" s="1537"/>
      <c r="R18" s="714"/>
      <c r="S18" s="715"/>
      <c r="T18" s="714"/>
      <c r="U18" s="715"/>
      <c r="V18" s="714"/>
      <c r="W18" s="715"/>
      <c r="X18" s="1540"/>
      <c r="Y18" s="3303"/>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71"/>
      <c r="Q19" s="1537" t="str">
        <f>B19</f>
        <v>公共配套设施</v>
      </c>
      <c r="R19" s="714" t="s">
        <v>21</v>
      </c>
      <c r="S19" s="715">
        <f>F19</f>
        <v>100</v>
      </c>
      <c r="T19" s="714" t="s">
        <v>21</v>
      </c>
      <c r="U19" s="715">
        <f>H19</f>
        <v>100</v>
      </c>
      <c r="V19" s="714" t="s">
        <v>21</v>
      </c>
      <c r="W19" s="715">
        <f>J19</f>
        <v>100</v>
      </c>
      <c r="X19" s="1540"/>
      <c r="Y19" s="3303"/>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71"/>
      <c r="Q20" s="1537"/>
      <c r="R20" s="714"/>
      <c r="S20" s="715"/>
      <c r="T20" s="714"/>
      <c r="U20" s="715"/>
      <c r="V20" s="714"/>
      <c r="W20" s="715"/>
      <c r="X20" s="1540"/>
      <c r="Y20" s="3303"/>
      <c r="Z20" s="1541"/>
      <c r="AA20" s="1538">
        <v>1</v>
      </c>
      <c r="AB20" s="1538">
        <v>1</v>
      </c>
      <c r="AC20" s="1538">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71"/>
      <c r="Q21" s="1537" t="str">
        <f>B21</f>
        <v>基础设施水平</v>
      </c>
      <c r="R21" s="714" t="s">
        <v>17</v>
      </c>
      <c r="S21" s="715">
        <f>F21</f>
        <v>100</v>
      </c>
      <c r="T21" s="714" t="s">
        <v>17</v>
      </c>
      <c r="U21" s="715">
        <f>H21</f>
        <v>100</v>
      </c>
      <c r="V21" s="714" t="s">
        <v>17</v>
      </c>
      <c r="W21" s="715">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1"/>
      <c r="M22" s="2945"/>
      <c r="N22" s="2945"/>
      <c r="O22" s="2945"/>
      <c r="P22" s="3371"/>
      <c r="Q22" s="1537"/>
      <c r="R22" s="714"/>
      <c r="S22" s="715"/>
      <c r="T22" s="714"/>
      <c r="U22" s="715"/>
      <c r="V22" s="714"/>
      <c r="W22" s="715"/>
      <c r="X22" s="1540"/>
      <c r="Y22" s="3303"/>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71"/>
      <c r="Q23" s="1537" t="str">
        <f>B23</f>
        <v>自然及人文环境</v>
      </c>
      <c r="R23" s="714" t="s">
        <v>21</v>
      </c>
      <c r="S23" s="715">
        <f>F23</f>
        <v>100</v>
      </c>
      <c r="T23" s="714" t="s">
        <v>21</v>
      </c>
      <c r="U23" s="715">
        <f>H23</f>
        <v>100</v>
      </c>
      <c r="V23" s="714" t="s">
        <v>21</v>
      </c>
      <c r="W23" s="715">
        <f>J23</f>
        <v>100</v>
      </c>
      <c r="X23" s="1540"/>
      <c r="Y23" s="3303"/>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71"/>
      <c r="Q24" s="1537"/>
      <c r="R24" s="714"/>
      <c r="S24" s="715"/>
      <c r="T24" s="714"/>
      <c r="U24" s="715"/>
      <c r="V24" s="714"/>
      <c r="W24" s="715"/>
      <c r="X24" s="1540"/>
      <c r="Y24" s="3303"/>
      <c r="Z24" s="1541"/>
      <c r="AA24" s="1538">
        <v>1</v>
      </c>
      <c r="AB24" s="1538">
        <v>1</v>
      </c>
      <c r="AC24" s="1538">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7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03"/>
      <c r="Z25" s="1541" t="str">
        <f>Q25</f>
        <v>楼层-1</v>
      </c>
      <c r="AA25" s="1538">
        <f t="shared" ref="AA25:AA46" si="15">D25/F25</f>
        <v>1</v>
      </c>
      <c r="AB25" s="1538">
        <f t="shared" ref="AB25:AB46" si="16">D25/H25</f>
        <v>1</v>
      </c>
      <c r="AC25" s="1538">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71"/>
      <c r="Q26" s="1537" t="str">
        <f t="shared" si="11"/>
        <v>朝向</v>
      </c>
      <c r="R26" s="714" t="s">
        <v>21</v>
      </c>
      <c r="S26" s="715">
        <f t="shared" si="12"/>
        <v>100</v>
      </c>
      <c r="T26" s="714" t="s">
        <v>21</v>
      </c>
      <c r="U26" s="715">
        <f t="shared" si="13"/>
        <v>100</v>
      </c>
      <c r="V26" s="714" t="s">
        <v>21</v>
      </c>
      <c r="W26" s="715">
        <f t="shared" si="14"/>
        <v>100</v>
      </c>
      <c r="X26" s="1540"/>
      <c r="Y26" s="330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71"/>
      <c r="Q27" s="1528">
        <f t="shared" si="11"/>
        <v>111</v>
      </c>
      <c r="R27" s="710" t="s">
        <v>21</v>
      </c>
      <c r="S27" s="711">
        <f t="shared" si="12"/>
        <v>100</v>
      </c>
      <c r="T27" s="710" t="s">
        <v>21</v>
      </c>
      <c r="U27" s="711">
        <f t="shared" si="13"/>
        <v>100</v>
      </c>
      <c r="V27" s="710" t="s">
        <v>21</v>
      </c>
      <c r="W27" s="711">
        <f t="shared" si="14"/>
        <v>100</v>
      </c>
      <c r="X27" s="712"/>
      <c r="Y27" s="330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71"/>
      <c r="Q28" s="1537">
        <f t="shared" si="11"/>
        <v>111</v>
      </c>
      <c r="R28" s="714" t="s">
        <v>21</v>
      </c>
      <c r="S28" s="715">
        <f t="shared" si="12"/>
        <v>100</v>
      </c>
      <c r="T28" s="714" t="s">
        <v>21</v>
      </c>
      <c r="U28" s="715">
        <f t="shared" si="13"/>
        <v>100</v>
      </c>
      <c r="V28" s="714" t="s">
        <v>21</v>
      </c>
      <c r="W28" s="715">
        <f t="shared" si="14"/>
        <v>100</v>
      </c>
      <c r="X28" s="1540"/>
      <c r="Y28" s="330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71"/>
      <c r="Q29" s="1537">
        <f t="shared" si="11"/>
        <v>111</v>
      </c>
      <c r="R29" s="714" t="s">
        <v>21</v>
      </c>
      <c r="S29" s="715">
        <f t="shared" si="12"/>
        <v>100</v>
      </c>
      <c r="T29" s="714" t="s">
        <v>21</v>
      </c>
      <c r="U29" s="715">
        <f t="shared" si="13"/>
        <v>100</v>
      </c>
      <c r="V29" s="714" t="s">
        <v>21</v>
      </c>
      <c r="W29" s="715">
        <f t="shared" si="14"/>
        <v>100</v>
      </c>
      <c r="X29" s="1540"/>
      <c r="Y29" s="330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71"/>
      <c r="Q30" s="1537">
        <f t="shared" si="11"/>
        <v>111</v>
      </c>
      <c r="R30" s="714" t="s">
        <v>21</v>
      </c>
      <c r="S30" s="715">
        <f t="shared" si="12"/>
        <v>100</v>
      </c>
      <c r="T30" s="714" t="s">
        <v>21</v>
      </c>
      <c r="U30" s="715">
        <f t="shared" si="13"/>
        <v>100</v>
      </c>
      <c r="V30" s="714" t="s">
        <v>21</v>
      </c>
      <c r="W30" s="715">
        <f t="shared" si="14"/>
        <v>100</v>
      </c>
      <c r="X30" s="1540"/>
      <c r="Y30" s="330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71"/>
      <c r="Q31" s="1537">
        <f t="shared" si="11"/>
        <v>111</v>
      </c>
      <c r="R31" s="714" t="s">
        <v>21</v>
      </c>
      <c r="S31" s="715">
        <f t="shared" si="12"/>
        <v>100</v>
      </c>
      <c r="T31" s="714" t="s">
        <v>21</v>
      </c>
      <c r="U31" s="715">
        <f t="shared" si="13"/>
        <v>100</v>
      </c>
      <c r="V31" s="714" t="s">
        <v>21</v>
      </c>
      <c r="W31" s="715">
        <f t="shared" si="14"/>
        <v>100</v>
      </c>
      <c r="X31" s="1540"/>
      <c r="Y31" s="3303"/>
      <c r="Z31" s="1541">
        <f t="shared" si="18"/>
        <v>111</v>
      </c>
      <c r="AA31" s="1538">
        <f t="shared" si="15"/>
        <v>1</v>
      </c>
      <c r="AB31" s="1538">
        <f t="shared" si="16"/>
        <v>1</v>
      </c>
      <c r="AC31" s="1538">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66" t="s">
        <v>2384</v>
      </c>
      <c r="Q32" s="1537" t="str">
        <f t="shared" si="11"/>
        <v>建筑类型</v>
      </c>
      <c r="R32" s="714" t="s">
        <v>21</v>
      </c>
      <c r="S32" s="715">
        <f t="shared" si="12"/>
        <v>100</v>
      </c>
      <c r="T32" s="714" t="s">
        <v>21</v>
      </c>
      <c r="U32" s="715">
        <f t="shared" si="13"/>
        <v>100</v>
      </c>
      <c r="V32" s="714" t="s">
        <v>21</v>
      </c>
      <c r="W32" s="715">
        <f t="shared" si="14"/>
        <v>100</v>
      </c>
      <c r="X32" s="1540"/>
      <c r="Y32" s="3305" t="s">
        <v>2384</v>
      </c>
      <c r="Z32" s="1541" t="str">
        <f t="shared" si="18"/>
        <v>建筑类型</v>
      </c>
      <c r="AA32" s="1538">
        <f t="shared" si="15"/>
        <v>1</v>
      </c>
      <c r="AB32" s="1538">
        <f t="shared" si="16"/>
        <v>1</v>
      </c>
      <c r="AC32" s="1538">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67"/>
      <c r="Q33" s="716" t="str">
        <f t="shared" si="11"/>
        <v>项目建筑规模</v>
      </c>
      <c r="R33" s="717" t="s">
        <v>21</v>
      </c>
      <c r="S33" s="718" t="e">
        <f t="shared" si="12"/>
        <v>#N/A</v>
      </c>
      <c r="T33" s="717" t="s">
        <v>21</v>
      </c>
      <c r="U33" s="718" t="e">
        <f t="shared" si="13"/>
        <v>#N/A</v>
      </c>
      <c r="V33" s="717" t="s">
        <v>21</v>
      </c>
      <c r="W33" s="718" t="e">
        <f t="shared" si="14"/>
        <v>#N/A</v>
      </c>
      <c r="X33" s="719"/>
      <c r="Y33" s="3305"/>
      <c r="Z33" s="720" t="str">
        <f t="shared" si="18"/>
        <v>项目建筑规模</v>
      </c>
      <c r="AA33" s="1538" t="e">
        <f t="shared" si="15"/>
        <v>#N/A</v>
      </c>
      <c r="AB33" s="1538" t="e">
        <f t="shared" si="16"/>
        <v>#N/A</v>
      </c>
      <c r="AC33" s="1538"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67"/>
      <c r="Q34" s="1537" t="str">
        <f t="shared" si="11"/>
        <v>建筑结构</v>
      </c>
      <c r="R34" s="714" t="s">
        <v>21</v>
      </c>
      <c r="S34" s="715">
        <f t="shared" si="12"/>
        <v>100</v>
      </c>
      <c r="T34" s="714" t="s">
        <v>21</v>
      </c>
      <c r="U34" s="715">
        <f t="shared" si="13"/>
        <v>100</v>
      </c>
      <c r="V34" s="714" t="s">
        <v>21</v>
      </c>
      <c r="W34" s="715">
        <f t="shared" si="14"/>
        <v>100</v>
      </c>
      <c r="X34" s="1540"/>
      <c r="Y34" s="3305"/>
      <c r="Z34" s="1541" t="str">
        <f t="shared" si="18"/>
        <v>建筑结构</v>
      </c>
      <c r="AA34" s="1538">
        <f t="shared" si="15"/>
        <v>1</v>
      </c>
      <c r="AB34" s="1538">
        <f t="shared" si="16"/>
        <v>1</v>
      </c>
      <c r="AC34" s="1538">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67"/>
      <c r="Q35" s="1537" t="str">
        <f t="shared" si="11"/>
        <v>建筑品质</v>
      </c>
      <c r="R35" s="714" t="s">
        <v>21</v>
      </c>
      <c r="S35" s="715">
        <f t="shared" si="12"/>
        <v>100</v>
      </c>
      <c r="T35" s="714" t="s">
        <v>21</v>
      </c>
      <c r="U35" s="715">
        <f t="shared" si="13"/>
        <v>100</v>
      </c>
      <c r="V35" s="714" t="s">
        <v>21</v>
      </c>
      <c r="W35" s="715">
        <f t="shared" si="14"/>
        <v>100</v>
      </c>
      <c r="X35" s="1540"/>
      <c r="Y35" s="3305"/>
      <c r="Z35" s="1541" t="str">
        <f t="shared" si="18"/>
        <v>建筑品质</v>
      </c>
      <c r="AA35" s="1538">
        <f t="shared" si="15"/>
        <v>1</v>
      </c>
      <c r="AB35" s="1538">
        <f t="shared" si="16"/>
        <v>1</v>
      </c>
      <c r="AC35" s="1538">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67"/>
      <c r="Q36" s="1537" t="str">
        <f t="shared" si="11"/>
        <v>公共部分装修</v>
      </c>
      <c r="R36" s="714" t="s">
        <v>21</v>
      </c>
      <c r="S36" s="715">
        <f t="shared" si="12"/>
        <v>100</v>
      </c>
      <c r="T36" s="714" t="s">
        <v>21</v>
      </c>
      <c r="U36" s="715">
        <f t="shared" si="13"/>
        <v>100</v>
      </c>
      <c r="V36" s="714" t="s">
        <v>21</v>
      </c>
      <c r="W36" s="715">
        <f t="shared" si="14"/>
        <v>100</v>
      </c>
      <c r="X36" s="1540"/>
      <c r="Y36" s="3305"/>
      <c r="Z36" s="1541" t="str">
        <f t="shared" si="18"/>
        <v>公共部分装修</v>
      </c>
      <c r="AA36" s="1538">
        <f t="shared" si="15"/>
        <v>1</v>
      </c>
      <c r="AB36" s="1538">
        <f t="shared" si="16"/>
        <v>1</v>
      </c>
      <c r="AC36" s="1538">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67"/>
      <c r="Q37" s="1528" t="str">
        <f t="shared" si="11"/>
        <v>成新度</v>
      </c>
      <c r="R37" s="710" t="s">
        <v>21</v>
      </c>
      <c r="S37" s="711" t="e">
        <f t="shared" si="12"/>
        <v>#N/A</v>
      </c>
      <c r="T37" s="710" t="s">
        <v>21</v>
      </c>
      <c r="U37" s="711" t="e">
        <f t="shared" si="13"/>
        <v>#N/A</v>
      </c>
      <c r="V37" s="710" t="s">
        <v>21</v>
      </c>
      <c r="W37" s="711" t="e">
        <f t="shared" si="14"/>
        <v>#N/A</v>
      </c>
      <c r="X37" s="712"/>
      <c r="Y37" s="3305"/>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67" t="s">
        <v>2384</v>
      </c>
      <c r="Q38" s="1537" t="str">
        <f t="shared" si="11"/>
        <v>物业管理</v>
      </c>
      <c r="R38" s="714" t="s">
        <v>21</v>
      </c>
      <c r="S38" s="715">
        <f t="shared" si="12"/>
        <v>100</v>
      </c>
      <c r="T38" s="714" t="s">
        <v>21</v>
      </c>
      <c r="U38" s="715">
        <f t="shared" si="13"/>
        <v>100</v>
      </c>
      <c r="V38" s="714" t="s">
        <v>21</v>
      </c>
      <c r="W38" s="715">
        <f t="shared" si="14"/>
        <v>100</v>
      </c>
      <c r="X38" s="1540"/>
      <c r="Y38" s="3305" t="s">
        <v>2384</v>
      </c>
      <c r="Z38" s="1541" t="str">
        <f t="shared" si="18"/>
        <v>物业管理</v>
      </c>
      <c r="AA38" s="1538">
        <f t="shared" si="15"/>
        <v>1</v>
      </c>
      <c r="AB38" s="1538">
        <f t="shared" si="16"/>
        <v>1</v>
      </c>
      <c r="AC38" s="1538">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67"/>
      <c r="Q39" s="1537" t="str">
        <f t="shared" si="11"/>
        <v>市政基础设施</v>
      </c>
      <c r="R39" s="714" t="s">
        <v>21</v>
      </c>
      <c r="S39" s="715">
        <f t="shared" si="12"/>
        <v>100</v>
      </c>
      <c r="T39" s="714" t="s">
        <v>21</v>
      </c>
      <c r="U39" s="715">
        <f t="shared" si="13"/>
        <v>100</v>
      </c>
      <c r="V39" s="714" t="s">
        <v>21</v>
      </c>
      <c r="W39" s="715">
        <f t="shared" si="14"/>
        <v>100</v>
      </c>
      <c r="X39" s="1540"/>
      <c r="Y39" s="3305"/>
      <c r="Z39" s="1541" t="str">
        <f t="shared" si="18"/>
        <v>市政基础设施</v>
      </c>
      <c r="AA39" s="1538">
        <f t="shared" si="15"/>
        <v>1</v>
      </c>
      <c r="AB39" s="1538">
        <f t="shared" si="16"/>
        <v>1</v>
      </c>
      <c r="AC39" s="1538">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67"/>
      <c r="Q40" s="1537" t="str">
        <f t="shared" si="11"/>
        <v>房型</v>
      </c>
      <c r="R40" s="714" t="s">
        <v>21</v>
      </c>
      <c r="S40" s="715">
        <f t="shared" si="12"/>
        <v>100</v>
      </c>
      <c r="T40" s="714" t="s">
        <v>21</v>
      </c>
      <c r="U40" s="715">
        <f t="shared" si="13"/>
        <v>100</v>
      </c>
      <c r="V40" s="714" t="s">
        <v>21</v>
      </c>
      <c r="W40" s="715">
        <f t="shared" si="14"/>
        <v>100</v>
      </c>
      <c r="X40" s="1540"/>
      <c r="Y40" s="3305"/>
      <c r="Z40" s="1541" t="str">
        <f t="shared" si="18"/>
        <v>房型</v>
      </c>
      <c r="AA40" s="1538">
        <f t="shared" si="15"/>
        <v>1</v>
      </c>
      <c r="AB40" s="1538">
        <f t="shared" si="16"/>
        <v>1</v>
      </c>
      <c r="AC40" s="1538">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67"/>
      <c r="Q41" s="716" t="str">
        <f t="shared" si="11"/>
        <v>单套/主力户型建筑面积</v>
      </c>
      <c r="R41" s="717" t="s">
        <v>21</v>
      </c>
      <c r="S41" s="718">
        <f t="shared" si="12"/>
        <v>100</v>
      </c>
      <c r="T41" s="717" t="s">
        <v>21</v>
      </c>
      <c r="U41" s="718">
        <f t="shared" si="13"/>
        <v>100</v>
      </c>
      <c r="V41" s="717" t="s">
        <v>21</v>
      </c>
      <c r="W41" s="718">
        <f t="shared" si="14"/>
        <v>100</v>
      </c>
      <c r="X41" s="719"/>
      <c r="Y41" s="3305"/>
      <c r="Z41" s="720" t="str">
        <f t="shared" si="18"/>
        <v>单套/主力户型建筑面积</v>
      </c>
      <c r="AA41" s="1538">
        <f t="shared" si="15"/>
        <v>1</v>
      </c>
      <c r="AB41" s="1538">
        <f t="shared" si="16"/>
        <v>1</v>
      </c>
      <c r="AC41" s="1538">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67"/>
      <c r="Q42" s="1537" t="str">
        <f t="shared" si="11"/>
        <v>内部装修</v>
      </c>
      <c r="R42" s="714" t="s">
        <v>21</v>
      </c>
      <c r="S42" s="715">
        <f t="shared" si="12"/>
        <v>100</v>
      </c>
      <c r="T42" s="714" t="s">
        <v>21</v>
      </c>
      <c r="U42" s="715">
        <f t="shared" si="13"/>
        <v>100</v>
      </c>
      <c r="V42" s="714" t="s">
        <v>21</v>
      </c>
      <c r="W42" s="715">
        <f t="shared" si="14"/>
        <v>100</v>
      </c>
      <c r="X42" s="1540"/>
      <c r="Y42" s="3305"/>
      <c r="Z42" s="1541" t="str">
        <f t="shared" si="18"/>
        <v>内部装修</v>
      </c>
      <c r="AA42" s="1538">
        <f t="shared" si="15"/>
        <v>1</v>
      </c>
      <c r="AB42" s="1538">
        <f t="shared" si="16"/>
        <v>1</v>
      </c>
      <c r="AC42" s="1538">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67"/>
      <c r="Q43" s="1537" t="str">
        <f t="shared" si="11"/>
        <v>内部装修维护情况</v>
      </c>
      <c r="R43" s="714" t="s">
        <v>21</v>
      </c>
      <c r="S43" s="715">
        <f t="shared" si="12"/>
        <v>100</v>
      </c>
      <c r="T43" s="714" t="s">
        <v>21</v>
      </c>
      <c r="U43" s="715">
        <f t="shared" si="13"/>
        <v>100</v>
      </c>
      <c r="V43" s="714" t="s">
        <v>21</v>
      </c>
      <c r="W43" s="715">
        <f t="shared" si="14"/>
        <v>100</v>
      </c>
      <c r="X43" s="1540"/>
      <c r="Y43" s="330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67"/>
      <c r="Q44" s="1528">
        <f t="shared" si="11"/>
        <v>111</v>
      </c>
      <c r="R44" s="710" t="s">
        <v>21</v>
      </c>
      <c r="S44" s="711">
        <f t="shared" si="12"/>
        <v>100</v>
      </c>
      <c r="T44" s="710" t="s">
        <v>21</v>
      </c>
      <c r="U44" s="711">
        <f t="shared" si="13"/>
        <v>100</v>
      </c>
      <c r="V44" s="710" t="s">
        <v>21</v>
      </c>
      <c r="W44" s="711">
        <f t="shared" si="14"/>
        <v>100</v>
      </c>
      <c r="X44" s="712"/>
      <c r="Y44" s="330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67"/>
      <c r="Q45" s="1537">
        <f t="shared" si="11"/>
        <v>111</v>
      </c>
      <c r="R45" s="714" t="s">
        <v>21</v>
      </c>
      <c r="S45" s="715">
        <f t="shared" si="12"/>
        <v>100</v>
      </c>
      <c r="T45" s="714" t="s">
        <v>21</v>
      </c>
      <c r="U45" s="715">
        <f t="shared" si="13"/>
        <v>100</v>
      </c>
      <c r="V45" s="714" t="s">
        <v>21</v>
      </c>
      <c r="W45" s="715">
        <f t="shared" si="14"/>
        <v>100</v>
      </c>
      <c r="X45" s="1540"/>
      <c r="Y45" s="3305"/>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68"/>
      <c r="Q46" s="1537">
        <f t="shared" si="11"/>
        <v>111</v>
      </c>
      <c r="R46" s="714" t="s">
        <v>20</v>
      </c>
      <c r="S46" s="715">
        <f t="shared" si="12"/>
        <v>100</v>
      </c>
      <c r="T46" s="714" t="s">
        <v>20</v>
      </c>
      <c r="U46" s="715">
        <f t="shared" si="13"/>
        <v>100</v>
      </c>
      <c r="V46" s="714" t="s">
        <v>20</v>
      </c>
      <c r="W46" s="715">
        <f t="shared" si="14"/>
        <v>100</v>
      </c>
      <c r="X46" s="1540"/>
      <c r="Y46" s="3369"/>
      <c r="Z46" s="1541">
        <f t="shared" si="18"/>
        <v>111</v>
      </c>
      <c r="AA46" s="1538">
        <f t="shared" si="15"/>
        <v>1</v>
      </c>
      <c r="AB46" s="1538">
        <f t="shared" si="16"/>
        <v>1</v>
      </c>
      <c r="AC46" s="1538">
        <f t="shared" si="17"/>
        <v>1</v>
      </c>
    </row>
    <row r="47" spans="1:29" ht="15">
      <c r="A47" s="438" t="s">
        <v>2396</v>
      </c>
      <c r="B47" s="439"/>
      <c r="C47" s="1316" t="s">
        <v>19</v>
      </c>
      <c r="D47" s="1317"/>
      <c r="E47" s="1318"/>
      <c r="F47" s="1319"/>
      <c r="G47" s="1320"/>
      <c r="H47" s="1321"/>
      <c r="I47" s="1318"/>
      <c r="J47" s="1321"/>
      <c r="K47" s="2100"/>
      <c r="L47" s="2953"/>
      <c r="M47" s="2954"/>
      <c r="N47" s="2945"/>
      <c r="O47" s="2954"/>
      <c r="P47" s="3300" t="str">
        <f>A47</f>
        <v>成交单价（元/平方米）</v>
      </c>
      <c r="Q47" s="3300"/>
      <c r="R47" s="3365">
        <f>E47</f>
        <v>0</v>
      </c>
      <c r="S47" s="3365"/>
      <c r="T47" s="3365">
        <f>G47</f>
        <v>0</v>
      </c>
      <c r="U47" s="3365"/>
      <c r="V47" s="3365">
        <f>I47</f>
        <v>0</v>
      </c>
      <c r="W47" s="3365"/>
      <c r="X47" s="699"/>
      <c r="Y47" s="721"/>
      <c r="Z47" s="699"/>
      <c r="AA47" s="699"/>
      <c r="AB47" s="699"/>
      <c r="AC47" s="699"/>
    </row>
    <row r="48" spans="1:29" ht="15.75" thickBot="1">
      <c r="A48" s="445" t="s">
        <v>2397</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00" t="str">
        <f>A48</f>
        <v>比较价值（元/平方米）</v>
      </c>
      <c r="Q48" s="3300"/>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3"/>
      <c r="M49" s="2954"/>
      <c r="N49" s="2954"/>
      <c r="O49" s="2954"/>
      <c r="P49" s="3294" t="str">
        <f>A49</f>
        <v>估价对象XX用房的比较价值（楼面单价，元/平方米）</v>
      </c>
      <c r="Q49" s="3295"/>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2"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16412.019999999993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2464</v>
      </c>
      <c r="B4" s="362"/>
      <c r="C4" s="3297" t="s">
        <v>2465</v>
      </c>
      <c r="D4" s="3310"/>
      <c r="E4" s="3311" t="s">
        <v>2466</v>
      </c>
      <c r="F4" s="3312"/>
      <c r="G4" s="3297" t="s">
        <v>2467</v>
      </c>
      <c r="H4" s="3310"/>
      <c r="I4" s="3297" t="s">
        <v>2468</v>
      </c>
      <c r="J4" s="3310"/>
      <c r="K4" s="567" t="s">
        <v>2469</v>
      </c>
      <c r="L4" s="2944"/>
      <c r="M4" s="2945"/>
      <c r="N4" s="2945"/>
      <c r="O4" s="2945"/>
      <c r="P4" s="3313" t="s">
        <v>2470</v>
      </c>
      <c r="Q4" s="3314"/>
      <c r="R4" s="3319" t="s">
        <v>2466</v>
      </c>
      <c r="S4" s="3320"/>
      <c r="T4" s="3319" t="s">
        <v>2467</v>
      </c>
      <c r="U4" s="3320"/>
      <c r="V4" s="3306" t="s">
        <v>2468</v>
      </c>
      <c r="W4" s="3306"/>
      <c r="X4" s="1540"/>
      <c r="Y4" s="3319" t="s">
        <v>2470</v>
      </c>
      <c r="Z4" s="3320"/>
      <c r="AA4" s="3307" t="s">
        <v>2466</v>
      </c>
      <c r="AB4" s="3306" t="s">
        <v>2467</v>
      </c>
      <c r="AC4" s="3307" t="s">
        <v>2468</v>
      </c>
    </row>
    <row r="5" spans="1:29" ht="15">
      <c r="A5" s="364"/>
      <c r="B5" s="365"/>
      <c r="C5" s="3327" t="s">
        <v>2361</v>
      </c>
      <c r="D5" s="3328"/>
      <c r="E5" s="3334" t="s">
        <v>2362</v>
      </c>
      <c r="F5" s="3335"/>
      <c r="G5" s="3327" t="s">
        <v>2363</v>
      </c>
      <c r="H5" s="3328"/>
      <c r="I5" s="3327" t="s">
        <v>2364</v>
      </c>
      <c r="J5" s="3328"/>
      <c r="K5" s="567"/>
      <c r="L5" s="2944"/>
      <c r="M5" s="2945"/>
      <c r="N5" s="2945"/>
      <c r="O5" s="2945"/>
      <c r="P5" s="3315"/>
      <c r="Q5" s="3316"/>
      <c r="R5" s="3321"/>
      <c r="S5" s="3322"/>
      <c r="T5" s="3321"/>
      <c r="U5" s="3322"/>
      <c r="V5" s="3306"/>
      <c r="W5" s="3306"/>
      <c r="X5" s="1540"/>
      <c r="Y5" s="3321"/>
      <c r="Z5" s="3322"/>
      <c r="AA5" s="3308"/>
      <c r="AB5" s="3306"/>
      <c r="AC5" s="3308"/>
    </row>
    <row r="6" spans="1:29" ht="15.75" thickBot="1">
      <c r="A6" s="366"/>
      <c r="B6" s="367"/>
      <c r="C6" s="3325" t="s">
        <v>2365</v>
      </c>
      <c r="D6" s="3326"/>
      <c r="E6" s="3332" t="s">
        <v>2365</v>
      </c>
      <c r="F6" s="3333"/>
      <c r="G6" s="3325" t="s">
        <v>2365</v>
      </c>
      <c r="H6" s="3326"/>
      <c r="I6" s="3325" t="s">
        <v>2365</v>
      </c>
      <c r="J6" s="3326"/>
      <c r="K6" s="567" t="s">
        <v>2366</v>
      </c>
      <c r="L6" s="2944"/>
      <c r="M6" s="2945"/>
      <c r="N6" s="2945"/>
      <c r="O6" s="2945"/>
      <c r="P6" s="3317"/>
      <c r="Q6" s="3318"/>
      <c r="R6" s="3321"/>
      <c r="S6" s="3322"/>
      <c r="T6" s="3323"/>
      <c r="U6" s="3324"/>
      <c r="V6" s="3306"/>
      <c r="W6" s="3306"/>
      <c r="X6" s="1540"/>
      <c r="Y6" s="3323"/>
      <c r="Z6" s="3324"/>
      <c r="AA6" s="3309"/>
      <c r="AB6" s="3306"/>
      <c r="AC6" s="3309"/>
    </row>
    <row r="7" spans="1:29" s="113" customFormat="1" ht="15.75" thickBot="1">
      <c r="A7" s="368" t="s">
        <v>2367</v>
      </c>
      <c r="B7" s="369"/>
      <c r="C7" s="370">
        <f>'数据-取费表'!B2</f>
        <v>44236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9" t="s">
        <v>2368</v>
      </c>
      <c r="Q7" s="3331"/>
      <c r="R7" s="710" t="s">
        <v>17</v>
      </c>
      <c r="S7" s="711">
        <f t="shared" ref="S7:S15" si="0">F7</f>
        <v>0</v>
      </c>
      <c r="T7" s="710" t="s">
        <v>17</v>
      </c>
      <c r="U7" s="711">
        <f t="shared" ref="U7:U15" si="1">H7</f>
        <v>0</v>
      </c>
      <c r="V7" s="710" t="s">
        <v>17</v>
      </c>
      <c r="W7" s="711">
        <f t="shared" ref="W7:W15" si="2">J7</f>
        <v>0</v>
      </c>
      <c r="X7" s="712"/>
      <c r="Y7" s="3329" t="s">
        <v>2368</v>
      </c>
      <c r="Z7" s="333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9" t="s">
        <v>2371</v>
      </c>
      <c r="Q8" s="3330"/>
      <c r="R8" s="710" t="s">
        <v>17</v>
      </c>
      <c r="S8" s="711">
        <f t="shared" si="0"/>
        <v>0</v>
      </c>
      <c r="T8" s="710" t="s">
        <v>17</v>
      </c>
      <c r="U8" s="711">
        <f t="shared" si="1"/>
        <v>0</v>
      </c>
      <c r="V8" s="710" t="s">
        <v>17</v>
      </c>
      <c r="W8" s="711">
        <f t="shared" si="2"/>
        <v>0</v>
      </c>
      <c r="X8" s="712"/>
      <c r="Y8" s="3329" t="s">
        <v>2371</v>
      </c>
      <c r="Z8" s="333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9"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9"/>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9"/>
      <c r="Q11" s="1528" t="str">
        <f t="shared" si="6"/>
        <v>容积率</v>
      </c>
      <c r="R11" s="710" t="s">
        <v>17</v>
      </c>
      <c r="S11" s="711" t="e">
        <f t="shared" si="0"/>
        <v>#N/A</v>
      </c>
      <c r="T11" s="710" t="s">
        <v>17</v>
      </c>
      <c r="U11" s="711" t="e">
        <f t="shared" si="1"/>
        <v>#N/A</v>
      </c>
      <c r="V11" s="710" t="s">
        <v>17</v>
      </c>
      <c r="W11" s="711" t="e">
        <f t="shared" si="2"/>
        <v>#N/A</v>
      </c>
      <c r="X11" s="712"/>
      <c r="Y11" s="319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9"/>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9"/>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9"/>
      <c r="Q14" s="1528">
        <f t="shared" si="6"/>
        <v>111</v>
      </c>
      <c r="R14" s="710" t="s">
        <v>17</v>
      </c>
      <c r="S14" s="711">
        <f t="shared" si="0"/>
        <v>100</v>
      </c>
      <c r="T14" s="710" t="s">
        <v>17</v>
      </c>
      <c r="U14" s="711">
        <f t="shared" si="1"/>
        <v>100</v>
      </c>
      <c r="V14" s="710" t="s">
        <v>17</v>
      </c>
      <c r="W14" s="711">
        <f t="shared" si="2"/>
        <v>100</v>
      </c>
      <c r="X14" s="712"/>
      <c r="Y14" s="3194"/>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70" t="s">
        <v>2379</v>
      </c>
      <c r="Q15" s="1537" t="str">
        <f t="shared" si="6"/>
        <v>商业繁华度</v>
      </c>
      <c r="R15" s="714" t="s">
        <v>17</v>
      </c>
      <c r="S15" s="715">
        <f t="shared" si="0"/>
        <v>100</v>
      </c>
      <c r="T15" s="714" t="s">
        <v>17</v>
      </c>
      <c r="U15" s="715">
        <f t="shared" si="1"/>
        <v>100</v>
      </c>
      <c r="V15" s="714" t="s">
        <v>17</v>
      </c>
      <c r="W15" s="715">
        <f t="shared" si="2"/>
        <v>100</v>
      </c>
      <c r="X15" s="1540"/>
      <c r="Y15" s="3302" t="s">
        <v>2379</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71"/>
      <c r="Q16" s="1537"/>
      <c r="R16" s="714"/>
      <c r="S16" s="715"/>
      <c r="T16" s="714"/>
      <c r="U16" s="715"/>
      <c r="V16" s="714"/>
      <c r="W16" s="715"/>
      <c r="X16" s="1540"/>
      <c r="Y16" s="3303"/>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71"/>
      <c r="Q17" s="1537" t="str">
        <f>B17</f>
        <v>交通便捷度</v>
      </c>
      <c r="R17" s="714" t="s">
        <v>17</v>
      </c>
      <c r="S17" s="715">
        <f>F17</f>
        <v>100</v>
      </c>
      <c r="T17" s="714" t="s">
        <v>17</v>
      </c>
      <c r="U17" s="715">
        <f>H17</f>
        <v>100</v>
      </c>
      <c r="V17" s="714" t="s">
        <v>17</v>
      </c>
      <c r="W17" s="715">
        <f>J17</f>
        <v>100</v>
      </c>
      <c r="X17" s="1540"/>
      <c r="Y17" s="330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71"/>
      <c r="Q18" s="1537"/>
      <c r="R18" s="714"/>
      <c r="S18" s="715"/>
      <c r="T18" s="714"/>
      <c r="U18" s="715"/>
      <c r="V18" s="714"/>
      <c r="W18" s="715"/>
      <c r="X18" s="1540"/>
      <c r="Y18" s="3303"/>
      <c r="Z18" s="1541"/>
      <c r="AA18" s="1538">
        <v>1</v>
      </c>
      <c r="AB18" s="1538">
        <v>1</v>
      </c>
      <c r="AC18" s="1538">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71"/>
      <c r="Q19" s="1537" t="str">
        <f>B19</f>
        <v>公共配套设施</v>
      </c>
      <c r="R19" s="714" t="s">
        <v>17</v>
      </c>
      <c r="S19" s="715">
        <f>F19</f>
        <v>100</v>
      </c>
      <c r="T19" s="714" t="s">
        <v>17</v>
      </c>
      <c r="U19" s="715">
        <f>H19</f>
        <v>100</v>
      </c>
      <c r="V19" s="714" t="s">
        <v>17</v>
      </c>
      <c r="W19" s="715">
        <f>J19</f>
        <v>100</v>
      </c>
      <c r="X19" s="1540"/>
      <c r="Y19" s="330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71"/>
      <c r="Q20" s="1537"/>
      <c r="R20" s="714"/>
      <c r="S20" s="715"/>
      <c r="T20" s="714"/>
      <c r="U20" s="715"/>
      <c r="V20" s="714"/>
      <c r="W20" s="715"/>
      <c r="X20" s="1540"/>
      <c r="Y20" s="3303"/>
      <c r="Z20" s="1541"/>
      <c r="AA20" s="1538">
        <v>1</v>
      </c>
      <c r="AB20" s="1538">
        <v>1</v>
      </c>
      <c r="AC20" s="1538">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71"/>
      <c r="Q21" s="1537" t="str">
        <f>B21</f>
        <v>基础设施水平</v>
      </c>
      <c r="R21" s="714" t="s">
        <v>17</v>
      </c>
      <c r="S21" s="715">
        <f>F21</f>
        <v>100</v>
      </c>
      <c r="T21" s="714" t="s">
        <v>17</v>
      </c>
      <c r="U21" s="715">
        <f>H21</f>
        <v>100</v>
      </c>
      <c r="V21" s="714" t="s">
        <v>17</v>
      </c>
      <c r="W21" s="715">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1"/>
      <c r="M22" s="2945"/>
      <c r="N22" s="2945"/>
      <c r="O22" s="2945"/>
      <c r="P22" s="3371"/>
      <c r="Q22" s="1537"/>
      <c r="R22" s="714"/>
      <c r="S22" s="715"/>
      <c r="T22" s="714"/>
      <c r="U22" s="715"/>
      <c r="V22" s="714"/>
      <c r="W22" s="715"/>
      <c r="X22" s="1540"/>
      <c r="Y22" s="3303"/>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71"/>
      <c r="Q23" s="1537" t="str">
        <f>B23</f>
        <v>自然及人文环境</v>
      </c>
      <c r="R23" s="714" t="s">
        <v>17</v>
      </c>
      <c r="S23" s="715">
        <f>F23</f>
        <v>100</v>
      </c>
      <c r="T23" s="714" t="s">
        <v>17</v>
      </c>
      <c r="U23" s="715">
        <f>H23</f>
        <v>100</v>
      </c>
      <c r="V23" s="714" t="s">
        <v>17</v>
      </c>
      <c r="W23" s="715">
        <f>J23</f>
        <v>100</v>
      </c>
      <c r="X23" s="1540"/>
      <c r="Y23" s="3303"/>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71"/>
      <c r="Q24" s="1537"/>
      <c r="R24" s="714"/>
      <c r="S24" s="715"/>
      <c r="T24" s="714"/>
      <c r="U24" s="715"/>
      <c r="V24" s="714"/>
      <c r="W24" s="715"/>
      <c r="X24" s="1540"/>
      <c r="Y24" s="3303"/>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71"/>
      <c r="Q25" s="1537" t="str">
        <f t="shared" ref="Q25:Q46" si="11">B25</f>
        <v>临街状况</v>
      </c>
      <c r="R25" s="714" t="s">
        <v>17</v>
      </c>
      <c r="S25" s="715">
        <f>F25</f>
        <v>100</v>
      </c>
      <c r="T25" s="714" t="s">
        <v>17</v>
      </c>
      <c r="U25" s="715">
        <f>H25</f>
        <v>100</v>
      </c>
      <c r="V25" s="714" t="s">
        <v>17</v>
      </c>
      <c r="W25" s="715">
        <f>J25</f>
        <v>100</v>
      </c>
      <c r="X25" s="1540"/>
      <c r="Y25" s="3303"/>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71"/>
      <c r="Q26" s="1537" t="str">
        <f t="shared" si="11"/>
        <v>平面位置/可视性</v>
      </c>
      <c r="R26" s="714" t="s">
        <v>17</v>
      </c>
      <c r="S26" s="715">
        <f>F26</f>
        <v>100</v>
      </c>
      <c r="T26" s="714" t="s">
        <v>17</v>
      </c>
      <c r="U26" s="715">
        <f>H26</f>
        <v>100</v>
      </c>
      <c r="V26" s="714" t="s">
        <v>17</v>
      </c>
      <c r="W26" s="715">
        <f>J26</f>
        <v>100</v>
      </c>
      <c r="X26" s="1540"/>
      <c r="Y26" s="3303"/>
      <c r="Z26" s="1541" t="str">
        <f>Q26</f>
        <v>平面位置/可视性</v>
      </c>
      <c r="AA26" s="1538">
        <f t="shared" si="3"/>
        <v>1</v>
      </c>
      <c r="AB26" s="1538">
        <f t="shared" si="4"/>
        <v>1</v>
      </c>
      <c r="AC26" s="1538">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71"/>
      <c r="Q27" s="1528" t="str">
        <f t="shared" si="11"/>
        <v>人流量</v>
      </c>
      <c r="R27" s="710" t="s">
        <v>17</v>
      </c>
      <c r="S27" s="711">
        <f>F27</f>
        <v>100</v>
      </c>
      <c r="T27" s="710" t="s">
        <v>17</v>
      </c>
      <c r="U27" s="711">
        <f>H27</f>
        <v>100</v>
      </c>
      <c r="V27" s="710" t="s">
        <v>17</v>
      </c>
      <c r="W27" s="711">
        <f>J27</f>
        <v>100</v>
      </c>
      <c r="X27" s="712"/>
      <c r="Y27" s="3303"/>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7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0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71"/>
      <c r="Q29" s="1537">
        <f t="shared" si="11"/>
        <v>111</v>
      </c>
      <c r="R29" s="714" t="s">
        <v>17</v>
      </c>
      <c r="S29" s="715">
        <f t="shared" si="12"/>
        <v>100</v>
      </c>
      <c r="T29" s="714" t="s">
        <v>17</v>
      </c>
      <c r="U29" s="715">
        <f t="shared" si="13"/>
        <v>100</v>
      </c>
      <c r="V29" s="714" t="s">
        <v>17</v>
      </c>
      <c r="W29" s="715">
        <f t="shared" si="14"/>
        <v>100</v>
      </c>
      <c r="X29" s="1540"/>
      <c r="Y29" s="330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71"/>
      <c r="Q30" s="1537">
        <f t="shared" si="11"/>
        <v>111</v>
      </c>
      <c r="R30" s="714" t="s">
        <v>17</v>
      </c>
      <c r="S30" s="715">
        <f t="shared" si="12"/>
        <v>100</v>
      </c>
      <c r="T30" s="714" t="s">
        <v>17</v>
      </c>
      <c r="U30" s="715">
        <f t="shared" si="13"/>
        <v>100</v>
      </c>
      <c r="V30" s="714" t="s">
        <v>17</v>
      </c>
      <c r="W30" s="715">
        <f t="shared" si="14"/>
        <v>100</v>
      </c>
      <c r="X30" s="1540"/>
      <c r="Y30" s="330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71"/>
      <c r="Q31" s="1537">
        <f t="shared" si="11"/>
        <v>111</v>
      </c>
      <c r="R31" s="714" t="s">
        <v>17</v>
      </c>
      <c r="S31" s="715">
        <f t="shared" si="12"/>
        <v>100</v>
      </c>
      <c r="T31" s="714" t="s">
        <v>17</v>
      </c>
      <c r="U31" s="715">
        <f t="shared" si="13"/>
        <v>100</v>
      </c>
      <c r="V31" s="714" t="s">
        <v>17</v>
      </c>
      <c r="W31" s="715">
        <f t="shared" si="14"/>
        <v>100</v>
      </c>
      <c r="X31" s="1540"/>
      <c r="Y31" s="3303"/>
      <c r="Z31" s="1541">
        <f t="shared" si="15"/>
        <v>111</v>
      </c>
      <c r="AA31" s="1538">
        <f t="shared" si="3"/>
        <v>1</v>
      </c>
      <c r="AB31" s="1538">
        <f t="shared" si="4"/>
        <v>1</v>
      </c>
      <c r="AC31" s="1538">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66" t="s">
        <v>2384</v>
      </c>
      <c r="Q32" s="1537" t="str">
        <f t="shared" si="11"/>
        <v>商业类型</v>
      </c>
      <c r="R32" s="714" t="s">
        <v>17</v>
      </c>
      <c r="S32" s="715">
        <f t="shared" si="12"/>
        <v>100</v>
      </c>
      <c r="T32" s="714" t="s">
        <v>17</v>
      </c>
      <c r="U32" s="715">
        <f t="shared" si="13"/>
        <v>100</v>
      </c>
      <c r="V32" s="714" t="s">
        <v>17</v>
      </c>
      <c r="W32" s="715">
        <f t="shared" si="14"/>
        <v>100</v>
      </c>
      <c r="X32" s="1540"/>
      <c r="Y32" s="3305" t="s">
        <v>2384</v>
      </c>
      <c r="Z32" s="1541" t="str">
        <f t="shared" si="15"/>
        <v>商业类型</v>
      </c>
      <c r="AA32" s="1538">
        <f t="shared" si="3"/>
        <v>1</v>
      </c>
      <c r="AB32" s="1538">
        <f t="shared" si="4"/>
        <v>1</v>
      </c>
      <c r="AC32" s="1538">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67"/>
      <c r="Q33" s="716" t="str">
        <f t="shared" si="11"/>
        <v>项目建筑规模</v>
      </c>
      <c r="R33" s="717" t="s">
        <v>17</v>
      </c>
      <c r="S33" s="718" t="e">
        <f t="shared" si="12"/>
        <v>#N/A</v>
      </c>
      <c r="T33" s="717" t="s">
        <v>17</v>
      </c>
      <c r="U33" s="718" t="e">
        <f t="shared" si="13"/>
        <v>#N/A</v>
      </c>
      <c r="V33" s="717" t="s">
        <v>17</v>
      </c>
      <c r="W33" s="718" t="e">
        <f t="shared" si="14"/>
        <v>#N/A</v>
      </c>
      <c r="X33" s="719"/>
      <c r="Y33" s="3305"/>
      <c r="Z33" s="720" t="str">
        <f t="shared" si="15"/>
        <v>项目建筑规模</v>
      </c>
      <c r="AA33" s="1538" t="e">
        <f t="shared" si="3"/>
        <v>#N/A</v>
      </c>
      <c r="AB33" s="1538" t="e">
        <f t="shared" si="4"/>
        <v>#N/A</v>
      </c>
      <c r="AC33" s="1538"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67"/>
      <c r="Q34" s="1537" t="str">
        <f t="shared" si="11"/>
        <v>建筑结构</v>
      </c>
      <c r="R34" s="714" t="s">
        <v>17</v>
      </c>
      <c r="S34" s="715">
        <f t="shared" si="12"/>
        <v>100</v>
      </c>
      <c r="T34" s="714" t="s">
        <v>17</v>
      </c>
      <c r="U34" s="715">
        <f t="shared" si="13"/>
        <v>100</v>
      </c>
      <c r="V34" s="714" t="s">
        <v>17</v>
      </c>
      <c r="W34" s="715">
        <f t="shared" si="14"/>
        <v>100</v>
      </c>
      <c r="X34" s="1540"/>
      <c r="Y34" s="3305"/>
      <c r="Z34" s="1541" t="str">
        <f t="shared" si="15"/>
        <v>建筑结构</v>
      </c>
      <c r="AA34" s="1538">
        <f t="shared" si="3"/>
        <v>1</v>
      </c>
      <c r="AB34" s="1538">
        <f t="shared" si="4"/>
        <v>1</v>
      </c>
      <c r="AC34" s="1538">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67"/>
      <c r="Q35" s="1537" t="str">
        <f t="shared" si="11"/>
        <v>公共部分装修</v>
      </c>
      <c r="R35" s="714" t="s">
        <v>17</v>
      </c>
      <c r="S35" s="715">
        <f t="shared" si="12"/>
        <v>100</v>
      </c>
      <c r="T35" s="714" t="s">
        <v>17</v>
      </c>
      <c r="U35" s="715">
        <f t="shared" si="13"/>
        <v>100</v>
      </c>
      <c r="V35" s="714" t="s">
        <v>17</v>
      </c>
      <c r="W35" s="715">
        <f t="shared" si="14"/>
        <v>100</v>
      </c>
      <c r="X35" s="1540"/>
      <c r="Y35" s="3305"/>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67"/>
      <c r="Q36" s="1537" t="str">
        <f t="shared" si="11"/>
        <v>成新度</v>
      </c>
      <c r="R36" s="714" t="s">
        <v>17</v>
      </c>
      <c r="S36" s="715" t="e">
        <f t="shared" si="12"/>
        <v>#N/A</v>
      </c>
      <c r="T36" s="714" t="s">
        <v>17</v>
      </c>
      <c r="U36" s="715" t="e">
        <f t="shared" si="13"/>
        <v>#N/A</v>
      </c>
      <c r="V36" s="714" t="s">
        <v>17</v>
      </c>
      <c r="W36" s="715" t="e">
        <f t="shared" si="14"/>
        <v>#N/A</v>
      </c>
      <c r="X36" s="1540"/>
      <c r="Y36" s="3305"/>
      <c r="Z36" s="1541" t="str">
        <f t="shared" si="15"/>
        <v>成新度</v>
      </c>
      <c r="AA36" s="1538" t="e">
        <f t="shared" si="3"/>
        <v>#N/A</v>
      </c>
      <c r="AB36" s="1538" t="e">
        <f t="shared" si="4"/>
        <v>#N/A</v>
      </c>
      <c r="AC36" s="1538"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67"/>
      <c r="Q37" s="1528" t="str">
        <f t="shared" si="11"/>
        <v>市政基础设施</v>
      </c>
      <c r="R37" s="710" t="s">
        <v>17</v>
      </c>
      <c r="S37" s="711">
        <f t="shared" si="12"/>
        <v>100</v>
      </c>
      <c r="T37" s="710" t="s">
        <v>17</v>
      </c>
      <c r="U37" s="711">
        <f t="shared" si="13"/>
        <v>100</v>
      </c>
      <c r="V37" s="710" t="s">
        <v>17</v>
      </c>
      <c r="W37" s="711">
        <f t="shared" si="14"/>
        <v>100</v>
      </c>
      <c r="X37" s="712"/>
      <c r="Y37" s="3305"/>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67" t="s">
        <v>2384</v>
      </c>
      <c r="Q38" s="1537" t="str">
        <f t="shared" si="11"/>
        <v>业态</v>
      </c>
      <c r="R38" s="714" t="s">
        <v>17</v>
      </c>
      <c r="S38" s="715">
        <f t="shared" si="12"/>
        <v>100</v>
      </c>
      <c r="T38" s="714" t="s">
        <v>17</v>
      </c>
      <c r="U38" s="715">
        <f t="shared" si="13"/>
        <v>100</v>
      </c>
      <c r="V38" s="714" t="s">
        <v>17</v>
      </c>
      <c r="W38" s="715">
        <f t="shared" si="14"/>
        <v>100</v>
      </c>
      <c r="X38" s="1540"/>
      <c r="Y38" s="3305" t="s">
        <v>2384</v>
      </c>
      <c r="Z38" s="1541" t="str">
        <f t="shared" si="15"/>
        <v>业态</v>
      </c>
      <c r="AA38" s="1538">
        <f t="shared" si="3"/>
        <v>1</v>
      </c>
      <c r="AB38" s="1538">
        <f t="shared" si="4"/>
        <v>1</v>
      </c>
      <c r="AC38" s="1538">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67"/>
      <c r="Q39" s="1537" t="str">
        <f t="shared" si="11"/>
        <v>层高</v>
      </c>
      <c r="R39" s="714" t="s">
        <v>17</v>
      </c>
      <c r="S39" s="715">
        <f t="shared" si="12"/>
        <v>100</v>
      </c>
      <c r="T39" s="714" t="s">
        <v>17</v>
      </c>
      <c r="U39" s="715">
        <f t="shared" si="13"/>
        <v>100</v>
      </c>
      <c r="V39" s="714" t="s">
        <v>17</v>
      </c>
      <c r="W39" s="715">
        <f t="shared" si="14"/>
        <v>100</v>
      </c>
      <c r="X39" s="1540"/>
      <c r="Y39" s="3305"/>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67"/>
      <c r="Q40" s="1537" t="str">
        <f t="shared" si="11"/>
        <v>单套建筑面积</v>
      </c>
      <c r="R40" s="714" t="s">
        <v>17</v>
      </c>
      <c r="S40" s="715">
        <f t="shared" si="12"/>
        <v>100</v>
      </c>
      <c r="T40" s="714" t="s">
        <v>17</v>
      </c>
      <c r="U40" s="715">
        <f t="shared" si="13"/>
        <v>100</v>
      </c>
      <c r="V40" s="714" t="s">
        <v>17</v>
      </c>
      <c r="W40" s="715">
        <f t="shared" si="14"/>
        <v>100</v>
      </c>
      <c r="X40" s="1540"/>
      <c r="Y40" s="3305"/>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67"/>
      <c r="Q41" s="716" t="str">
        <f t="shared" si="11"/>
        <v>进深比</v>
      </c>
      <c r="R41" s="717" t="s">
        <v>17</v>
      </c>
      <c r="S41" s="718">
        <f t="shared" si="12"/>
        <v>100</v>
      </c>
      <c r="T41" s="717" t="s">
        <v>17</v>
      </c>
      <c r="U41" s="718">
        <f t="shared" si="13"/>
        <v>100</v>
      </c>
      <c r="V41" s="717" t="s">
        <v>17</v>
      </c>
      <c r="W41" s="718">
        <f t="shared" si="14"/>
        <v>100</v>
      </c>
      <c r="X41" s="719"/>
      <c r="Y41" s="3305"/>
      <c r="Z41" s="720" t="str">
        <f t="shared" si="15"/>
        <v>进深比</v>
      </c>
      <c r="AA41" s="1538">
        <f t="shared" si="3"/>
        <v>1</v>
      </c>
      <c r="AB41" s="1538">
        <f t="shared" si="4"/>
        <v>1</v>
      </c>
      <c r="AC41" s="1538">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67"/>
      <c r="Q42" s="1537" t="str">
        <f t="shared" si="11"/>
        <v>内部装修</v>
      </c>
      <c r="R42" s="714" t="s">
        <v>17</v>
      </c>
      <c r="S42" s="715">
        <f t="shared" si="12"/>
        <v>100</v>
      </c>
      <c r="T42" s="714" t="s">
        <v>17</v>
      </c>
      <c r="U42" s="715">
        <f t="shared" si="13"/>
        <v>100</v>
      </c>
      <c r="V42" s="714" t="s">
        <v>17</v>
      </c>
      <c r="W42" s="715">
        <f t="shared" si="14"/>
        <v>100</v>
      </c>
      <c r="X42" s="1540"/>
      <c r="Y42" s="3305"/>
      <c r="Z42" s="1541" t="str">
        <f t="shared" si="15"/>
        <v>内部装修</v>
      </c>
      <c r="AA42" s="1538">
        <f t="shared" si="3"/>
        <v>1</v>
      </c>
      <c r="AB42" s="1538">
        <f t="shared" si="4"/>
        <v>1</v>
      </c>
      <c r="AC42" s="1538">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67"/>
      <c r="Q43" s="1537" t="str">
        <f t="shared" si="11"/>
        <v>内部装修维护情况</v>
      </c>
      <c r="R43" s="714" t="s">
        <v>17</v>
      </c>
      <c r="S43" s="715">
        <f t="shared" si="12"/>
        <v>100</v>
      </c>
      <c r="T43" s="714" t="s">
        <v>17</v>
      </c>
      <c r="U43" s="715">
        <f t="shared" si="13"/>
        <v>100</v>
      </c>
      <c r="V43" s="714" t="s">
        <v>17</v>
      </c>
      <c r="W43" s="715">
        <f t="shared" si="14"/>
        <v>100</v>
      </c>
      <c r="X43" s="1540"/>
      <c r="Y43" s="3305"/>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67"/>
      <c r="Q44" s="1528">
        <f t="shared" si="11"/>
        <v>111</v>
      </c>
      <c r="R44" s="710" t="s">
        <v>17</v>
      </c>
      <c r="S44" s="711">
        <f t="shared" si="12"/>
        <v>100</v>
      </c>
      <c r="T44" s="710" t="s">
        <v>17</v>
      </c>
      <c r="U44" s="711">
        <f t="shared" si="13"/>
        <v>100</v>
      </c>
      <c r="V44" s="710" t="s">
        <v>17</v>
      </c>
      <c r="W44" s="711">
        <f t="shared" si="14"/>
        <v>100</v>
      </c>
      <c r="X44" s="712"/>
      <c r="Y44" s="330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67"/>
      <c r="Q45" s="1537">
        <f t="shared" si="11"/>
        <v>111</v>
      </c>
      <c r="R45" s="714" t="s">
        <v>17</v>
      </c>
      <c r="S45" s="715">
        <f t="shared" si="12"/>
        <v>100</v>
      </c>
      <c r="T45" s="714" t="s">
        <v>17</v>
      </c>
      <c r="U45" s="715">
        <f t="shared" si="13"/>
        <v>100</v>
      </c>
      <c r="V45" s="714" t="s">
        <v>17</v>
      </c>
      <c r="W45" s="715">
        <f t="shared" si="14"/>
        <v>100</v>
      </c>
      <c r="X45" s="1540"/>
      <c r="Y45" s="3305"/>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68"/>
      <c r="Q46" s="1537">
        <f t="shared" si="11"/>
        <v>111</v>
      </c>
      <c r="R46" s="714" t="s">
        <v>17</v>
      </c>
      <c r="S46" s="715">
        <f t="shared" si="12"/>
        <v>100</v>
      </c>
      <c r="T46" s="714" t="s">
        <v>17</v>
      </c>
      <c r="U46" s="715">
        <f t="shared" si="13"/>
        <v>100</v>
      </c>
      <c r="V46" s="714" t="s">
        <v>17</v>
      </c>
      <c r="W46" s="715">
        <f t="shared" si="14"/>
        <v>100</v>
      </c>
      <c r="X46" s="1540"/>
      <c r="Y46" s="3369"/>
      <c r="Z46" s="1541">
        <f t="shared" si="15"/>
        <v>111</v>
      </c>
      <c r="AA46" s="1538">
        <f t="shared" si="3"/>
        <v>1</v>
      </c>
      <c r="AB46" s="1538">
        <f t="shared" si="4"/>
        <v>1</v>
      </c>
      <c r="AC46" s="1538">
        <f t="shared" si="5"/>
        <v>1</v>
      </c>
    </row>
    <row r="47" spans="1:29" ht="15">
      <c r="A47" s="438" t="s">
        <v>2396</v>
      </c>
      <c r="B47" s="439"/>
      <c r="C47" s="1316" t="s">
        <v>1</v>
      </c>
      <c r="D47" s="1317"/>
      <c r="E47" s="1318"/>
      <c r="F47" s="1319"/>
      <c r="G47" s="1320"/>
      <c r="H47" s="1321"/>
      <c r="I47" s="1318"/>
      <c r="J47" s="1321"/>
      <c r="K47" s="723"/>
      <c r="L47" s="2953"/>
      <c r="M47" s="2954"/>
      <c r="N47" s="2945"/>
      <c r="O47" s="2954"/>
      <c r="P47" s="3300" t="str">
        <f>A47</f>
        <v>成交单价（元/平方米）</v>
      </c>
      <c r="Q47" s="3300"/>
      <c r="R47" s="3306">
        <f>E47</f>
        <v>0</v>
      </c>
      <c r="S47" s="3306"/>
      <c r="T47" s="3306">
        <f>G47</f>
        <v>0</v>
      </c>
      <c r="U47" s="3306"/>
      <c r="V47" s="3306">
        <f>I47</f>
        <v>0</v>
      </c>
      <c r="W47" s="3306"/>
      <c r="X47" s="699"/>
      <c r="Y47" s="721"/>
      <c r="Z47" s="699"/>
      <c r="AA47" s="699"/>
      <c r="AB47" s="699"/>
      <c r="AC47" s="699"/>
    </row>
    <row r="48" spans="1:29" ht="15.75" thickBot="1">
      <c r="A48" s="445" t="s">
        <v>2488</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00" t="str">
        <f>A48</f>
        <v>比较价值（元/平方米）</v>
      </c>
      <c r="Q48" s="3300"/>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294" t="str">
        <f>A49</f>
        <v>估价对象XX用房的比较价值（楼面单价，元/平方米）</v>
      </c>
      <c r="Q49" s="3295"/>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2367</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2369</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2373</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2378</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2382</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16412.019999999993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297" t="s">
        <v>2465</v>
      </c>
      <c r="D4" s="3310"/>
      <c r="E4" s="3311" t="s">
        <v>2466</v>
      </c>
      <c r="F4" s="3312"/>
      <c r="G4" s="3297" t="s">
        <v>2467</v>
      </c>
      <c r="H4" s="3310"/>
      <c r="I4" s="3297" t="s">
        <v>2468</v>
      </c>
      <c r="J4" s="3310"/>
      <c r="K4" s="567" t="s">
        <v>2469</v>
      </c>
      <c r="L4" s="2944"/>
      <c r="M4" s="2945"/>
      <c r="N4" s="2945"/>
      <c r="O4" s="2945"/>
      <c r="P4" s="3378" t="s">
        <v>2470</v>
      </c>
      <c r="Q4" s="3379"/>
      <c r="R4" s="3382" t="s">
        <v>2466</v>
      </c>
      <c r="S4" s="3383"/>
      <c r="T4" s="3382" t="s">
        <v>2467</v>
      </c>
      <c r="U4" s="3383"/>
      <c r="V4" s="3384" t="s">
        <v>2468</v>
      </c>
      <c r="W4" s="3384"/>
      <c r="X4" s="2144"/>
      <c r="Y4" s="3382" t="s">
        <v>2470</v>
      </c>
      <c r="Z4" s="3383"/>
      <c r="AA4" s="3386" t="s">
        <v>2466</v>
      </c>
      <c r="AB4" s="3386" t="s">
        <v>2467</v>
      </c>
      <c r="AC4" s="3375" t="s">
        <v>2468</v>
      </c>
    </row>
    <row r="5" spans="1:29" ht="15">
      <c r="A5" s="364"/>
      <c r="B5" s="365"/>
      <c r="C5" s="3327" t="s">
        <v>2361</v>
      </c>
      <c r="D5" s="3328"/>
      <c r="E5" s="3334" t="s">
        <v>2362</v>
      </c>
      <c r="F5" s="3335"/>
      <c r="G5" s="3327" t="s">
        <v>2363</v>
      </c>
      <c r="H5" s="3328"/>
      <c r="I5" s="3327" t="s">
        <v>2364</v>
      </c>
      <c r="J5" s="3328"/>
      <c r="K5" s="567"/>
      <c r="L5" s="2944"/>
      <c r="M5" s="2945"/>
      <c r="N5" s="2945"/>
      <c r="O5" s="2945"/>
      <c r="P5" s="3380"/>
      <c r="Q5" s="3316"/>
      <c r="R5" s="3321"/>
      <c r="S5" s="3322"/>
      <c r="T5" s="3321"/>
      <c r="U5" s="3322"/>
      <c r="V5" s="3306"/>
      <c r="W5" s="3306"/>
      <c r="X5" s="1540"/>
      <c r="Y5" s="3321"/>
      <c r="Z5" s="3322"/>
      <c r="AA5" s="3308"/>
      <c r="AB5" s="3308"/>
      <c r="AC5" s="3376"/>
    </row>
    <row r="6" spans="1:29" ht="15.75" thickBot="1">
      <c r="A6" s="366"/>
      <c r="B6" s="367"/>
      <c r="C6" s="3325" t="s">
        <v>2365</v>
      </c>
      <c r="D6" s="3326"/>
      <c r="E6" s="3332" t="s">
        <v>2365</v>
      </c>
      <c r="F6" s="3333"/>
      <c r="G6" s="3325" t="s">
        <v>2365</v>
      </c>
      <c r="H6" s="3326"/>
      <c r="I6" s="3325" t="s">
        <v>2365</v>
      </c>
      <c r="J6" s="3326"/>
      <c r="K6" s="567" t="s">
        <v>2366</v>
      </c>
      <c r="L6" s="2944"/>
      <c r="M6" s="2945"/>
      <c r="N6" s="2945"/>
      <c r="O6" s="2945"/>
      <c r="P6" s="3381"/>
      <c r="Q6" s="3318"/>
      <c r="R6" s="3321"/>
      <c r="S6" s="3322"/>
      <c r="T6" s="3323"/>
      <c r="U6" s="3324"/>
      <c r="V6" s="3306"/>
      <c r="W6" s="3306"/>
      <c r="X6" s="1540"/>
      <c r="Y6" s="3323"/>
      <c r="Z6" s="3324"/>
      <c r="AA6" s="3309"/>
      <c r="AB6" s="3309"/>
      <c r="AC6" s="3377"/>
    </row>
    <row r="7" spans="1:29" s="113" customFormat="1" ht="15.75" thickBot="1">
      <c r="A7" s="368" t="s">
        <v>2367</v>
      </c>
      <c r="B7" s="369"/>
      <c r="C7" s="370">
        <f>'数据-取费表'!B2</f>
        <v>44236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85" t="s">
        <v>2368</v>
      </c>
      <c r="Q7" s="3331"/>
      <c r="R7" s="710" t="s">
        <v>17</v>
      </c>
      <c r="S7" s="711">
        <f t="shared" ref="S7:S15" si="0">F7</f>
        <v>0</v>
      </c>
      <c r="T7" s="710" t="s">
        <v>17</v>
      </c>
      <c r="U7" s="711">
        <f t="shared" ref="U7:U15" si="1">H7</f>
        <v>0</v>
      </c>
      <c r="V7" s="710" t="s">
        <v>17</v>
      </c>
      <c r="W7" s="711">
        <f t="shared" ref="W7:W15" si="2">J7</f>
        <v>0</v>
      </c>
      <c r="X7" s="712"/>
      <c r="Y7" s="3329" t="s">
        <v>2368</v>
      </c>
      <c r="Z7" s="3330"/>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85" t="s">
        <v>2371</v>
      </c>
      <c r="Q8" s="3330"/>
      <c r="R8" s="710" t="s">
        <v>17</v>
      </c>
      <c r="S8" s="711">
        <f t="shared" si="0"/>
        <v>0</v>
      </c>
      <c r="T8" s="710" t="s">
        <v>17</v>
      </c>
      <c r="U8" s="711">
        <f t="shared" si="1"/>
        <v>0</v>
      </c>
      <c r="V8" s="710" t="s">
        <v>17</v>
      </c>
      <c r="W8" s="711">
        <f t="shared" si="2"/>
        <v>0</v>
      </c>
      <c r="X8" s="712"/>
      <c r="Y8" s="3329" t="s">
        <v>2371</v>
      </c>
      <c r="Z8" s="3330"/>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9"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9"/>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9"/>
      <c r="Q11" s="1528" t="str">
        <f t="shared" si="6"/>
        <v>容积率</v>
      </c>
      <c r="R11" s="710" t="s">
        <v>17</v>
      </c>
      <c r="S11" s="711" t="e">
        <f t="shared" si="0"/>
        <v>#N/A</v>
      </c>
      <c r="T11" s="710" t="s">
        <v>17</v>
      </c>
      <c r="U11" s="711" t="e">
        <f t="shared" si="1"/>
        <v>#N/A</v>
      </c>
      <c r="V11" s="710" t="s">
        <v>17</v>
      </c>
      <c r="W11" s="711" t="e">
        <f t="shared" si="2"/>
        <v>#N/A</v>
      </c>
      <c r="X11" s="712"/>
      <c r="Y11" s="319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9"/>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9"/>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9"/>
      <c r="Q14" s="1528">
        <f t="shared" si="6"/>
        <v>111</v>
      </c>
      <c r="R14" s="710" t="s">
        <v>17</v>
      </c>
      <c r="S14" s="711">
        <f t="shared" si="0"/>
        <v>100</v>
      </c>
      <c r="T14" s="710" t="s">
        <v>17</v>
      </c>
      <c r="U14" s="711">
        <f t="shared" si="1"/>
        <v>100</v>
      </c>
      <c r="V14" s="710" t="s">
        <v>17</v>
      </c>
      <c r="W14" s="711">
        <f t="shared" si="2"/>
        <v>100</v>
      </c>
      <c r="X14" s="712"/>
      <c r="Y14" s="3194"/>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70" t="s">
        <v>2379</v>
      </c>
      <c r="Q15" s="1537" t="str">
        <f t="shared" si="6"/>
        <v>办公集聚程度</v>
      </c>
      <c r="R15" s="714" t="s">
        <v>17</v>
      </c>
      <c r="S15" s="715">
        <f t="shared" si="0"/>
        <v>100</v>
      </c>
      <c r="T15" s="714" t="s">
        <v>17</v>
      </c>
      <c r="U15" s="715">
        <f t="shared" si="1"/>
        <v>100</v>
      </c>
      <c r="V15" s="714" t="s">
        <v>17</v>
      </c>
      <c r="W15" s="715">
        <f t="shared" si="2"/>
        <v>100</v>
      </c>
      <c r="X15" s="1540"/>
      <c r="Y15" s="3302" t="s">
        <v>2379</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71"/>
      <c r="Q16" s="1537"/>
      <c r="R16" s="714"/>
      <c r="S16" s="715"/>
      <c r="T16" s="714"/>
      <c r="U16" s="715"/>
      <c r="V16" s="714"/>
      <c r="W16" s="715"/>
      <c r="X16" s="1540"/>
      <c r="Y16" s="3303"/>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71"/>
      <c r="Q17" s="1537" t="str">
        <f>B17</f>
        <v>交通便捷度</v>
      </c>
      <c r="R17" s="714" t="s">
        <v>17</v>
      </c>
      <c r="S17" s="715">
        <f>F17</f>
        <v>100</v>
      </c>
      <c r="T17" s="714" t="s">
        <v>17</v>
      </c>
      <c r="U17" s="715">
        <f>H17</f>
        <v>100</v>
      </c>
      <c r="V17" s="714" t="s">
        <v>17</v>
      </c>
      <c r="W17" s="715">
        <f>J17</f>
        <v>100</v>
      </c>
      <c r="X17" s="1540"/>
      <c r="Y17" s="3303"/>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71"/>
      <c r="Q18" s="1537"/>
      <c r="R18" s="714"/>
      <c r="S18" s="715"/>
      <c r="T18" s="714"/>
      <c r="U18" s="715"/>
      <c r="V18" s="714"/>
      <c r="W18" s="715"/>
      <c r="X18" s="1540"/>
      <c r="Y18" s="3303"/>
      <c r="Z18" s="1541"/>
      <c r="AA18" s="1538">
        <v>1</v>
      </c>
      <c r="AB18" s="1538">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71"/>
      <c r="Q19" s="1537" t="str">
        <f>B19</f>
        <v>公共配套设施</v>
      </c>
      <c r="R19" s="714" t="s">
        <v>17</v>
      </c>
      <c r="S19" s="715">
        <f>F19</f>
        <v>100</v>
      </c>
      <c r="T19" s="714" t="s">
        <v>17</v>
      </c>
      <c r="U19" s="715">
        <f>H19</f>
        <v>100</v>
      </c>
      <c r="V19" s="714" t="s">
        <v>17</v>
      </c>
      <c r="W19" s="715">
        <f>J19</f>
        <v>100</v>
      </c>
      <c r="X19" s="1540"/>
      <c r="Y19" s="3303"/>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71"/>
      <c r="Q20" s="1537"/>
      <c r="R20" s="714"/>
      <c r="S20" s="715"/>
      <c r="T20" s="714"/>
      <c r="U20" s="715"/>
      <c r="V20" s="714"/>
      <c r="W20" s="715"/>
      <c r="X20" s="1540"/>
      <c r="Y20" s="3303"/>
      <c r="Z20" s="1541"/>
      <c r="AA20" s="1538">
        <v>1</v>
      </c>
      <c r="AB20" s="1538">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71"/>
      <c r="Q21" s="1537" t="str">
        <f>B21</f>
        <v>基础设施水平</v>
      </c>
      <c r="R21" s="714" t="s">
        <v>17</v>
      </c>
      <c r="S21" s="715">
        <f>F21</f>
        <v>100</v>
      </c>
      <c r="T21" s="714" t="s">
        <v>17</v>
      </c>
      <c r="U21" s="715">
        <f>H21</f>
        <v>100</v>
      </c>
      <c r="V21" s="714" t="s">
        <v>17</v>
      </c>
      <c r="W21" s="715">
        <f>J21</f>
        <v>100</v>
      </c>
      <c r="X21" s="1540"/>
      <c r="Y21" s="3303"/>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71"/>
      <c r="Q22" s="1537"/>
      <c r="R22" s="714"/>
      <c r="S22" s="715"/>
      <c r="T22" s="714"/>
      <c r="U22" s="715"/>
      <c r="V22" s="714"/>
      <c r="W22" s="715"/>
      <c r="X22" s="1540"/>
      <c r="Y22" s="3303"/>
      <c r="Z22" s="1541"/>
      <c r="AA22" s="1538">
        <v>1</v>
      </c>
      <c r="AB22" s="1538">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71"/>
      <c r="Q23" s="1537" t="str">
        <f>B23</f>
        <v>环境质量</v>
      </c>
      <c r="R23" s="714" t="s">
        <v>17</v>
      </c>
      <c r="S23" s="715">
        <f>F23</f>
        <v>100</v>
      </c>
      <c r="T23" s="714" t="s">
        <v>17</v>
      </c>
      <c r="U23" s="715">
        <f>H23</f>
        <v>100</v>
      </c>
      <c r="V23" s="714" t="s">
        <v>17</v>
      </c>
      <c r="W23" s="715">
        <f>J23</f>
        <v>100</v>
      </c>
      <c r="X23" s="1540"/>
      <c r="Y23" s="3303"/>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71"/>
      <c r="Q24" s="1537"/>
      <c r="R24" s="714"/>
      <c r="S24" s="715"/>
      <c r="T24" s="714"/>
      <c r="U24" s="715"/>
      <c r="V24" s="714"/>
      <c r="W24" s="715"/>
      <c r="X24" s="1540"/>
      <c r="Y24" s="3303"/>
      <c r="Z24" s="1541"/>
      <c r="AA24" s="1538">
        <v>1</v>
      </c>
      <c r="AB24" s="1538">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71"/>
      <c r="Q25" s="1537" t="str">
        <f>B25</f>
        <v>毗邻道路的类型与等级</v>
      </c>
      <c r="R25" s="714" t="s">
        <v>17</v>
      </c>
      <c r="S25" s="715">
        <f>F25</f>
        <v>100</v>
      </c>
      <c r="T25" s="714" t="s">
        <v>17</v>
      </c>
      <c r="U25" s="715">
        <f>H25</f>
        <v>100</v>
      </c>
      <c r="V25" s="714" t="s">
        <v>17</v>
      </c>
      <c r="W25" s="715">
        <f>J25</f>
        <v>100</v>
      </c>
      <c r="X25" s="1540"/>
      <c r="Y25" s="3303"/>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71"/>
      <c r="Q26" s="1537"/>
      <c r="R26" s="714"/>
      <c r="S26" s="715"/>
      <c r="T26" s="714"/>
      <c r="U26" s="715"/>
      <c r="V26" s="714"/>
      <c r="W26" s="715"/>
      <c r="X26" s="1540"/>
      <c r="Y26" s="3303"/>
      <c r="Z26" s="1541"/>
      <c r="AA26" s="1538">
        <v>1</v>
      </c>
      <c r="AB26" s="1538">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71"/>
      <c r="Q27" s="1537" t="str">
        <f t="shared" ref="Q27:Q47" si="11">B27</f>
        <v>楼层</v>
      </c>
      <c r="R27" s="714" t="s">
        <v>17</v>
      </c>
      <c r="S27" s="715">
        <f>F27</f>
        <v>100</v>
      </c>
      <c r="T27" s="714" t="s">
        <v>17</v>
      </c>
      <c r="U27" s="715">
        <f>H27</f>
        <v>100</v>
      </c>
      <c r="V27" s="714" t="s">
        <v>17</v>
      </c>
      <c r="W27" s="715">
        <f>J27</f>
        <v>100</v>
      </c>
      <c r="X27" s="1540"/>
      <c r="Y27" s="3303"/>
      <c r="Z27" s="1541" t="str">
        <f>Q27</f>
        <v>楼层</v>
      </c>
      <c r="AA27" s="1538">
        <f t="shared" si="3"/>
        <v>1</v>
      </c>
      <c r="AB27" s="1538">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71"/>
      <c r="Q28" s="1528" t="str">
        <f t="shared" si="11"/>
        <v>朝向</v>
      </c>
      <c r="R28" s="710" t="s">
        <v>17</v>
      </c>
      <c r="S28" s="711">
        <f>F28</f>
        <v>100</v>
      </c>
      <c r="T28" s="710" t="s">
        <v>17</v>
      </c>
      <c r="U28" s="711">
        <f>H28</f>
        <v>100</v>
      </c>
      <c r="V28" s="710" t="s">
        <v>17</v>
      </c>
      <c r="W28" s="711">
        <f>J28</f>
        <v>100</v>
      </c>
      <c r="X28" s="712"/>
      <c r="Y28" s="3303"/>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71"/>
      <c r="Q29" s="1537">
        <f t="shared" si="11"/>
        <v>111</v>
      </c>
      <c r="R29" s="714" t="s">
        <v>17</v>
      </c>
      <c r="S29" s="715">
        <f t="shared" ref="S29:S47" si="12">F29</f>
        <v>100</v>
      </c>
      <c r="T29" s="714" t="s">
        <v>17</v>
      </c>
      <c r="U29" s="715">
        <f t="shared" ref="U29:U47" si="13">H29</f>
        <v>100</v>
      </c>
      <c r="V29" s="714" t="s">
        <v>17</v>
      </c>
      <c r="W29" s="715">
        <f t="shared" ref="W29:W47" si="14">J29</f>
        <v>100</v>
      </c>
      <c r="X29" s="1540"/>
      <c r="Y29" s="3303"/>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71"/>
      <c r="Q30" s="1537">
        <f t="shared" si="11"/>
        <v>111</v>
      </c>
      <c r="R30" s="714" t="s">
        <v>17</v>
      </c>
      <c r="S30" s="715">
        <f t="shared" si="12"/>
        <v>100</v>
      </c>
      <c r="T30" s="714" t="s">
        <v>17</v>
      </c>
      <c r="U30" s="715">
        <f t="shared" si="13"/>
        <v>100</v>
      </c>
      <c r="V30" s="714" t="s">
        <v>17</v>
      </c>
      <c r="W30" s="715">
        <f t="shared" si="14"/>
        <v>100</v>
      </c>
      <c r="X30" s="1540"/>
      <c r="Y30" s="3303"/>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71"/>
      <c r="Q31" s="1537">
        <f t="shared" si="11"/>
        <v>111</v>
      </c>
      <c r="R31" s="714" t="s">
        <v>17</v>
      </c>
      <c r="S31" s="715">
        <f t="shared" si="12"/>
        <v>100</v>
      </c>
      <c r="T31" s="714" t="s">
        <v>17</v>
      </c>
      <c r="U31" s="715">
        <f t="shared" si="13"/>
        <v>100</v>
      </c>
      <c r="V31" s="714" t="s">
        <v>17</v>
      </c>
      <c r="W31" s="715">
        <f t="shared" si="14"/>
        <v>100</v>
      </c>
      <c r="X31" s="1540"/>
      <c r="Y31" s="3303"/>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71"/>
      <c r="Q32" s="1537">
        <f t="shared" si="11"/>
        <v>111</v>
      </c>
      <c r="R32" s="714" t="s">
        <v>17</v>
      </c>
      <c r="S32" s="715">
        <f t="shared" si="12"/>
        <v>100</v>
      </c>
      <c r="T32" s="714" t="s">
        <v>17</v>
      </c>
      <c r="U32" s="715">
        <f t="shared" si="13"/>
        <v>100</v>
      </c>
      <c r="V32" s="714" t="s">
        <v>17</v>
      </c>
      <c r="W32" s="715">
        <f t="shared" si="14"/>
        <v>100</v>
      </c>
      <c r="X32" s="1540"/>
      <c r="Y32" s="3303"/>
      <c r="Z32" s="1541">
        <f t="shared" si="15"/>
        <v>111</v>
      </c>
      <c r="AA32" s="1538">
        <f t="shared" si="3"/>
        <v>1</v>
      </c>
      <c r="AB32" s="1538">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66" t="s">
        <v>2384</v>
      </c>
      <c r="Q33" s="1537" t="str">
        <f t="shared" si="11"/>
        <v>建筑类型</v>
      </c>
      <c r="R33" s="714" t="s">
        <v>17</v>
      </c>
      <c r="S33" s="715">
        <f t="shared" si="12"/>
        <v>100</v>
      </c>
      <c r="T33" s="714" t="s">
        <v>17</v>
      </c>
      <c r="U33" s="715">
        <f t="shared" si="13"/>
        <v>100</v>
      </c>
      <c r="V33" s="714" t="s">
        <v>17</v>
      </c>
      <c r="W33" s="715">
        <f t="shared" si="14"/>
        <v>100</v>
      </c>
      <c r="X33" s="1540"/>
      <c r="Y33" s="3305" t="s">
        <v>2384</v>
      </c>
      <c r="Z33" s="1541" t="str">
        <f t="shared" si="15"/>
        <v>建筑类型</v>
      </c>
      <c r="AA33" s="1538">
        <f t="shared" si="3"/>
        <v>1</v>
      </c>
      <c r="AB33" s="1538">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67"/>
      <c r="Q34" s="716" t="str">
        <f t="shared" si="11"/>
        <v>项目建筑规模</v>
      </c>
      <c r="R34" s="717" t="s">
        <v>17</v>
      </c>
      <c r="S34" s="718" t="e">
        <f t="shared" si="12"/>
        <v>#N/A</v>
      </c>
      <c r="T34" s="717" t="s">
        <v>17</v>
      </c>
      <c r="U34" s="718" t="e">
        <f t="shared" si="13"/>
        <v>#N/A</v>
      </c>
      <c r="V34" s="717" t="s">
        <v>17</v>
      </c>
      <c r="W34" s="718" t="e">
        <f t="shared" si="14"/>
        <v>#N/A</v>
      </c>
      <c r="X34" s="719"/>
      <c r="Y34" s="3305"/>
      <c r="Z34" s="720" t="str">
        <f t="shared" si="15"/>
        <v>项目建筑规模</v>
      </c>
      <c r="AA34" s="1538" t="e">
        <f t="shared" si="3"/>
        <v>#N/A</v>
      </c>
      <c r="AB34" s="1538"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67"/>
      <c r="Q35" s="1537" t="str">
        <f t="shared" si="11"/>
        <v>建筑结构</v>
      </c>
      <c r="R35" s="714" t="s">
        <v>17</v>
      </c>
      <c r="S35" s="715">
        <f t="shared" si="12"/>
        <v>100</v>
      </c>
      <c r="T35" s="714" t="s">
        <v>17</v>
      </c>
      <c r="U35" s="715">
        <f t="shared" si="13"/>
        <v>100</v>
      </c>
      <c r="V35" s="714" t="s">
        <v>17</v>
      </c>
      <c r="W35" s="715">
        <f t="shared" si="14"/>
        <v>100</v>
      </c>
      <c r="X35" s="1540"/>
      <c r="Y35" s="3305"/>
      <c r="Z35" s="1541" t="str">
        <f t="shared" si="15"/>
        <v>建筑结构</v>
      </c>
      <c r="AA35" s="1538">
        <f t="shared" si="3"/>
        <v>1</v>
      </c>
      <c r="AB35" s="1538">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67"/>
      <c r="Q36" s="1537" t="str">
        <f t="shared" si="11"/>
        <v>公共部分装修</v>
      </c>
      <c r="R36" s="714" t="s">
        <v>17</v>
      </c>
      <c r="S36" s="715">
        <f t="shared" si="12"/>
        <v>100</v>
      </c>
      <c r="T36" s="714" t="s">
        <v>17</v>
      </c>
      <c r="U36" s="715">
        <f t="shared" si="13"/>
        <v>100</v>
      </c>
      <c r="V36" s="714" t="s">
        <v>17</v>
      </c>
      <c r="W36" s="715">
        <f t="shared" si="14"/>
        <v>100</v>
      </c>
      <c r="X36" s="1540"/>
      <c r="Y36" s="3305"/>
      <c r="Z36" s="1541" t="str">
        <f t="shared" si="15"/>
        <v>公共部分装修</v>
      </c>
      <c r="AA36" s="1538">
        <f t="shared" si="3"/>
        <v>1</v>
      </c>
      <c r="AB36" s="1538">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67"/>
      <c r="Q37" s="1537" t="str">
        <f t="shared" si="11"/>
        <v>成新度</v>
      </c>
      <c r="R37" s="714" t="s">
        <v>17</v>
      </c>
      <c r="S37" s="715" t="e">
        <f t="shared" si="12"/>
        <v>#N/A</v>
      </c>
      <c r="T37" s="714" t="s">
        <v>17</v>
      </c>
      <c r="U37" s="715" t="e">
        <f t="shared" si="13"/>
        <v>#N/A</v>
      </c>
      <c r="V37" s="714" t="s">
        <v>17</v>
      </c>
      <c r="W37" s="715" t="e">
        <f t="shared" si="14"/>
        <v>#N/A</v>
      </c>
      <c r="X37" s="1540"/>
      <c r="Y37" s="3305"/>
      <c r="Z37" s="1541" t="str">
        <f t="shared" si="15"/>
        <v>成新度</v>
      </c>
      <c r="AA37" s="1538" t="e">
        <f t="shared" si="3"/>
        <v>#N/A</v>
      </c>
      <c r="AB37" s="1538"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67"/>
      <c r="Q38" s="1528" t="str">
        <f t="shared" si="11"/>
        <v>写字楼等级</v>
      </c>
      <c r="R38" s="710" t="s">
        <v>17</v>
      </c>
      <c r="S38" s="711">
        <f t="shared" si="12"/>
        <v>100</v>
      </c>
      <c r="T38" s="710" t="s">
        <v>17</v>
      </c>
      <c r="U38" s="711">
        <f t="shared" si="13"/>
        <v>100</v>
      </c>
      <c r="V38" s="710" t="s">
        <v>17</v>
      </c>
      <c r="W38" s="711">
        <f t="shared" si="14"/>
        <v>100</v>
      </c>
      <c r="X38" s="712"/>
      <c r="Y38" s="3305"/>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67" t="s">
        <v>2384</v>
      </c>
      <c r="Q39" s="1537" t="str">
        <f t="shared" si="11"/>
        <v>物业管理</v>
      </c>
      <c r="R39" s="714" t="s">
        <v>17</v>
      </c>
      <c r="S39" s="715">
        <f t="shared" si="12"/>
        <v>100</v>
      </c>
      <c r="T39" s="714" t="s">
        <v>17</v>
      </c>
      <c r="U39" s="715">
        <f t="shared" si="13"/>
        <v>100</v>
      </c>
      <c r="V39" s="714" t="s">
        <v>17</v>
      </c>
      <c r="W39" s="715">
        <f t="shared" si="14"/>
        <v>100</v>
      </c>
      <c r="X39" s="1540"/>
      <c r="Y39" s="3305" t="s">
        <v>2384</v>
      </c>
      <c r="Z39" s="1541" t="str">
        <f t="shared" si="15"/>
        <v>物业管理</v>
      </c>
      <c r="AA39" s="1538">
        <f t="shared" si="3"/>
        <v>1</v>
      </c>
      <c r="AB39" s="1538">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67"/>
      <c r="Q40" s="1537" t="str">
        <f t="shared" si="11"/>
        <v>市政基础设施</v>
      </c>
      <c r="R40" s="714" t="s">
        <v>17</v>
      </c>
      <c r="S40" s="715">
        <f t="shared" si="12"/>
        <v>100</v>
      </c>
      <c r="T40" s="714" t="s">
        <v>17</v>
      </c>
      <c r="U40" s="715">
        <f t="shared" si="13"/>
        <v>100</v>
      </c>
      <c r="V40" s="714" t="s">
        <v>17</v>
      </c>
      <c r="W40" s="715">
        <f t="shared" si="14"/>
        <v>100</v>
      </c>
      <c r="X40" s="1540"/>
      <c r="Y40" s="3305"/>
      <c r="Z40" s="1541" t="str">
        <f t="shared" si="15"/>
        <v>市政基础设施</v>
      </c>
      <c r="AA40" s="1538">
        <f t="shared" si="3"/>
        <v>1</v>
      </c>
      <c r="AB40" s="1538">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67"/>
      <c r="Q41" s="1537" t="str">
        <f t="shared" si="11"/>
        <v>层高</v>
      </c>
      <c r="R41" s="714" t="s">
        <v>17</v>
      </c>
      <c r="S41" s="715">
        <f t="shared" si="12"/>
        <v>100</v>
      </c>
      <c r="T41" s="714" t="s">
        <v>17</v>
      </c>
      <c r="U41" s="715">
        <f t="shared" si="13"/>
        <v>100</v>
      </c>
      <c r="V41" s="714" t="s">
        <v>17</v>
      </c>
      <c r="W41" s="715">
        <f t="shared" si="14"/>
        <v>100</v>
      </c>
      <c r="X41" s="1540"/>
      <c r="Y41" s="3305"/>
      <c r="Z41" s="1541" t="str">
        <f t="shared" si="15"/>
        <v>层高</v>
      </c>
      <c r="AA41" s="1538">
        <f t="shared" si="3"/>
        <v>1</v>
      </c>
      <c r="AB41" s="1538">
        <f t="shared" si="4"/>
        <v>1</v>
      </c>
      <c r="AC41" s="2148">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67"/>
      <c r="Q42" s="716" t="str">
        <f t="shared" si="11"/>
        <v>单套建筑面积</v>
      </c>
      <c r="R42" s="717" t="s">
        <v>17</v>
      </c>
      <c r="S42" s="718">
        <f t="shared" si="12"/>
        <v>100</v>
      </c>
      <c r="T42" s="717" t="s">
        <v>17</v>
      </c>
      <c r="U42" s="718">
        <f t="shared" si="13"/>
        <v>100</v>
      </c>
      <c r="V42" s="717" t="s">
        <v>17</v>
      </c>
      <c r="W42" s="718">
        <f t="shared" si="14"/>
        <v>100</v>
      </c>
      <c r="X42" s="719"/>
      <c r="Y42" s="3305"/>
      <c r="Z42" s="720" t="str">
        <f t="shared" si="15"/>
        <v>单套建筑面积</v>
      </c>
      <c r="AA42" s="1538">
        <f t="shared" si="3"/>
        <v>1</v>
      </c>
      <c r="AB42" s="1538">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67"/>
      <c r="Q43" s="1537" t="str">
        <f t="shared" si="11"/>
        <v>内部装修</v>
      </c>
      <c r="R43" s="714" t="s">
        <v>17</v>
      </c>
      <c r="S43" s="715">
        <f t="shared" si="12"/>
        <v>100</v>
      </c>
      <c r="T43" s="714" t="s">
        <v>17</v>
      </c>
      <c r="U43" s="715">
        <f t="shared" si="13"/>
        <v>100</v>
      </c>
      <c r="V43" s="714" t="s">
        <v>17</v>
      </c>
      <c r="W43" s="715">
        <f t="shared" si="14"/>
        <v>100</v>
      </c>
      <c r="X43" s="1540"/>
      <c r="Y43" s="3305"/>
      <c r="Z43" s="1541" t="str">
        <f t="shared" si="15"/>
        <v>内部装修</v>
      </c>
      <c r="AA43" s="1538">
        <f t="shared" si="3"/>
        <v>1</v>
      </c>
      <c r="AB43" s="1538">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67"/>
      <c r="Q44" s="1537" t="str">
        <f t="shared" si="11"/>
        <v>内部装修维护情况</v>
      </c>
      <c r="R44" s="714" t="s">
        <v>17</v>
      </c>
      <c r="S44" s="715">
        <f t="shared" si="12"/>
        <v>100</v>
      </c>
      <c r="T44" s="714" t="s">
        <v>17</v>
      </c>
      <c r="U44" s="715">
        <f t="shared" si="13"/>
        <v>100</v>
      </c>
      <c r="V44" s="714" t="s">
        <v>17</v>
      </c>
      <c r="W44" s="715">
        <f t="shared" si="14"/>
        <v>100</v>
      </c>
      <c r="X44" s="1540"/>
      <c r="Y44" s="3305"/>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67"/>
      <c r="Q45" s="1528">
        <f t="shared" si="11"/>
        <v>111</v>
      </c>
      <c r="R45" s="710" t="s">
        <v>17</v>
      </c>
      <c r="S45" s="711">
        <f t="shared" si="12"/>
        <v>100</v>
      </c>
      <c r="T45" s="710" t="s">
        <v>17</v>
      </c>
      <c r="U45" s="711">
        <f t="shared" si="13"/>
        <v>100</v>
      </c>
      <c r="V45" s="710" t="s">
        <v>17</v>
      </c>
      <c r="W45" s="711">
        <f t="shared" si="14"/>
        <v>100</v>
      </c>
      <c r="X45" s="712"/>
      <c r="Y45" s="330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67"/>
      <c r="Q46" s="1537">
        <f t="shared" si="11"/>
        <v>111</v>
      </c>
      <c r="R46" s="714" t="s">
        <v>17</v>
      </c>
      <c r="S46" s="715">
        <f t="shared" si="12"/>
        <v>100</v>
      </c>
      <c r="T46" s="714" t="s">
        <v>17</v>
      </c>
      <c r="U46" s="715">
        <f t="shared" si="13"/>
        <v>100</v>
      </c>
      <c r="V46" s="714" t="s">
        <v>17</v>
      </c>
      <c r="W46" s="715">
        <f t="shared" si="14"/>
        <v>100</v>
      </c>
      <c r="X46" s="1540"/>
      <c r="Y46" s="3305"/>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68"/>
      <c r="Q47" s="1537">
        <f t="shared" si="11"/>
        <v>111</v>
      </c>
      <c r="R47" s="714" t="s">
        <v>17</v>
      </c>
      <c r="S47" s="715">
        <f t="shared" si="12"/>
        <v>100</v>
      </c>
      <c r="T47" s="714" t="s">
        <v>17</v>
      </c>
      <c r="U47" s="715">
        <f t="shared" si="13"/>
        <v>100</v>
      </c>
      <c r="V47" s="714" t="s">
        <v>17</v>
      </c>
      <c r="W47" s="715">
        <f t="shared" si="14"/>
        <v>100</v>
      </c>
      <c r="X47" s="1540"/>
      <c r="Y47" s="3369"/>
      <c r="Z47" s="1541">
        <f t="shared" si="15"/>
        <v>111</v>
      </c>
      <c r="AA47" s="1538">
        <f t="shared" si="3"/>
        <v>1</v>
      </c>
      <c r="AB47" s="1538">
        <f t="shared" si="4"/>
        <v>1</v>
      </c>
      <c r="AC47" s="2148">
        <f t="shared" si="5"/>
        <v>1</v>
      </c>
    </row>
    <row r="48" spans="1:29" ht="15">
      <c r="A48" s="438" t="s">
        <v>2396</v>
      </c>
      <c r="B48" s="439"/>
      <c r="C48" s="1316" t="s">
        <v>1</v>
      </c>
      <c r="D48" s="1317"/>
      <c r="E48" s="1318"/>
      <c r="F48" s="1319"/>
      <c r="G48" s="1320"/>
      <c r="H48" s="1321"/>
      <c r="I48" s="1318"/>
      <c r="J48" s="444"/>
      <c r="K48" s="723"/>
      <c r="L48" s="2953"/>
      <c r="M48" s="2945"/>
      <c r="N48" s="2945"/>
      <c r="O48" s="2945"/>
      <c r="P48" s="3299" t="str">
        <f>A48</f>
        <v>成交单价（元/平方米）</v>
      </c>
      <c r="Q48" s="3300"/>
      <c r="R48" s="3365">
        <f>E48</f>
        <v>0</v>
      </c>
      <c r="S48" s="3365"/>
      <c r="T48" s="3365">
        <f>G48</f>
        <v>0</v>
      </c>
      <c r="U48" s="3365"/>
      <c r="V48" s="3365">
        <f>I48</f>
        <v>0</v>
      </c>
      <c r="W48" s="3365"/>
      <c r="X48" s="405"/>
      <c r="Y48" s="721"/>
      <c r="Z48" s="405"/>
      <c r="AA48" s="405"/>
      <c r="AB48" s="405"/>
      <c r="AC48" s="586"/>
    </row>
    <row r="49" spans="1:29" ht="15.75" thickBot="1">
      <c r="A49" s="445" t="s">
        <v>2488</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299" t="str">
        <f>A49</f>
        <v>比较价值（元/平方米）</v>
      </c>
      <c r="Q49" s="3300"/>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2367</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2369</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2373</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2378</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2382</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16412.019999999993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97" t="s">
        <v>2465</v>
      </c>
      <c r="D4" s="3310"/>
      <c r="E4" s="3311" t="s">
        <v>2466</v>
      </c>
      <c r="F4" s="3312"/>
      <c r="G4" s="3297" t="s">
        <v>2467</v>
      </c>
      <c r="H4" s="3310"/>
      <c r="I4" s="3297" t="s">
        <v>2468</v>
      </c>
      <c r="J4" s="3310"/>
      <c r="K4" s="567" t="s">
        <v>2469</v>
      </c>
      <c r="L4" s="1044"/>
      <c r="M4" s="1045"/>
      <c r="N4" s="1045"/>
      <c r="O4" s="1045"/>
      <c r="P4" s="3313" t="s">
        <v>2470</v>
      </c>
      <c r="Q4" s="3314"/>
      <c r="R4" s="3319" t="s">
        <v>2466</v>
      </c>
      <c r="S4" s="3320"/>
      <c r="T4" s="3319" t="s">
        <v>2467</v>
      </c>
      <c r="U4" s="3320"/>
      <c r="V4" s="3306" t="s">
        <v>2468</v>
      </c>
      <c r="W4" s="3306"/>
      <c r="X4" s="1540"/>
      <c r="Y4" s="3319" t="s">
        <v>2470</v>
      </c>
      <c r="Z4" s="3320"/>
      <c r="AA4" s="3307" t="s">
        <v>2466</v>
      </c>
      <c r="AB4" s="3308" t="s">
        <v>2467</v>
      </c>
      <c r="AC4" s="3307" t="s">
        <v>2468</v>
      </c>
    </row>
    <row r="5" spans="1:29" ht="15">
      <c r="A5" s="364"/>
      <c r="B5" s="365"/>
      <c r="C5" s="3327" t="s">
        <v>2361</v>
      </c>
      <c r="D5" s="3328"/>
      <c r="E5" s="3334" t="s">
        <v>2362</v>
      </c>
      <c r="F5" s="3335"/>
      <c r="G5" s="3327" t="s">
        <v>2363</v>
      </c>
      <c r="H5" s="3328"/>
      <c r="I5" s="3327" t="s">
        <v>2364</v>
      </c>
      <c r="J5" s="3328"/>
      <c r="K5" s="567"/>
      <c r="L5" s="1044"/>
      <c r="M5" s="1045"/>
      <c r="N5" s="1045"/>
      <c r="O5" s="1045"/>
      <c r="P5" s="3315"/>
      <c r="Q5" s="3316"/>
      <c r="R5" s="3321"/>
      <c r="S5" s="3322"/>
      <c r="T5" s="3321"/>
      <c r="U5" s="3322"/>
      <c r="V5" s="3306"/>
      <c r="W5" s="3306"/>
      <c r="X5" s="1540"/>
      <c r="Y5" s="3321"/>
      <c r="Z5" s="3322"/>
      <c r="AA5" s="3308"/>
      <c r="AB5" s="3308"/>
      <c r="AC5" s="3308"/>
    </row>
    <row r="6" spans="1:29" ht="15.75" thickBot="1">
      <c r="A6" s="366"/>
      <c r="B6" s="367"/>
      <c r="C6" s="3325" t="s">
        <v>2365</v>
      </c>
      <c r="D6" s="3326"/>
      <c r="E6" s="3332" t="s">
        <v>2365</v>
      </c>
      <c r="F6" s="3333"/>
      <c r="G6" s="3325" t="s">
        <v>2365</v>
      </c>
      <c r="H6" s="3326"/>
      <c r="I6" s="3325" t="s">
        <v>2365</v>
      </c>
      <c r="J6" s="3326"/>
      <c r="K6" s="567" t="s">
        <v>2366</v>
      </c>
      <c r="L6" s="1044"/>
      <c r="M6" s="1045"/>
      <c r="N6" s="1045"/>
      <c r="O6" s="1045"/>
      <c r="P6" s="3317"/>
      <c r="Q6" s="3318"/>
      <c r="R6" s="3321"/>
      <c r="S6" s="3322"/>
      <c r="T6" s="3323"/>
      <c r="U6" s="3324"/>
      <c r="V6" s="3306"/>
      <c r="W6" s="3306"/>
      <c r="X6" s="1540"/>
      <c r="Y6" s="3323"/>
      <c r="Z6" s="3324"/>
      <c r="AA6" s="3309"/>
      <c r="AB6" s="3309"/>
      <c r="AC6" s="3309"/>
    </row>
    <row r="7" spans="1:29" s="113" customFormat="1" ht="15.75" thickBot="1">
      <c r="A7" s="368" t="s">
        <v>2367</v>
      </c>
      <c r="B7" s="369"/>
      <c r="C7" s="370">
        <f>'数据-取费表'!B2</f>
        <v>44236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9" t="s">
        <v>2368</v>
      </c>
      <c r="Q7" s="3331"/>
      <c r="R7" s="710" t="s">
        <v>17</v>
      </c>
      <c r="S7" s="711">
        <f t="shared" ref="S7:S15" si="0">F7</f>
        <v>0</v>
      </c>
      <c r="T7" s="710" t="s">
        <v>17</v>
      </c>
      <c r="U7" s="711">
        <f t="shared" ref="U7:U15" si="1">H7</f>
        <v>0</v>
      </c>
      <c r="V7" s="710" t="s">
        <v>17</v>
      </c>
      <c r="W7" s="711">
        <f t="shared" ref="W7:W15" si="2">J7</f>
        <v>0</v>
      </c>
      <c r="X7" s="712"/>
      <c r="Y7" s="3329" t="s">
        <v>2368</v>
      </c>
      <c r="Z7" s="333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9" t="s">
        <v>2371</v>
      </c>
      <c r="Q8" s="3330"/>
      <c r="R8" s="710" t="s">
        <v>17</v>
      </c>
      <c r="S8" s="711">
        <f t="shared" si="0"/>
        <v>0</v>
      </c>
      <c r="T8" s="710" t="s">
        <v>17</v>
      </c>
      <c r="U8" s="711">
        <f t="shared" si="1"/>
        <v>0</v>
      </c>
      <c r="V8" s="710" t="s">
        <v>17</v>
      </c>
      <c r="W8" s="711">
        <f t="shared" si="2"/>
        <v>0</v>
      </c>
      <c r="X8" s="712"/>
      <c r="Y8" s="3329" t="s">
        <v>2371</v>
      </c>
      <c r="Z8" s="333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0"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0"/>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0"/>
      <c r="Q11" s="1528" t="str">
        <f t="shared" si="6"/>
        <v>容积率</v>
      </c>
      <c r="R11" s="710" t="s">
        <v>17</v>
      </c>
      <c r="S11" s="711" t="e">
        <f t="shared" si="0"/>
        <v>#N/A</v>
      </c>
      <c r="T11" s="710" t="s">
        <v>17</v>
      </c>
      <c r="U11" s="711" t="e">
        <f t="shared" si="1"/>
        <v>#N/A</v>
      </c>
      <c r="V11" s="710" t="s">
        <v>17</v>
      </c>
      <c r="W11" s="711" t="e">
        <f t="shared" si="2"/>
        <v>#N/A</v>
      </c>
      <c r="X11" s="712"/>
      <c r="Y11" s="319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0"/>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0"/>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0"/>
      <c r="Q14" s="1528">
        <f t="shared" si="6"/>
        <v>111</v>
      </c>
      <c r="R14" s="710" t="s">
        <v>17</v>
      </c>
      <c r="S14" s="711">
        <f t="shared" si="0"/>
        <v>100</v>
      </c>
      <c r="T14" s="710" t="s">
        <v>17</v>
      </c>
      <c r="U14" s="711">
        <f t="shared" si="1"/>
        <v>100</v>
      </c>
      <c r="V14" s="710" t="s">
        <v>17</v>
      </c>
      <c r="W14" s="711">
        <f t="shared" si="2"/>
        <v>100</v>
      </c>
      <c r="X14" s="712"/>
      <c r="Y14" s="3194"/>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2" t="s">
        <v>2379</v>
      </c>
      <c r="Q15" s="1537" t="str">
        <f t="shared" si="6"/>
        <v>产业集聚程度</v>
      </c>
      <c r="R15" s="714" t="s">
        <v>17</v>
      </c>
      <c r="S15" s="715">
        <f t="shared" si="0"/>
        <v>100</v>
      </c>
      <c r="T15" s="714" t="s">
        <v>17</v>
      </c>
      <c r="U15" s="715">
        <f t="shared" si="1"/>
        <v>100</v>
      </c>
      <c r="V15" s="714" t="s">
        <v>17</v>
      </c>
      <c r="W15" s="715">
        <f t="shared" si="2"/>
        <v>100</v>
      </c>
      <c r="X15" s="1540"/>
      <c r="Y15" s="3302" t="s">
        <v>2379</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03"/>
      <c r="Q16" s="1537"/>
      <c r="R16" s="714"/>
      <c r="S16" s="715"/>
      <c r="T16" s="714"/>
      <c r="U16" s="715"/>
      <c r="V16" s="714"/>
      <c r="W16" s="715"/>
      <c r="X16" s="1540"/>
      <c r="Y16" s="3303"/>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3"/>
      <c r="Q17" s="1537" t="str">
        <f>B17</f>
        <v>交通便捷度</v>
      </c>
      <c r="R17" s="714" t="s">
        <v>17</v>
      </c>
      <c r="S17" s="715">
        <f>F17</f>
        <v>100</v>
      </c>
      <c r="T17" s="714" t="s">
        <v>17</v>
      </c>
      <c r="U17" s="715">
        <f>H17</f>
        <v>100</v>
      </c>
      <c r="V17" s="714" t="s">
        <v>17</v>
      </c>
      <c r="W17" s="715">
        <f>J17</f>
        <v>100</v>
      </c>
      <c r="X17" s="1540"/>
      <c r="Y17" s="330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03"/>
      <c r="Q18" s="1537"/>
      <c r="R18" s="714"/>
      <c r="S18" s="715"/>
      <c r="T18" s="714"/>
      <c r="U18" s="715"/>
      <c r="V18" s="714"/>
      <c r="W18" s="715"/>
      <c r="X18" s="1540"/>
      <c r="Y18" s="3303"/>
      <c r="Z18" s="1541"/>
      <c r="AA18" s="1538">
        <v>1</v>
      </c>
      <c r="AB18" s="1538">
        <v>1</v>
      </c>
      <c r="AC18" s="1538">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3"/>
      <c r="Q19" s="1537" t="str">
        <f>B19</f>
        <v>公共配套设施</v>
      </c>
      <c r="R19" s="714" t="s">
        <v>17</v>
      </c>
      <c r="S19" s="715">
        <f>F19</f>
        <v>100</v>
      </c>
      <c r="T19" s="714" t="s">
        <v>17</v>
      </c>
      <c r="U19" s="715">
        <f>H19</f>
        <v>100</v>
      </c>
      <c r="V19" s="714" t="s">
        <v>17</v>
      </c>
      <c r="W19" s="715">
        <f>J19</f>
        <v>100</v>
      </c>
      <c r="X19" s="1540"/>
      <c r="Y19" s="330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03"/>
      <c r="Q20" s="1537"/>
      <c r="R20" s="714"/>
      <c r="S20" s="715"/>
      <c r="T20" s="714"/>
      <c r="U20" s="715"/>
      <c r="V20" s="714"/>
      <c r="W20" s="715"/>
      <c r="X20" s="1540"/>
      <c r="Y20" s="3303"/>
      <c r="Z20" s="1541"/>
      <c r="AA20" s="1538">
        <v>1</v>
      </c>
      <c r="AB20" s="1538">
        <v>1</v>
      </c>
      <c r="AC20" s="1538">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3"/>
      <c r="Q21" s="1537" t="str">
        <f>B21</f>
        <v>基础设施水平</v>
      </c>
      <c r="R21" s="714" t="s">
        <v>17</v>
      </c>
      <c r="S21" s="715">
        <f>F21</f>
        <v>100</v>
      </c>
      <c r="T21" s="714" t="s">
        <v>17</v>
      </c>
      <c r="U21" s="715">
        <f>H21</f>
        <v>100</v>
      </c>
      <c r="V21" s="714" t="s">
        <v>17</v>
      </c>
      <c r="W21" s="715">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303"/>
      <c r="Q22" s="1537"/>
      <c r="R22" s="714"/>
      <c r="S22" s="715"/>
      <c r="T22" s="714"/>
      <c r="U22" s="715"/>
      <c r="V22" s="714"/>
      <c r="W22" s="715"/>
      <c r="X22" s="1540"/>
      <c r="Y22" s="3303"/>
      <c r="Z22" s="1541"/>
      <c r="AA22" s="1538">
        <v>1</v>
      </c>
      <c r="AB22" s="1538">
        <v>1</v>
      </c>
      <c r="AC22" s="1538">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3"/>
      <c r="Q23" s="1537" t="str">
        <f>B23</f>
        <v>环境质量</v>
      </c>
      <c r="R23" s="714" t="s">
        <v>17</v>
      </c>
      <c r="S23" s="715">
        <f>F23</f>
        <v>100</v>
      </c>
      <c r="T23" s="714" t="s">
        <v>17</v>
      </c>
      <c r="U23" s="715">
        <f>H23</f>
        <v>100</v>
      </c>
      <c r="V23" s="714" t="s">
        <v>17</v>
      </c>
      <c r="W23" s="715">
        <f>J23</f>
        <v>100</v>
      </c>
      <c r="X23" s="1540"/>
      <c r="Y23" s="3303"/>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303"/>
      <c r="Q24" s="1537"/>
      <c r="R24" s="714"/>
      <c r="S24" s="715"/>
      <c r="T24" s="714"/>
      <c r="U24" s="715"/>
      <c r="V24" s="714"/>
      <c r="W24" s="715"/>
      <c r="X24" s="1540"/>
      <c r="Y24" s="330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3"/>
      <c r="Q25" s="1537">
        <f>B25</f>
        <v>111</v>
      </c>
      <c r="R25" s="714" t="s">
        <v>17</v>
      </c>
      <c r="S25" s="715">
        <f>F25</f>
        <v>100</v>
      </c>
      <c r="T25" s="714" t="s">
        <v>17</v>
      </c>
      <c r="U25" s="715">
        <f>H25</f>
        <v>100</v>
      </c>
      <c r="V25" s="714" t="s">
        <v>17</v>
      </c>
      <c r="W25" s="715">
        <f>J25</f>
        <v>100</v>
      </c>
      <c r="X25" s="1540"/>
      <c r="Y25" s="330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3"/>
      <c r="Q26" s="1537">
        <f t="shared" ref="Q26:Q40" si="11">B26</f>
        <v>111</v>
      </c>
      <c r="R26" s="714" t="s">
        <v>17</v>
      </c>
      <c r="S26" s="715">
        <f>F26</f>
        <v>100</v>
      </c>
      <c r="T26" s="714" t="s">
        <v>17</v>
      </c>
      <c r="U26" s="715">
        <f>H26</f>
        <v>100</v>
      </c>
      <c r="V26" s="714" t="s">
        <v>17</v>
      </c>
      <c r="W26" s="715">
        <f>J26</f>
        <v>100</v>
      </c>
      <c r="X26" s="1540"/>
      <c r="Y26" s="330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3"/>
      <c r="Q27" s="1528">
        <f t="shared" si="11"/>
        <v>111</v>
      </c>
      <c r="R27" s="710" t="s">
        <v>17</v>
      </c>
      <c r="S27" s="711">
        <f>F27</f>
        <v>100</v>
      </c>
      <c r="T27" s="710" t="s">
        <v>17</v>
      </c>
      <c r="U27" s="711">
        <f>H27</f>
        <v>100</v>
      </c>
      <c r="V27" s="710" t="s">
        <v>17</v>
      </c>
      <c r="W27" s="711">
        <f>J27</f>
        <v>100</v>
      </c>
      <c r="X27" s="712"/>
      <c r="Y27" s="330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3"/>
      <c r="Q28" s="1537">
        <f t="shared" si="11"/>
        <v>111</v>
      </c>
      <c r="R28" s="714" t="s">
        <v>17</v>
      </c>
      <c r="S28" s="715">
        <f t="shared" ref="S28:S40" si="12">F28</f>
        <v>100</v>
      </c>
      <c r="T28" s="714" t="s">
        <v>17</v>
      </c>
      <c r="U28" s="715">
        <f t="shared" ref="U28:U40" si="13">H28</f>
        <v>100</v>
      </c>
      <c r="V28" s="714" t="s">
        <v>17</v>
      </c>
      <c r="W28" s="715">
        <f t="shared" ref="W28:W40" si="14">J28</f>
        <v>100</v>
      </c>
      <c r="X28" s="1540"/>
      <c r="Y28" s="3303"/>
      <c r="Z28" s="1541">
        <f t="shared" ref="Z28:Z40" si="15">Q28</f>
        <v>111</v>
      </c>
      <c r="AA28" s="1538">
        <f t="shared" si="3"/>
        <v>1</v>
      </c>
      <c r="AB28" s="1538">
        <f t="shared" si="4"/>
        <v>1</v>
      </c>
      <c r="AC28" s="1538">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04" t="s">
        <v>2384</v>
      </c>
      <c r="Q29" s="1537" t="str">
        <f t="shared" si="11"/>
        <v>建筑类型</v>
      </c>
      <c r="R29" s="714" t="s">
        <v>17</v>
      </c>
      <c r="S29" s="715">
        <f t="shared" si="12"/>
        <v>100</v>
      </c>
      <c r="T29" s="714" t="s">
        <v>17</v>
      </c>
      <c r="U29" s="715">
        <f t="shared" si="13"/>
        <v>100</v>
      </c>
      <c r="V29" s="714" t="s">
        <v>17</v>
      </c>
      <c r="W29" s="715">
        <f t="shared" si="14"/>
        <v>100</v>
      </c>
      <c r="X29" s="1540"/>
      <c r="Y29" s="3305" t="s">
        <v>2384</v>
      </c>
      <c r="Z29" s="1541" t="str">
        <f t="shared" si="15"/>
        <v>建筑类型</v>
      </c>
      <c r="AA29" s="1538">
        <f t="shared" si="3"/>
        <v>1</v>
      </c>
      <c r="AB29" s="1538">
        <f t="shared" si="4"/>
        <v>1</v>
      </c>
      <c r="AC29" s="1538">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5"/>
      <c r="Q30" s="716" t="str">
        <f t="shared" si="11"/>
        <v>项目建筑规模</v>
      </c>
      <c r="R30" s="717" t="s">
        <v>17</v>
      </c>
      <c r="S30" s="718" t="e">
        <f t="shared" si="12"/>
        <v>#N/A</v>
      </c>
      <c r="T30" s="717" t="s">
        <v>17</v>
      </c>
      <c r="U30" s="718" t="e">
        <f t="shared" si="13"/>
        <v>#N/A</v>
      </c>
      <c r="V30" s="717" t="s">
        <v>17</v>
      </c>
      <c r="W30" s="718" t="e">
        <f t="shared" si="14"/>
        <v>#N/A</v>
      </c>
      <c r="X30" s="719"/>
      <c r="Y30" s="3305"/>
      <c r="Z30" s="720" t="str">
        <f t="shared" si="15"/>
        <v>项目建筑规模</v>
      </c>
      <c r="AA30" s="1538" t="e">
        <f t="shared" si="3"/>
        <v>#N/A</v>
      </c>
      <c r="AB30" s="1538" t="e">
        <f t="shared" si="4"/>
        <v>#N/A</v>
      </c>
      <c r="AC30" s="1538"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5"/>
      <c r="Q31" s="1537" t="str">
        <f t="shared" si="11"/>
        <v>建筑结构</v>
      </c>
      <c r="R31" s="714" t="s">
        <v>17</v>
      </c>
      <c r="S31" s="715">
        <f t="shared" si="12"/>
        <v>100</v>
      </c>
      <c r="T31" s="714" t="s">
        <v>17</v>
      </c>
      <c r="U31" s="715">
        <f t="shared" si="13"/>
        <v>100</v>
      </c>
      <c r="V31" s="714" t="s">
        <v>17</v>
      </c>
      <c r="W31" s="715">
        <f t="shared" si="14"/>
        <v>100</v>
      </c>
      <c r="X31" s="1540"/>
      <c r="Y31" s="3305"/>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5"/>
      <c r="Q32" s="1537" t="str">
        <f t="shared" si="11"/>
        <v>公共部分装修</v>
      </c>
      <c r="R32" s="714" t="s">
        <v>17</v>
      </c>
      <c r="S32" s="715">
        <f t="shared" si="12"/>
        <v>100</v>
      </c>
      <c r="T32" s="714" t="s">
        <v>17</v>
      </c>
      <c r="U32" s="715">
        <f t="shared" si="13"/>
        <v>100</v>
      </c>
      <c r="V32" s="714" t="s">
        <v>17</v>
      </c>
      <c r="W32" s="715">
        <f t="shared" si="14"/>
        <v>100</v>
      </c>
      <c r="X32" s="1540"/>
      <c r="Y32" s="3305"/>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5"/>
      <c r="Q33" s="1537" t="str">
        <f t="shared" si="11"/>
        <v>成新度</v>
      </c>
      <c r="R33" s="714" t="s">
        <v>17</v>
      </c>
      <c r="S33" s="715" t="e">
        <f t="shared" si="12"/>
        <v>#N/A</v>
      </c>
      <c r="T33" s="714" t="s">
        <v>17</v>
      </c>
      <c r="U33" s="715" t="e">
        <f t="shared" si="13"/>
        <v>#N/A</v>
      </c>
      <c r="V33" s="714" t="s">
        <v>17</v>
      </c>
      <c r="W33" s="715" t="e">
        <f t="shared" si="14"/>
        <v>#N/A</v>
      </c>
      <c r="X33" s="1540"/>
      <c r="Y33" s="3305"/>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5"/>
      <c r="Q34" s="1528" t="str">
        <f t="shared" si="11"/>
        <v>物业管理</v>
      </c>
      <c r="R34" s="710" t="s">
        <v>17</v>
      </c>
      <c r="S34" s="711">
        <f t="shared" si="12"/>
        <v>100</v>
      </c>
      <c r="T34" s="710" t="s">
        <v>17</v>
      </c>
      <c r="U34" s="711">
        <f t="shared" si="13"/>
        <v>100</v>
      </c>
      <c r="V34" s="710" t="s">
        <v>17</v>
      </c>
      <c r="W34" s="711">
        <f t="shared" si="14"/>
        <v>100</v>
      </c>
      <c r="X34" s="712"/>
      <c r="Y34" s="3305"/>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5" t="s">
        <v>2384</v>
      </c>
      <c r="Q35" s="1537" t="str">
        <f t="shared" si="11"/>
        <v>市政基础设施</v>
      </c>
      <c r="R35" s="714" t="s">
        <v>17</v>
      </c>
      <c r="S35" s="715">
        <f t="shared" si="12"/>
        <v>100</v>
      </c>
      <c r="T35" s="714" t="s">
        <v>17</v>
      </c>
      <c r="U35" s="715">
        <f t="shared" si="13"/>
        <v>100</v>
      </c>
      <c r="V35" s="714" t="s">
        <v>17</v>
      </c>
      <c r="W35" s="715">
        <f t="shared" si="14"/>
        <v>100</v>
      </c>
      <c r="X35" s="1540"/>
      <c r="Y35" s="3305" t="s">
        <v>2384</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5"/>
      <c r="Q36" s="1537" t="str">
        <f t="shared" si="11"/>
        <v>内部装修</v>
      </c>
      <c r="R36" s="714" t="s">
        <v>17</v>
      </c>
      <c r="S36" s="715">
        <f t="shared" si="12"/>
        <v>100</v>
      </c>
      <c r="T36" s="714" t="s">
        <v>17</v>
      </c>
      <c r="U36" s="715">
        <f t="shared" si="13"/>
        <v>100</v>
      </c>
      <c r="V36" s="714" t="s">
        <v>17</v>
      </c>
      <c r="W36" s="715">
        <f t="shared" si="14"/>
        <v>100</v>
      </c>
      <c r="X36" s="1540"/>
      <c r="Y36" s="3305"/>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5"/>
      <c r="Q37" s="1537" t="str">
        <f t="shared" si="11"/>
        <v>内部装修状况</v>
      </c>
      <c r="R37" s="714" t="s">
        <v>17</v>
      </c>
      <c r="S37" s="715">
        <f t="shared" si="12"/>
        <v>100</v>
      </c>
      <c r="T37" s="714" t="s">
        <v>17</v>
      </c>
      <c r="U37" s="715">
        <f t="shared" si="13"/>
        <v>100</v>
      </c>
      <c r="V37" s="714" t="s">
        <v>17</v>
      </c>
      <c r="W37" s="715">
        <f t="shared" si="14"/>
        <v>100</v>
      </c>
      <c r="X37" s="1540"/>
      <c r="Y37" s="330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5"/>
      <c r="Q38" s="716">
        <f t="shared" si="11"/>
        <v>111</v>
      </c>
      <c r="R38" s="717" t="s">
        <v>17</v>
      </c>
      <c r="S38" s="718">
        <f t="shared" si="12"/>
        <v>100</v>
      </c>
      <c r="T38" s="717" t="s">
        <v>17</v>
      </c>
      <c r="U38" s="718">
        <f t="shared" si="13"/>
        <v>100</v>
      </c>
      <c r="V38" s="717" t="s">
        <v>17</v>
      </c>
      <c r="W38" s="718">
        <f t="shared" si="14"/>
        <v>100</v>
      </c>
      <c r="X38" s="719"/>
      <c r="Y38" s="330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5"/>
      <c r="Q39" s="1537">
        <f t="shared" si="11"/>
        <v>111</v>
      </c>
      <c r="R39" s="714" t="s">
        <v>17</v>
      </c>
      <c r="S39" s="715">
        <f t="shared" si="12"/>
        <v>100</v>
      </c>
      <c r="T39" s="714" t="s">
        <v>17</v>
      </c>
      <c r="U39" s="715">
        <f t="shared" si="13"/>
        <v>100</v>
      </c>
      <c r="V39" s="714" t="s">
        <v>17</v>
      </c>
      <c r="W39" s="715">
        <f t="shared" si="14"/>
        <v>100</v>
      </c>
      <c r="X39" s="1540"/>
      <c r="Y39" s="3305"/>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9"/>
      <c r="Q40" s="1537">
        <f t="shared" si="11"/>
        <v>111</v>
      </c>
      <c r="R40" s="714" t="s">
        <v>17</v>
      </c>
      <c r="S40" s="715">
        <f t="shared" si="12"/>
        <v>100</v>
      </c>
      <c r="T40" s="714" t="s">
        <v>17</v>
      </c>
      <c r="U40" s="715">
        <f t="shared" si="13"/>
        <v>100</v>
      </c>
      <c r="V40" s="714" t="s">
        <v>17</v>
      </c>
      <c r="W40" s="715">
        <f t="shared" si="14"/>
        <v>100</v>
      </c>
      <c r="X40" s="1540"/>
      <c r="Y40" s="3369"/>
      <c r="Z40" s="1541">
        <f t="shared" si="15"/>
        <v>111</v>
      </c>
      <c r="AA40" s="1538">
        <f t="shared" si="3"/>
        <v>1</v>
      </c>
      <c r="AB40" s="1538">
        <f t="shared" si="4"/>
        <v>1</v>
      </c>
      <c r="AC40" s="1538">
        <f t="shared" si="5"/>
        <v>1</v>
      </c>
    </row>
    <row r="41" spans="1:29" ht="15">
      <c r="A41" s="438" t="s">
        <v>2396</v>
      </c>
      <c r="B41" s="439"/>
      <c r="C41" s="1316" t="s">
        <v>1</v>
      </c>
      <c r="D41" s="1317"/>
      <c r="E41" s="1318"/>
      <c r="F41" s="1319"/>
      <c r="G41" s="1320"/>
      <c r="H41" s="1321"/>
      <c r="I41" s="1318"/>
      <c r="J41" s="1321"/>
      <c r="K41" s="723"/>
      <c r="L41" s="1057"/>
      <c r="M41" s="1058"/>
      <c r="N41" s="1045"/>
      <c r="O41" s="1058"/>
      <c r="P41" s="3300" t="str">
        <f>A41</f>
        <v>成交单价（元/平方米）</v>
      </c>
      <c r="Q41" s="3300"/>
      <c r="R41" s="3365">
        <f>E41</f>
        <v>0</v>
      </c>
      <c r="S41" s="3365"/>
      <c r="T41" s="3365">
        <f>G41</f>
        <v>0</v>
      </c>
      <c r="U41" s="3365"/>
      <c r="V41" s="3365">
        <f>I41</f>
        <v>0</v>
      </c>
      <c r="W41" s="3365"/>
      <c r="X41" s="699"/>
      <c r="Y41" s="721"/>
      <c r="Z41" s="699"/>
      <c r="AA41" s="699"/>
      <c r="AB41" s="699"/>
      <c r="AC41" s="699"/>
    </row>
    <row r="42" spans="1:29" ht="15.75" thickBot="1">
      <c r="A42" s="445" t="s">
        <v>2488</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00" t="str">
        <f>A42</f>
        <v>比较价值（元/平方米）</v>
      </c>
      <c r="Q42" s="3300"/>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4" t="str">
        <f>A43</f>
        <v>估价对象XX用房的比较价值（楼面单价，元/平方米）</v>
      </c>
      <c r="Q43" s="3295"/>
      <c r="R43" s="3364" t="e">
        <f>IF(F1="售价",ROUND(IF(D42="简单平均",AVERAGE(R42:V42),R42*F42+T42*H42+V42*J42),0),ROUND(IF(D42="简单平均",AVERAGE(R42:V42),R42*F42+T42*H42+V42*J42),1))</f>
        <v>#DIV/0!</v>
      </c>
      <c r="S43" s="3364"/>
      <c r="T43" s="3364"/>
      <c r="U43" s="3364"/>
      <c r="V43" s="3364"/>
      <c r="W43" s="336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297" t="s">
        <v>2465</v>
      </c>
      <c r="D4" s="3310"/>
      <c r="E4" s="3311" t="s">
        <v>2466</v>
      </c>
      <c r="F4" s="3312"/>
      <c r="G4" s="3297" t="s">
        <v>2467</v>
      </c>
      <c r="H4" s="3310"/>
      <c r="I4" s="3297" t="s">
        <v>2468</v>
      </c>
      <c r="J4" s="3310"/>
      <c r="K4" s="567" t="s">
        <v>2469</v>
      </c>
      <c r="L4" s="2944"/>
      <c r="M4" s="2945"/>
      <c r="N4" s="2945"/>
      <c r="O4" s="2945"/>
      <c r="P4" s="3313" t="s">
        <v>2470</v>
      </c>
      <c r="Q4" s="3314"/>
      <c r="R4" s="3319" t="s">
        <v>2466</v>
      </c>
      <c r="S4" s="3320"/>
      <c r="T4" s="3319" t="s">
        <v>2467</v>
      </c>
      <c r="U4" s="3320"/>
      <c r="V4" s="3306" t="s">
        <v>2468</v>
      </c>
      <c r="W4" s="3306"/>
      <c r="X4" s="1540"/>
      <c r="Y4" s="3319" t="s">
        <v>2470</v>
      </c>
      <c r="Z4" s="3320"/>
      <c r="AA4" s="3307" t="s">
        <v>2466</v>
      </c>
      <c r="AB4" s="3308" t="s">
        <v>2467</v>
      </c>
      <c r="AC4" s="3307" t="s">
        <v>2468</v>
      </c>
    </row>
    <row r="5" spans="1:29" ht="15">
      <c r="A5" s="364"/>
      <c r="B5" s="365"/>
      <c r="C5" s="3327" t="s">
        <v>2361</v>
      </c>
      <c r="D5" s="3328"/>
      <c r="E5" s="3334" t="s">
        <v>2362</v>
      </c>
      <c r="F5" s="3335"/>
      <c r="G5" s="3327" t="s">
        <v>2363</v>
      </c>
      <c r="H5" s="3328"/>
      <c r="I5" s="3327" t="s">
        <v>2364</v>
      </c>
      <c r="J5" s="3328"/>
      <c r="K5" s="567"/>
      <c r="L5" s="2944"/>
      <c r="M5" s="2945"/>
      <c r="N5" s="2945"/>
      <c r="O5" s="2945"/>
      <c r="P5" s="3315"/>
      <c r="Q5" s="3316"/>
      <c r="R5" s="3321"/>
      <c r="S5" s="3322"/>
      <c r="T5" s="3321"/>
      <c r="U5" s="3322"/>
      <c r="V5" s="3306"/>
      <c r="W5" s="3306"/>
      <c r="X5" s="1540"/>
      <c r="Y5" s="3321"/>
      <c r="Z5" s="3322"/>
      <c r="AA5" s="3308"/>
      <c r="AB5" s="3308"/>
      <c r="AC5" s="3308"/>
    </row>
    <row r="6" spans="1:29" ht="15.75" thickBot="1">
      <c r="A6" s="366"/>
      <c r="B6" s="367"/>
      <c r="C6" s="3325" t="s">
        <v>2365</v>
      </c>
      <c r="D6" s="3326"/>
      <c r="E6" s="3332" t="s">
        <v>2365</v>
      </c>
      <c r="F6" s="3333"/>
      <c r="G6" s="3325" t="s">
        <v>2365</v>
      </c>
      <c r="H6" s="3326"/>
      <c r="I6" s="3325" t="s">
        <v>2365</v>
      </c>
      <c r="J6" s="3326"/>
      <c r="K6" s="567" t="s">
        <v>2366</v>
      </c>
      <c r="L6" s="2944"/>
      <c r="M6" s="2945"/>
      <c r="N6" s="2945"/>
      <c r="O6" s="2945"/>
      <c r="P6" s="3317"/>
      <c r="Q6" s="3318"/>
      <c r="R6" s="3321"/>
      <c r="S6" s="3322"/>
      <c r="T6" s="3323"/>
      <c r="U6" s="3324"/>
      <c r="V6" s="3306"/>
      <c r="W6" s="3306"/>
      <c r="X6" s="1540"/>
      <c r="Y6" s="3323"/>
      <c r="Z6" s="3324"/>
      <c r="AA6" s="3309"/>
      <c r="AB6" s="3309"/>
      <c r="AC6" s="3309"/>
    </row>
    <row r="7" spans="1:29" s="113" customFormat="1" ht="15.75" thickBot="1">
      <c r="A7" s="368" t="s">
        <v>2367</v>
      </c>
      <c r="B7" s="369"/>
      <c r="C7" s="370">
        <f>'数据-取费表'!B2</f>
        <v>44236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9" t="s">
        <v>2368</v>
      </c>
      <c r="Q7" s="3331"/>
      <c r="R7" s="710" t="s">
        <v>17</v>
      </c>
      <c r="S7" s="711">
        <f t="shared" ref="S7:S14" si="0">F7</f>
        <v>0</v>
      </c>
      <c r="T7" s="710" t="s">
        <v>17</v>
      </c>
      <c r="U7" s="711">
        <f t="shared" ref="U7:U14" si="1">H7</f>
        <v>0</v>
      </c>
      <c r="V7" s="710" t="s">
        <v>17</v>
      </c>
      <c r="W7" s="711">
        <f t="shared" ref="W7:W14" si="2">J7</f>
        <v>0</v>
      </c>
      <c r="X7" s="712"/>
      <c r="Y7" s="3329" t="s">
        <v>2368</v>
      </c>
      <c r="Z7" s="333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9" t="s">
        <v>2371</v>
      </c>
      <c r="Q8" s="3330"/>
      <c r="R8" s="710" t="s">
        <v>17</v>
      </c>
      <c r="S8" s="711">
        <f t="shared" si="0"/>
        <v>0</v>
      </c>
      <c r="T8" s="710" t="s">
        <v>17</v>
      </c>
      <c r="U8" s="711">
        <f t="shared" si="1"/>
        <v>0</v>
      </c>
      <c r="V8" s="710" t="s">
        <v>17</v>
      </c>
      <c r="W8" s="711">
        <f t="shared" si="2"/>
        <v>0</v>
      </c>
      <c r="X8" s="712"/>
      <c r="Y8" s="3329" t="s">
        <v>2371</v>
      </c>
      <c r="Z8" s="333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00" t="s">
        <v>2374</v>
      </c>
      <c r="Q9" s="1528" t="str">
        <f t="shared" ref="Q9:Q14" si="6">B9</f>
        <v>用途</v>
      </c>
      <c r="R9" s="710" t="s">
        <v>17</v>
      </c>
      <c r="S9" s="711">
        <f t="shared" si="0"/>
        <v>100</v>
      </c>
      <c r="T9" s="710" t="s">
        <v>17</v>
      </c>
      <c r="U9" s="711">
        <f t="shared" si="1"/>
        <v>100</v>
      </c>
      <c r="V9" s="710" t="s">
        <v>17</v>
      </c>
      <c r="W9" s="711">
        <f t="shared" si="2"/>
        <v>100</v>
      </c>
      <c r="X9" s="712"/>
      <c r="Y9" s="3194"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00"/>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00"/>
      <c r="Q11" s="1528">
        <f t="shared" si="6"/>
        <v>111</v>
      </c>
      <c r="R11" s="710" t="s">
        <v>17</v>
      </c>
      <c r="S11" s="711">
        <f t="shared" si="0"/>
        <v>100</v>
      </c>
      <c r="T11" s="710" t="s">
        <v>17</v>
      </c>
      <c r="U11" s="711">
        <f t="shared" si="1"/>
        <v>100</v>
      </c>
      <c r="V11" s="710" t="s">
        <v>17</v>
      </c>
      <c r="W11" s="711">
        <f t="shared" si="2"/>
        <v>100</v>
      </c>
      <c r="X11" s="712"/>
      <c r="Y11" s="31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00"/>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00"/>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2" t="s">
        <v>2379</v>
      </c>
      <c r="Q14" s="1537" t="str">
        <f t="shared" si="6"/>
        <v>交通便捷度</v>
      </c>
      <c r="R14" s="714" t="s">
        <v>17</v>
      </c>
      <c r="S14" s="715">
        <f t="shared" si="0"/>
        <v>100</v>
      </c>
      <c r="T14" s="714" t="s">
        <v>17</v>
      </c>
      <c r="U14" s="715">
        <f t="shared" si="1"/>
        <v>100</v>
      </c>
      <c r="V14" s="714" t="s">
        <v>17</v>
      </c>
      <c r="W14" s="715">
        <f t="shared" si="2"/>
        <v>100</v>
      </c>
      <c r="X14" s="1540"/>
      <c r="Y14" s="3302" t="s">
        <v>2379</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03"/>
      <c r="Q15" s="1537"/>
      <c r="R15" s="714"/>
      <c r="S15" s="715"/>
      <c r="T15" s="714"/>
      <c r="U15" s="715"/>
      <c r="V15" s="714"/>
      <c r="W15" s="715"/>
      <c r="X15" s="1540"/>
      <c r="Y15" s="3303"/>
      <c r="Z15" s="1541"/>
      <c r="AA15" s="1538">
        <v>1</v>
      </c>
      <c r="AB15" s="1538">
        <v>1</v>
      </c>
      <c r="AC15" s="1538">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03"/>
      <c r="Q16" s="1537" t="str">
        <f>B16</f>
        <v>公共配套设施</v>
      </c>
      <c r="R16" s="714" t="s">
        <v>17</v>
      </c>
      <c r="S16" s="715">
        <f>F16</f>
        <v>100</v>
      </c>
      <c r="T16" s="714" t="s">
        <v>17</v>
      </c>
      <c r="U16" s="715">
        <f>H16</f>
        <v>100</v>
      </c>
      <c r="V16" s="714" t="s">
        <v>17</v>
      </c>
      <c r="W16" s="715">
        <f>J16</f>
        <v>100</v>
      </c>
      <c r="X16" s="1540"/>
      <c r="Y16" s="3303"/>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303"/>
      <c r="Q17" s="1537"/>
      <c r="R17" s="714"/>
      <c r="S17" s="715"/>
      <c r="T17" s="714"/>
      <c r="U17" s="715"/>
      <c r="V17" s="714"/>
      <c r="W17" s="715"/>
      <c r="X17" s="1540"/>
      <c r="Y17" s="3303"/>
      <c r="Z17" s="1541"/>
      <c r="AA17" s="1538">
        <v>1</v>
      </c>
      <c r="AB17" s="1538">
        <v>1</v>
      </c>
      <c r="AC17" s="1538">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03"/>
      <c r="Q18" s="1537" t="str">
        <f>B18</f>
        <v>基础设施水平</v>
      </c>
      <c r="R18" s="714" t="s">
        <v>17</v>
      </c>
      <c r="S18" s="715">
        <f>F18</f>
        <v>100</v>
      </c>
      <c r="T18" s="714" t="s">
        <v>17</v>
      </c>
      <c r="U18" s="715">
        <f>H18</f>
        <v>100</v>
      </c>
      <c r="V18" s="714" t="s">
        <v>17</v>
      </c>
      <c r="W18" s="715">
        <f>J18</f>
        <v>100</v>
      </c>
      <c r="X18" s="1540"/>
      <c r="Y18" s="3303"/>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1"/>
      <c r="M19" s="2945"/>
      <c r="N19" s="2945"/>
      <c r="O19" s="2945"/>
      <c r="P19" s="3303"/>
      <c r="Q19" s="1537"/>
      <c r="R19" s="714"/>
      <c r="S19" s="715"/>
      <c r="T19" s="714"/>
      <c r="U19" s="715"/>
      <c r="V19" s="714"/>
      <c r="W19" s="715"/>
      <c r="X19" s="1540"/>
      <c r="Y19" s="3303"/>
      <c r="Z19" s="1541"/>
      <c r="AA19" s="1538">
        <v>1</v>
      </c>
      <c r="AB19" s="1538">
        <v>1</v>
      </c>
      <c r="AC19" s="1538">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03"/>
      <c r="Q20" s="1537" t="str">
        <f>B20</f>
        <v>自然及人文环境</v>
      </c>
      <c r="R20" s="714" t="s">
        <v>17</v>
      </c>
      <c r="S20" s="715">
        <f>F20</f>
        <v>100</v>
      </c>
      <c r="T20" s="714" t="s">
        <v>17</v>
      </c>
      <c r="U20" s="715">
        <f>H20</f>
        <v>100</v>
      </c>
      <c r="V20" s="714" t="s">
        <v>17</v>
      </c>
      <c r="W20" s="715">
        <f>J20</f>
        <v>100</v>
      </c>
      <c r="X20" s="1540"/>
      <c r="Y20" s="330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03"/>
      <c r="Q21" s="1537"/>
      <c r="R21" s="714"/>
      <c r="S21" s="715"/>
      <c r="T21" s="714"/>
      <c r="U21" s="715"/>
      <c r="V21" s="714"/>
      <c r="W21" s="715"/>
      <c r="X21" s="1540"/>
      <c r="Y21" s="3303"/>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03"/>
      <c r="Q22" s="1537" t="str">
        <f>B22</f>
        <v>楼层</v>
      </c>
      <c r="R22" s="714" t="s">
        <v>17</v>
      </c>
      <c r="S22" s="715">
        <f>F22</f>
        <v>100</v>
      </c>
      <c r="T22" s="714" t="s">
        <v>17</v>
      </c>
      <c r="U22" s="715">
        <f>H22</f>
        <v>100</v>
      </c>
      <c r="V22" s="714" t="s">
        <v>17</v>
      </c>
      <c r="W22" s="715">
        <f>J22</f>
        <v>100</v>
      </c>
      <c r="X22" s="1540"/>
      <c r="Y22" s="330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03"/>
      <c r="Q23" s="1537">
        <f>B23</f>
        <v>111</v>
      </c>
      <c r="R23" s="714" t="s">
        <v>17</v>
      </c>
      <c r="S23" s="715">
        <f>F23</f>
        <v>100</v>
      </c>
      <c r="T23" s="714" t="s">
        <v>17</v>
      </c>
      <c r="U23" s="715">
        <f>H23</f>
        <v>100</v>
      </c>
      <c r="V23" s="714" t="s">
        <v>17</v>
      </c>
      <c r="W23" s="715">
        <f>J23</f>
        <v>100</v>
      </c>
      <c r="X23" s="1540"/>
      <c r="Y23" s="330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03"/>
      <c r="Q24" s="1537">
        <f t="shared" ref="Q24:Q36" si="11">B24</f>
        <v>111</v>
      </c>
      <c r="R24" s="714" t="s">
        <v>17</v>
      </c>
      <c r="S24" s="715">
        <f>F24</f>
        <v>100</v>
      </c>
      <c r="T24" s="714" t="s">
        <v>17</v>
      </c>
      <c r="U24" s="715">
        <f>H24</f>
        <v>100</v>
      </c>
      <c r="V24" s="714" t="s">
        <v>17</v>
      </c>
      <c r="W24" s="715">
        <f>J24</f>
        <v>100</v>
      </c>
      <c r="X24" s="1540"/>
      <c r="Y24" s="330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03"/>
      <c r="Q25" s="1528">
        <f t="shared" si="11"/>
        <v>111</v>
      </c>
      <c r="R25" s="710" t="s">
        <v>17</v>
      </c>
      <c r="S25" s="711">
        <f>F25</f>
        <v>100</v>
      </c>
      <c r="T25" s="710" t="s">
        <v>17</v>
      </c>
      <c r="U25" s="711">
        <f>H25</f>
        <v>100</v>
      </c>
      <c r="V25" s="710" t="s">
        <v>17</v>
      </c>
      <c r="W25" s="711">
        <f>J25</f>
        <v>100</v>
      </c>
      <c r="X25" s="712"/>
      <c r="Y25" s="3303"/>
      <c r="Z25" s="55">
        <f>Q25</f>
        <v>111</v>
      </c>
      <c r="AA25" s="1538">
        <f>D25/F25</f>
        <v>1</v>
      </c>
      <c r="AB25" s="1538">
        <f>D25/H25</f>
        <v>1</v>
      </c>
      <c r="AC25" s="1538">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04" t="s">
        <v>2384</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05" t="s">
        <v>2384</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05"/>
      <c r="Q27" s="716" t="str">
        <f t="shared" si="11"/>
        <v>项目停车位配比</v>
      </c>
      <c r="R27" s="717" t="s">
        <v>17</v>
      </c>
      <c r="S27" s="718">
        <f t="shared" si="12"/>
        <v>100</v>
      </c>
      <c r="T27" s="717" t="s">
        <v>17</v>
      </c>
      <c r="U27" s="718">
        <f t="shared" si="13"/>
        <v>100</v>
      </c>
      <c r="V27" s="717" t="s">
        <v>17</v>
      </c>
      <c r="W27" s="718">
        <f t="shared" si="14"/>
        <v>100</v>
      </c>
      <c r="X27" s="719"/>
      <c r="Y27" s="3305"/>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05"/>
      <c r="Q28" s="1537" t="str">
        <f t="shared" si="11"/>
        <v>公共部分装修</v>
      </c>
      <c r="R28" s="714" t="s">
        <v>17</v>
      </c>
      <c r="S28" s="715">
        <f t="shared" si="12"/>
        <v>100</v>
      </c>
      <c r="T28" s="714" t="s">
        <v>17</v>
      </c>
      <c r="U28" s="715">
        <f t="shared" si="13"/>
        <v>100</v>
      </c>
      <c r="V28" s="714" t="s">
        <v>17</v>
      </c>
      <c r="W28" s="715">
        <f t="shared" si="14"/>
        <v>100</v>
      </c>
      <c r="X28" s="1540"/>
      <c r="Y28" s="3305"/>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05"/>
      <c r="Q29" s="1537" t="str">
        <f t="shared" si="11"/>
        <v>成新率</v>
      </c>
      <c r="R29" s="714" t="s">
        <v>17</v>
      </c>
      <c r="S29" s="715" t="e">
        <f t="shared" si="12"/>
        <v>#N/A</v>
      </c>
      <c r="T29" s="714" t="s">
        <v>17</v>
      </c>
      <c r="U29" s="715" t="e">
        <f t="shared" si="13"/>
        <v>#N/A</v>
      </c>
      <c r="V29" s="714" t="s">
        <v>17</v>
      </c>
      <c r="W29" s="715" t="e">
        <f t="shared" si="14"/>
        <v>#N/A</v>
      </c>
      <c r="X29" s="1540"/>
      <c r="Y29" s="3305"/>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05"/>
      <c r="Q30" s="1537" t="str">
        <f t="shared" si="11"/>
        <v>物业等级</v>
      </c>
      <c r="R30" s="714" t="s">
        <v>17</v>
      </c>
      <c r="S30" s="715">
        <f t="shared" si="12"/>
        <v>100</v>
      </c>
      <c r="T30" s="714" t="s">
        <v>17</v>
      </c>
      <c r="U30" s="715">
        <f t="shared" si="13"/>
        <v>100</v>
      </c>
      <c r="V30" s="714" t="s">
        <v>17</v>
      </c>
      <c r="W30" s="715">
        <f t="shared" si="14"/>
        <v>100</v>
      </c>
      <c r="X30" s="1540"/>
      <c r="Y30" s="3305"/>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05"/>
      <c r="Q31" s="1528" t="str">
        <f t="shared" si="11"/>
        <v>停车位面积</v>
      </c>
      <c r="R31" s="710" t="s">
        <v>17</v>
      </c>
      <c r="S31" s="711" t="e">
        <f t="shared" si="12"/>
        <v>#N/A</v>
      </c>
      <c r="T31" s="710" t="s">
        <v>17</v>
      </c>
      <c r="U31" s="711" t="e">
        <f t="shared" si="13"/>
        <v>#N/A</v>
      </c>
      <c r="V31" s="710" t="s">
        <v>17</v>
      </c>
      <c r="W31" s="711" t="e">
        <f t="shared" si="14"/>
        <v>#N/A</v>
      </c>
      <c r="X31" s="712"/>
      <c r="Y31" s="3305"/>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05" t="s">
        <v>2384</v>
      </c>
      <c r="Q32" s="1537" t="str">
        <f t="shared" si="11"/>
        <v>车位类型</v>
      </c>
      <c r="R32" s="714" t="s">
        <v>17</v>
      </c>
      <c r="S32" s="715">
        <f t="shared" si="12"/>
        <v>100</v>
      </c>
      <c r="T32" s="714" t="s">
        <v>17</v>
      </c>
      <c r="U32" s="715">
        <f t="shared" si="13"/>
        <v>100</v>
      </c>
      <c r="V32" s="714" t="s">
        <v>17</v>
      </c>
      <c r="W32" s="715">
        <f t="shared" si="14"/>
        <v>100</v>
      </c>
      <c r="X32" s="1540"/>
      <c r="Y32" s="3305" t="s">
        <v>2384</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05"/>
      <c r="Q33" s="1537" t="str">
        <f t="shared" si="11"/>
        <v>是否直接入户</v>
      </c>
      <c r="R33" s="714" t="s">
        <v>17</v>
      </c>
      <c r="S33" s="715">
        <f t="shared" si="12"/>
        <v>100</v>
      </c>
      <c r="T33" s="714" t="s">
        <v>17</v>
      </c>
      <c r="U33" s="715">
        <f t="shared" si="13"/>
        <v>100</v>
      </c>
      <c r="V33" s="714" t="s">
        <v>17</v>
      </c>
      <c r="W33" s="715">
        <f t="shared" si="14"/>
        <v>100</v>
      </c>
      <c r="X33" s="1540"/>
      <c r="Y33" s="330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05"/>
      <c r="Q34" s="1537">
        <f t="shared" si="11"/>
        <v>111</v>
      </c>
      <c r="R34" s="714" t="s">
        <v>17</v>
      </c>
      <c r="S34" s="715">
        <f t="shared" si="12"/>
        <v>100</v>
      </c>
      <c r="T34" s="714" t="s">
        <v>17</v>
      </c>
      <c r="U34" s="715">
        <f t="shared" si="13"/>
        <v>100</v>
      </c>
      <c r="V34" s="714" t="s">
        <v>17</v>
      </c>
      <c r="W34" s="715">
        <f t="shared" si="14"/>
        <v>100</v>
      </c>
      <c r="X34" s="1540"/>
      <c r="Y34" s="330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05"/>
      <c r="Q35" s="716">
        <f t="shared" si="11"/>
        <v>111</v>
      </c>
      <c r="R35" s="717" t="s">
        <v>17</v>
      </c>
      <c r="S35" s="718">
        <f t="shared" si="12"/>
        <v>100</v>
      </c>
      <c r="T35" s="717" t="s">
        <v>17</v>
      </c>
      <c r="U35" s="718">
        <f t="shared" si="13"/>
        <v>100</v>
      </c>
      <c r="V35" s="717" t="s">
        <v>17</v>
      </c>
      <c r="W35" s="718">
        <f t="shared" si="14"/>
        <v>100</v>
      </c>
      <c r="X35" s="719"/>
      <c r="Y35" s="330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05"/>
      <c r="Q36" s="1537">
        <f t="shared" si="11"/>
        <v>111</v>
      </c>
      <c r="R36" s="714" t="s">
        <v>17</v>
      </c>
      <c r="S36" s="715">
        <f t="shared" si="12"/>
        <v>100</v>
      </c>
      <c r="T36" s="714" t="s">
        <v>17</v>
      </c>
      <c r="U36" s="715">
        <f t="shared" si="13"/>
        <v>100</v>
      </c>
      <c r="V36" s="714" t="s">
        <v>17</v>
      </c>
      <c r="W36" s="715">
        <f t="shared" si="14"/>
        <v>100</v>
      </c>
      <c r="X36" s="1540"/>
      <c r="Y36" s="3305"/>
      <c r="Z36" s="1541">
        <f t="shared" si="15"/>
        <v>111</v>
      </c>
      <c r="AA36" s="1538">
        <f t="shared" si="3"/>
        <v>1</v>
      </c>
      <c r="AB36" s="1538">
        <f t="shared" si="4"/>
        <v>1</v>
      </c>
      <c r="AC36" s="1538">
        <f t="shared" si="5"/>
        <v>1</v>
      </c>
    </row>
    <row r="37" spans="1:29" ht="15">
      <c r="A37" s="438" t="s">
        <v>2539</v>
      </c>
      <c r="B37" s="2159" t="s">
        <v>2540</v>
      </c>
      <c r="C37" s="1316" t="s">
        <v>1</v>
      </c>
      <c r="D37" s="1317"/>
      <c r="E37" s="1318"/>
      <c r="F37" s="1319"/>
      <c r="G37" s="1320"/>
      <c r="H37" s="1321"/>
      <c r="I37" s="1318"/>
      <c r="J37" s="1321"/>
      <c r="K37" s="576"/>
      <c r="L37" s="2953"/>
      <c r="M37" s="2954"/>
      <c r="N37" s="2945"/>
      <c r="O37" s="2954"/>
      <c r="P37" s="3300" t="str">
        <f>A37</f>
        <v>成交单价</v>
      </c>
      <c r="Q37" s="3300"/>
      <c r="R37" s="3365">
        <f>E37</f>
        <v>0</v>
      </c>
      <c r="S37" s="3365"/>
      <c r="T37" s="3365">
        <f>G37</f>
        <v>0</v>
      </c>
      <c r="U37" s="3365"/>
      <c r="V37" s="3365">
        <f>I37</f>
        <v>0</v>
      </c>
      <c r="W37" s="3365"/>
      <c r="X37" s="699"/>
      <c r="Y37" s="721"/>
      <c r="Z37" s="699"/>
      <c r="AA37" s="699"/>
      <c r="AB37" s="699"/>
      <c r="AC37" s="699"/>
    </row>
    <row r="38" spans="1:29" ht="15.75" thickBot="1">
      <c r="A38" s="445" t="s">
        <v>2541</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00" t="str">
        <f>A38</f>
        <v>比较价值（元/平方米）</v>
      </c>
      <c r="Q38" s="3300"/>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294" t="str">
        <f>A39</f>
        <v>估价对象XX用房的比较价值（楼面单价，元/平方米）</v>
      </c>
      <c r="Q39" s="3295"/>
      <c r="R39" s="3387" t="e">
        <f>IF(F1="售价",ROUND(IF(D38="简单平均",AVERAGE(R38:W38),R38*F38+T38*H38+V38*J38),0),ROUND(IF(D38="简单平均",AVERAGE(R38:V38),R38*F38+T38*H38+V38*J38),1))</f>
        <v>#DIV/0!</v>
      </c>
      <c r="S39" s="3387"/>
      <c r="T39" s="3387"/>
      <c r="U39" s="3387"/>
      <c r="V39" s="3387"/>
      <c r="W39" s="3387"/>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2369</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2373</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2382</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297" t="s">
        <v>2465</v>
      </c>
      <c r="D4" s="3310"/>
      <c r="E4" s="3311" t="s">
        <v>2466</v>
      </c>
      <c r="F4" s="3312"/>
      <c r="G4" s="3297" t="s">
        <v>2467</v>
      </c>
      <c r="H4" s="3310"/>
      <c r="I4" s="3297" t="s">
        <v>2468</v>
      </c>
      <c r="J4" s="3310"/>
      <c r="K4" s="567" t="s">
        <v>2469</v>
      </c>
      <c r="L4" s="2944"/>
      <c r="M4" s="2945"/>
      <c r="N4" s="2945"/>
      <c r="O4" s="2945"/>
      <c r="P4" s="3313" t="s">
        <v>2470</v>
      </c>
      <c r="Q4" s="3314"/>
      <c r="R4" s="3319" t="s">
        <v>2466</v>
      </c>
      <c r="S4" s="3320"/>
      <c r="T4" s="3319" t="s">
        <v>2467</v>
      </c>
      <c r="U4" s="3320"/>
      <c r="V4" s="3306" t="s">
        <v>2468</v>
      </c>
      <c r="W4" s="3306"/>
      <c r="X4" s="1540"/>
      <c r="Y4" s="3319" t="s">
        <v>2470</v>
      </c>
      <c r="Z4" s="3320"/>
      <c r="AA4" s="3307" t="s">
        <v>2466</v>
      </c>
      <c r="AB4" s="3308" t="s">
        <v>2467</v>
      </c>
      <c r="AC4" s="3307" t="s">
        <v>2468</v>
      </c>
    </row>
    <row r="5" spans="1:29" ht="15">
      <c r="A5" s="364"/>
      <c r="B5" s="365"/>
      <c r="C5" s="3327" t="s">
        <v>2361</v>
      </c>
      <c r="D5" s="3328"/>
      <c r="E5" s="3334" t="s">
        <v>2362</v>
      </c>
      <c r="F5" s="3335"/>
      <c r="G5" s="3327" t="s">
        <v>2363</v>
      </c>
      <c r="H5" s="3328"/>
      <c r="I5" s="3327" t="s">
        <v>2364</v>
      </c>
      <c r="J5" s="3328"/>
      <c r="K5" s="567"/>
      <c r="L5" s="2944"/>
      <c r="M5" s="2945"/>
      <c r="N5" s="2945"/>
      <c r="O5" s="2945"/>
      <c r="P5" s="3315"/>
      <c r="Q5" s="3316"/>
      <c r="R5" s="3321"/>
      <c r="S5" s="3322"/>
      <c r="T5" s="3321"/>
      <c r="U5" s="3322"/>
      <c r="V5" s="3306"/>
      <c r="W5" s="3306"/>
      <c r="X5" s="1540"/>
      <c r="Y5" s="3321"/>
      <c r="Z5" s="3322"/>
      <c r="AA5" s="3308"/>
      <c r="AB5" s="3308"/>
      <c r="AC5" s="3308"/>
    </row>
    <row r="6" spans="1:29" ht="15.75" thickBot="1">
      <c r="A6" s="366"/>
      <c r="B6" s="367"/>
      <c r="C6" s="3325" t="s">
        <v>2365</v>
      </c>
      <c r="D6" s="3326"/>
      <c r="E6" s="3332" t="s">
        <v>2365</v>
      </c>
      <c r="F6" s="3333"/>
      <c r="G6" s="3325" t="s">
        <v>2365</v>
      </c>
      <c r="H6" s="3326"/>
      <c r="I6" s="3325" t="s">
        <v>2365</v>
      </c>
      <c r="J6" s="3326"/>
      <c r="K6" s="567" t="s">
        <v>2366</v>
      </c>
      <c r="L6" s="2944"/>
      <c r="M6" s="2945"/>
      <c r="N6" s="2945"/>
      <c r="O6" s="2945"/>
      <c r="P6" s="3317"/>
      <c r="Q6" s="3318"/>
      <c r="R6" s="3321"/>
      <c r="S6" s="3322"/>
      <c r="T6" s="3323"/>
      <c r="U6" s="3324"/>
      <c r="V6" s="3306"/>
      <c r="W6" s="3306"/>
      <c r="X6" s="1540"/>
      <c r="Y6" s="3323"/>
      <c r="Z6" s="3324"/>
      <c r="AA6" s="3309"/>
      <c r="AB6" s="3309"/>
      <c r="AC6" s="3309"/>
    </row>
    <row r="7" spans="1:29" s="113" customFormat="1" ht="15.75" thickBot="1">
      <c r="A7" s="368" t="s">
        <v>2367</v>
      </c>
      <c r="B7" s="369"/>
      <c r="C7" s="370">
        <f>'数据-取费表'!B2</f>
        <v>44236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9" t="s">
        <v>2368</v>
      </c>
      <c r="Q7" s="3331"/>
      <c r="R7" s="710" t="s">
        <v>17</v>
      </c>
      <c r="S7" s="711">
        <f t="shared" ref="S7:S14" si="0">F7</f>
        <v>0</v>
      </c>
      <c r="T7" s="710" t="s">
        <v>17</v>
      </c>
      <c r="U7" s="711">
        <f t="shared" ref="U7:U14" si="1">H7</f>
        <v>0</v>
      </c>
      <c r="V7" s="710" t="s">
        <v>17</v>
      </c>
      <c r="W7" s="711">
        <f t="shared" ref="W7:W14" si="2">J7</f>
        <v>0</v>
      </c>
      <c r="X7" s="712"/>
      <c r="Y7" s="3329" t="s">
        <v>2368</v>
      </c>
      <c r="Z7" s="333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9" t="s">
        <v>2371</v>
      </c>
      <c r="Q8" s="3330"/>
      <c r="R8" s="710" t="s">
        <v>17</v>
      </c>
      <c r="S8" s="711">
        <f t="shared" si="0"/>
        <v>0</v>
      </c>
      <c r="T8" s="710" t="s">
        <v>17</v>
      </c>
      <c r="U8" s="711">
        <f t="shared" si="1"/>
        <v>0</v>
      </c>
      <c r="V8" s="710" t="s">
        <v>17</v>
      </c>
      <c r="W8" s="711">
        <f t="shared" si="2"/>
        <v>0</v>
      </c>
      <c r="X8" s="712"/>
      <c r="Y8" s="3329" t="s">
        <v>2371</v>
      </c>
      <c r="Z8" s="333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00" t="s">
        <v>2374</v>
      </c>
      <c r="Q9" s="1528" t="str">
        <f t="shared" ref="Q9:Q14" si="6">B9</f>
        <v>用途</v>
      </c>
      <c r="R9" s="710" t="s">
        <v>17</v>
      </c>
      <c r="S9" s="711">
        <f t="shared" si="0"/>
        <v>100</v>
      </c>
      <c r="T9" s="710" t="s">
        <v>17</v>
      </c>
      <c r="U9" s="711">
        <f t="shared" si="1"/>
        <v>100</v>
      </c>
      <c r="V9" s="710" t="s">
        <v>17</v>
      </c>
      <c r="W9" s="711">
        <f t="shared" si="2"/>
        <v>100</v>
      </c>
      <c r="X9" s="712"/>
      <c r="Y9" s="3194"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00"/>
      <c r="Q10" s="1528" t="str">
        <f t="shared" si="6"/>
        <v>土地使用年限（年）</v>
      </c>
      <c r="R10" s="710" t="s">
        <v>17</v>
      </c>
      <c r="S10" s="711">
        <f t="shared" si="0"/>
        <v>100</v>
      </c>
      <c r="T10" s="710" t="s">
        <v>17</v>
      </c>
      <c r="U10" s="711">
        <f t="shared" si="1"/>
        <v>100</v>
      </c>
      <c r="V10" s="710" t="s">
        <v>17</v>
      </c>
      <c r="W10" s="711">
        <f t="shared" si="2"/>
        <v>100</v>
      </c>
      <c r="X10" s="712"/>
      <c r="Y10" s="319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00"/>
      <c r="Q11" s="1528">
        <f t="shared" si="6"/>
        <v>111</v>
      </c>
      <c r="R11" s="710" t="s">
        <v>17</v>
      </c>
      <c r="S11" s="711">
        <f t="shared" si="0"/>
        <v>100</v>
      </c>
      <c r="T11" s="710" t="s">
        <v>17</v>
      </c>
      <c r="U11" s="711">
        <f t="shared" si="1"/>
        <v>100</v>
      </c>
      <c r="V11" s="710" t="s">
        <v>17</v>
      </c>
      <c r="W11" s="711">
        <f t="shared" si="2"/>
        <v>100</v>
      </c>
      <c r="X11" s="712"/>
      <c r="Y11" s="319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00"/>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00"/>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2" t="s">
        <v>2379</v>
      </c>
      <c r="Q14" s="1537" t="str">
        <f t="shared" si="6"/>
        <v>交通便捷度</v>
      </c>
      <c r="R14" s="714" t="s">
        <v>17</v>
      </c>
      <c r="S14" s="715">
        <f t="shared" si="0"/>
        <v>100</v>
      </c>
      <c r="T14" s="714" t="s">
        <v>17</v>
      </c>
      <c r="U14" s="715">
        <f t="shared" si="1"/>
        <v>100</v>
      </c>
      <c r="V14" s="714" t="s">
        <v>17</v>
      </c>
      <c r="W14" s="715">
        <f t="shared" si="2"/>
        <v>100</v>
      </c>
      <c r="X14" s="1540"/>
      <c r="Y14" s="3302" t="s">
        <v>2379</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03"/>
      <c r="Q15" s="1537"/>
      <c r="R15" s="714"/>
      <c r="S15" s="715"/>
      <c r="T15" s="714"/>
      <c r="U15" s="715"/>
      <c r="V15" s="714"/>
      <c r="W15" s="715"/>
      <c r="X15" s="1540"/>
      <c r="Y15" s="3303"/>
      <c r="Z15" s="1541"/>
      <c r="AA15" s="1538">
        <v>1</v>
      </c>
      <c r="AB15" s="1538">
        <v>1</v>
      </c>
      <c r="AC15" s="1538">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03"/>
      <c r="Q16" s="1537" t="str">
        <f>B16</f>
        <v>公共配套设施</v>
      </c>
      <c r="R16" s="714" t="s">
        <v>17</v>
      </c>
      <c r="S16" s="715">
        <f>F16</f>
        <v>100</v>
      </c>
      <c r="T16" s="714" t="s">
        <v>17</v>
      </c>
      <c r="U16" s="715">
        <f>H16</f>
        <v>100</v>
      </c>
      <c r="V16" s="714" t="s">
        <v>17</v>
      </c>
      <c r="W16" s="715">
        <f>J16</f>
        <v>100</v>
      </c>
      <c r="X16" s="1540"/>
      <c r="Y16" s="3303"/>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303"/>
      <c r="Q17" s="1537"/>
      <c r="R17" s="714"/>
      <c r="S17" s="715"/>
      <c r="T17" s="714"/>
      <c r="U17" s="715"/>
      <c r="V17" s="714"/>
      <c r="W17" s="715"/>
      <c r="X17" s="1540"/>
      <c r="Y17" s="3303"/>
      <c r="Z17" s="1541"/>
      <c r="AA17" s="1538">
        <v>1</v>
      </c>
      <c r="AB17" s="1538">
        <v>1</v>
      </c>
      <c r="AC17" s="1538">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03"/>
      <c r="Q18" s="1537" t="str">
        <f>B18</f>
        <v>基础设施水平</v>
      </c>
      <c r="R18" s="714" t="s">
        <v>17</v>
      </c>
      <c r="S18" s="715">
        <f>F18</f>
        <v>100</v>
      </c>
      <c r="T18" s="714" t="s">
        <v>17</v>
      </c>
      <c r="U18" s="715">
        <f>H18</f>
        <v>100</v>
      </c>
      <c r="V18" s="714" t="s">
        <v>17</v>
      </c>
      <c r="W18" s="715">
        <f>J18</f>
        <v>100</v>
      </c>
      <c r="X18" s="1540"/>
      <c r="Y18" s="3303"/>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1"/>
      <c r="M19" s="2945"/>
      <c r="N19" s="2945"/>
      <c r="O19" s="3003"/>
      <c r="P19" s="3303"/>
      <c r="Q19" s="1537"/>
      <c r="R19" s="714"/>
      <c r="S19" s="715"/>
      <c r="T19" s="714"/>
      <c r="U19" s="715"/>
      <c r="V19" s="714"/>
      <c r="W19" s="715"/>
      <c r="X19" s="1540"/>
      <c r="Y19" s="3303"/>
      <c r="Z19" s="1541"/>
      <c r="AA19" s="1538">
        <v>1</v>
      </c>
      <c r="AB19" s="1538">
        <v>1</v>
      </c>
      <c r="AC19" s="1538">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03"/>
      <c r="Q20" s="1537" t="str">
        <f>B20</f>
        <v>自然及人文环境</v>
      </c>
      <c r="R20" s="714" t="s">
        <v>17</v>
      </c>
      <c r="S20" s="715">
        <f>F20</f>
        <v>100</v>
      </c>
      <c r="T20" s="714" t="s">
        <v>17</v>
      </c>
      <c r="U20" s="715">
        <f>H20</f>
        <v>100</v>
      </c>
      <c r="V20" s="714" t="s">
        <v>17</v>
      </c>
      <c r="W20" s="715">
        <f>J20</f>
        <v>100</v>
      </c>
      <c r="X20" s="1540"/>
      <c r="Y20" s="330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03"/>
      <c r="Q21" s="1537"/>
      <c r="R21" s="714"/>
      <c r="S21" s="715"/>
      <c r="T21" s="714"/>
      <c r="U21" s="715"/>
      <c r="V21" s="714"/>
      <c r="W21" s="715"/>
      <c r="X21" s="1540"/>
      <c r="Y21" s="3303"/>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03"/>
      <c r="Q22" s="1537" t="str">
        <f>B22</f>
        <v>楼层</v>
      </c>
      <c r="R22" s="714" t="s">
        <v>17</v>
      </c>
      <c r="S22" s="715">
        <f>F22</f>
        <v>100</v>
      </c>
      <c r="T22" s="714" t="s">
        <v>17</v>
      </c>
      <c r="U22" s="715">
        <f>H22</f>
        <v>100</v>
      </c>
      <c r="V22" s="714" t="s">
        <v>17</v>
      </c>
      <c r="W22" s="715">
        <f>J22</f>
        <v>100</v>
      </c>
      <c r="X22" s="1540"/>
      <c r="Y22" s="3303"/>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03"/>
      <c r="Q23" s="1537">
        <f>B23</f>
        <v>111</v>
      </c>
      <c r="R23" s="714" t="s">
        <v>17</v>
      </c>
      <c r="S23" s="715">
        <f>F23</f>
        <v>100</v>
      </c>
      <c r="T23" s="714" t="s">
        <v>17</v>
      </c>
      <c r="U23" s="715">
        <f>H23</f>
        <v>100</v>
      </c>
      <c r="V23" s="714" t="s">
        <v>17</v>
      </c>
      <c r="W23" s="715">
        <f>J23</f>
        <v>100</v>
      </c>
      <c r="X23" s="1540"/>
      <c r="Y23" s="3303"/>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03"/>
      <c r="Q24" s="1537">
        <f t="shared" ref="Q24:Q34" si="11">B24</f>
        <v>111</v>
      </c>
      <c r="R24" s="714" t="s">
        <v>17</v>
      </c>
      <c r="S24" s="715">
        <f>F24</f>
        <v>100</v>
      </c>
      <c r="T24" s="714" t="s">
        <v>17</v>
      </c>
      <c r="U24" s="715">
        <f>H24</f>
        <v>100</v>
      </c>
      <c r="V24" s="714" t="s">
        <v>17</v>
      </c>
      <c r="W24" s="715">
        <f>J24</f>
        <v>100</v>
      </c>
      <c r="X24" s="1540"/>
      <c r="Y24" s="3303"/>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03"/>
      <c r="Q25" s="1528">
        <f t="shared" si="11"/>
        <v>111</v>
      </c>
      <c r="R25" s="710" t="s">
        <v>17</v>
      </c>
      <c r="S25" s="711">
        <f>F25</f>
        <v>100</v>
      </c>
      <c r="T25" s="710" t="s">
        <v>17</v>
      </c>
      <c r="U25" s="711">
        <f>H25</f>
        <v>100</v>
      </c>
      <c r="V25" s="710" t="s">
        <v>17</v>
      </c>
      <c r="W25" s="711">
        <f>J25</f>
        <v>100</v>
      </c>
      <c r="X25" s="712"/>
      <c r="Y25" s="3303"/>
      <c r="Z25" s="55">
        <f>Q25</f>
        <v>111</v>
      </c>
      <c r="AA25" s="1538">
        <f>D25/F25</f>
        <v>1</v>
      </c>
      <c r="AB25" s="1538">
        <f>D25/H25</f>
        <v>1</v>
      </c>
      <c r="AC25" s="1538">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04" t="s">
        <v>2384</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05" t="s">
        <v>2384</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05"/>
      <c r="Q27" s="716" t="str">
        <f t="shared" si="11"/>
        <v>成新率</v>
      </c>
      <c r="R27" s="717" t="s">
        <v>17</v>
      </c>
      <c r="S27" s="718" t="e">
        <f t="shared" si="12"/>
        <v>#N/A</v>
      </c>
      <c r="T27" s="717" t="s">
        <v>17</v>
      </c>
      <c r="U27" s="718" t="e">
        <f t="shared" si="13"/>
        <v>#N/A</v>
      </c>
      <c r="V27" s="717" t="s">
        <v>17</v>
      </c>
      <c r="W27" s="718" t="e">
        <f t="shared" si="14"/>
        <v>#N/A</v>
      </c>
      <c r="X27" s="719"/>
      <c r="Y27" s="3305"/>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05"/>
      <c r="Q28" s="1537" t="str">
        <f t="shared" si="11"/>
        <v>物业等级</v>
      </c>
      <c r="R28" s="714" t="s">
        <v>17</v>
      </c>
      <c r="S28" s="715">
        <f t="shared" si="12"/>
        <v>100</v>
      </c>
      <c r="T28" s="714" t="s">
        <v>17</v>
      </c>
      <c r="U28" s="715">
        <f t="shared" si="13"/>
        <v>100</v>
      </c>
      <c r="V28" s="714" t="s">
        <v>17</v>
      </c>
      <c r="W28" s="715">
        <f t="shared" si="14"/>
        <v>100</v>
      </c>
      <c r="X28" s="1540"/>
      <c r="Y28" s="3305"/>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05"/>
      <c r="Q29" s="1537" t="str">
        <f t="shared" si="11"/>
        <v>有无电梯</v>
      </c>
      <c r="R29" s="714" t="s">
        <v>17</v>
      </c>
      <c r="S29" s="715">
        <f t="shared" si="12"/>
        <v>100</v>
      </c>
      <c r="T29" s="714" t="s">
        <v>17</v>
      </c>
      <c r="U29" s="715">
        <f t="shared" si="13"/>
        <v>100</v>
      </c>
      <c r="V29" s="714" t="s">
        <v>17</v>
      </c>
      <c r="W29" s="715">
        <f t="shared" si="14"/>
        <v>100</v>
      </c>
      <c r="X29" s="1540"/>
      <c r="Y29" s="3305"/>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05"/>
      <c r="Q30" s="1537" t="str">
        <f t="shared" si="11"/>
        <v>建筑面积</v>
      </c>
      <c r="R30" s="714" t="s">
        <v>17</v>
      </c>
      <c r="S30" s="715" t="e">
        <f t="shared" si="12"/>
        <v>#N/A</v>
      </c>
      <c r="T30" s="714" t="s">
        <v>17</v>
      </c>
      <c r="U30" s="715" t="e">
        <f t="shared" si="13"/>
        <v>#N/A</v>
      </c>
      <c r="V30" s="714" t="s">
        <v>17</v>
      </c>
      <c r="W30" s="715" t="e">
        <f t="shared" si="14"/>
        <v>#N/A</v>
      </c>
      <c r="X30" s="1540"/>
      <c r="Y30" s="3305"/>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05"/>
      <c r="Q31" s="1528" t="str">
        <f t="shared" si="11"/>
        <v>是否封闭</v>
      </c>
      <c r="R31" s="710" t="s">
        <v>17</v>
      </c>
      <c r="S31" s="711">
        <f t="shared" si="12"/>
        <v>100</v>
      </c>
      <c r="T31" s="710" t="s">
        <v>17</v>
      </c>
      <c r="U31" s="711">
        <f t="shared" si="13"/>
        <v>100</v>
      </c>
      <c r="V31" s="710" t="s">
        <v>17</v>
      </c>
      <c r="W31" s="711">
        <f t="shared" si="14"/>
        <v>100</v>
      </c>
      <c r="X31" s="712"/>
      <c r="Y31" s="330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05" t="s">
        <v>2384</v>
      </c>
      <c r="Q32" s="1537">
        <f t="shared" si="11"/>
        <v>111</v>
      </c>
      <c r="R32" s="714" t="s">
        <v>17</v>
      </c>
      <c r="S32" s="715">
        <f t="shared" si="12"/>
        <v>100</v>
      </c>
      <c r="T32" s="714" t="s">
        <v>17</v>
      </c>
      <c r="U32" s="715">
        <f t="shared" si="13"/>
        <v>100</v>
      </c>
      <c r="V32" s="714" t="s">
        <v>17</v>
      </c>
      <c r="W32" s="715">
        <f t="shared" si="14"/>
        <v>100</v>
      </c>
      <c r="X32" s="1540"/>
      <c r="Y32" s="3305" t="s">
        <v>2384</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05"/>
      <c r="Q33" s="1537">
        <f t="shared" si="11"/>
        <v>111</v>
      </c>
      <c r="R33" s="714" t="s">
        <v>17</v>
      </c>
      <c r="S33" s="715">
        <f t="shared" si="12"/>
        <v>100</v>
      </c>
      <c r="T33" s="714" t="s">
        <v>17</v>
      </c>
      <c r="U33" s="715">
        <f t="shared" si="13"/>
        <v>100</v>
      </c>
      <c r="V33" s="714" t="s">
        <v>17</v>
      </c>
      <c r="W33" s="715">
        <f t="shared" si="14"/>
        <v>100</v>
      </c>
      <c r="X33" s="1540"/>
      <c r="Y33" s="3305"/>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05"/>
      <c r="Q34" s="1537">
        <f t="shared" si="11"/>
        <v>111</v>
      </c>
      <c r="R34" s="714" t="s">
        <v>17</v>
      </c>
      <c r="S34" s="715">
        <f t="shared" si="12"/>
        <v>100</v>
      </c>
      <c r="T34" s="714" t="s">
        <v>17</v>
      </c>
      <c r="U34" s="715">
        <f t="shared" si="13"/>
        <v>100</v>
      </c>
      <c r="V34" s="714" t="s">
        <v>17</v>
      </c>
      <c r="W34" s="715">
        <f t="shared" si="14"/>
        <v>100</v>
      </c>
      <c r="X34" s="1540"/>
      <c r="Y34" s="3305"/>
      <c r="Z34" s="1541">
        <f t="shared" si="15"/>
        <v>111</v>
      </c>
      <c r="AA34" s="1538">
        <f t="shared" si="3"/>
        <v>1</v>
      </c>
      <c r="AB34" s="1538">
        <f t="shared" si="4"/>
        <v>1</v>
      </c>
      <c r="AC34" s="1538">
        <f t="shared" si="5"/>
        <v>1</v>
      </c>
    </row>
    <row r="35" spans="1:30" ht="15">
      <c r="A35" s="438" t="s">
        <v>2396</v>
      </c>
      <c r="B35" s="439"/>
      <c r="C35" s="1316" t="s">
        <v>1</v>
      </c>
      <c r="D35" s="1317"/>
      <c r="E35" s="1318"/>
      <c r="F35" s="1319"/>
      <c r="G35" s="1320"/>
      <c r="H35" s="1321"/>
      <c r="I35" s="1318"/>
      <c r="J35" s="1321"/>
      <c r="K35" s="723"/>
      <c r="L35" s="2953"/>
      <c r="M35" s="2954"/>
      <c r="N35" s="2945"/>
      <c r="O35" s="2954"/>
      <c r="P35" s="3300" t="str">
        <f>A35</f>
        <v>成交单价（元/平方米）</v>
      </c>
      <c r="Q35" s="3300"/>
      <c r="R35" s="3365">
        <f>E35</f>
        <v>0</v>
      </c>
      <c r="S35" s="3365"/>
      <c r="T35" s="3365">
        <f>G35</f>
        <v>0</v>
      </c>
      <c r="U35" s="3365"/>
      <c r="V35" s="3365">
        <f>I35</f>
        <v>0</v>
      </c>
      <c r="W35" s="3365"/>
      <c r="X35" s="699"/>
      <c r="Y35" s="721"/>
      <c r="Z35" s="699"/>
      <c r="AA35" s="699"/>
      <c r="AB35" s="699"/>
      <c r="AC35" s="699"/>
    </row>
    <row r="36" spans="1:30" ht="15.75" thickBot="1">
      <c r="A36" s="445" t="s">
        <v>2488</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00" t="str">
        <f>A36</f>
        <v>比较价值（元/平方米）</v>
      </c>
      <c r="Q36" s="3300"/>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294" t="str">
        <f>A37</f>
        <v>估价对象XX用房的比较价值（楼面单价，元/平方米）</v>
      </c>
      <c r="Q37" s="3295"/>
      <c r="R37" s="3387" t="e">
        <f>IF(F1="售价",ROUND(IF(D36="简单平均",AVERAGE(R36:W36),R36*F36+T36*H36+V36*J36),0),ROUND(IF(D36="简单平均",AVERAGE(R36:V36),R36*F36+T36*H36+V36*J36),1))</f>
        <v>#DIV/0!</v>
      </c>
      <c r="S37" s="3387"/>
      <c r="T37" s="3387"/>
      <c r="U37" s="3387"/>
      <c r="V37" s="3387"/>
      <c r="W37" s="3387"/>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2367</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2369</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2373</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2382</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297" t="s">
        <v>2465</v>
      </c>
      <c r="D4" s="3310"/>
      <c r="E4" s="3311" t="s">
        <v>2466</v>
      </c>
      <c r="F4" s="3312"/>
      <c r="G4" s="3297" t="s">
        <v>2467</v>
      </c>
      <c r="H4" s="3310"/>
      <c r="I4" s="3297" t="s">
        <v>2468</v>
      </c>
      <c r="J4" s="3310"/>
      <c r="K4" s="567" t="s">
        <v>2469</v>
      </c>
      <c r="L4" s="2944"/>
      <c r="M4" s="2945"/>
      <c r="N4" s="2945"/>
      <c r="O4" s="2945"/>
      <c r="P4" s="3313" t="s">
        <v>2470</v>
      </c>
      <c r="Q4" s="3314"/>
      <c r="R4" s="3319" t="s">
        <v>2466</v>
      </c>
      <c r="S4" s="3320"/>
      <c r="T4" s="3319" t="s">
        <v>2467</v>
      </c>
      <c r="U4" s="3320"/>
      <c r="V4" s="3306" t="s">
        <v>2468</v>
      </c>
      <c r="W4" s="3306"/>
      <c r="X4" s="1540"/>
      <c r="Y4" s="3319" t="s">
        <v>2470</v>
      </c>
      <c r="Z4" s="3320"/>
      <c r="AA4" s="3307" t="s">
        <v>2466</v>
      </c>
      <c r="AB4" s="3308" t="s">
        <v>2467</v>
      </c>
      <c r="AC4" s="3307" t="s">
        <v>2468</v>
      </c>
    </row>
    <row r="5" spans="1:29" ht="15">
      <c r="A5" s="364"/>
      <c r="B5" s="365"/>
      <c r="C5" s="3327" t="s">
        <v>2361</v>
      </c>
      <c r="D5" s="3328"/>
      <c r="E5" s="3334" t="s">
        <v>2362</v>
      </c>
      <c r="F5" s="3335"/>
      <c r="G5" s="3327" t="s">
        <v>2363</v>
      </c>
      <c r="H5" s="3328"/>
      <c r="I5" s="3327" t="s">
        <v>2364</v>
      </c>
      <c r="J5" s="3328"/>
      <c r="K5" s="567"/>
      <c r="L5" s="2944"/>
      <c r="M5" s="2945"/>
      <c r="N5" s="2945"/>
      <c r="O5" s="2945"/>
      <c r="P5" s="3315"/>
      <c r="Q5" s="3316"/>
      <c r="R5" s="3321"/>
      <c r="S5" s="3322"/>
      <c r="T5" s="3321"/>
      <c r="U5" s="3322"/>
      <c r="V5" s="3306"/>
      <c r="W5" s="3306"/>
      <c r="X5" s="1540"/>
      <c r="Y5" s="3321"/>
      <c r="Z5" s="3322"/>
      <c r="AA5" s="3308"/>
      <c r="AB5" s="3308"/>
      <c r="AC5" s="3308"/>
    </row>
    <row r="6" spans="1:29" ht="15.75" thickBot="1">
      <c r="A6" s="366"/>
      <c r="B6" s="367"/>
      <c r="C6" s="3388" t="s">
        <v>2616</v>
      </c>
      <c r="D6" s="3389"/>
      <c r="E6" s="3390" t="s">
        <v>2616</v>
      </c>
      <c r="F6" s="3391"/>
      <c r="G6" s="3388" t="s">
        <v>2616</v>
      </c>
      <c r="H6" s="3389"/>
      <c r="I6" s="3388" t="s">
        <v>2616</v>
      </c>
      <c r="J6" s="3389"/>
      <c r="K6" s="567" t="s">
        <v>2366</v>
      </c>
      <c r="L6" s="2944"/>
      <c r="M6" s="2945"/>
      <c r="N6" s="2945"/>
      <c r="O6" s="2945"/>
      <c r="P6" s="3317"/>
      <c r="Q6" s="3318"/>
      <c r="R6" s="3321"/>
      <c r="S6" s="3322"/>
      <c r="T6" s="3323"/>
      <c r="U6" s="3324"/>
      <c r="V6" s="3306"/>
      <c r="W6" s="3306"/>
      <c r="X6" s="1540"/>
      <c r="Y6" s="3323"/>
      <c r="Z6" s="3324"/>
      <c r="AA6" s="3309"/>
      <c r="AB6" s="3309"/>
      <c r="AC6" s="3309"/>
    </row>
    <row r="7" spans="1:29" s="113" customFormat="1" ht="15.75" thickBot="1">
      <c r="A7" s="368" t="s">
        <v>2367</v>
      </c>
      <c r="B7" s="369"/>
      <c r="C7" s="370">
        <f>'数据-取费表'!B2</f>
        <v>44236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9" t="s">
        <v>2368</v>
      </c>
      <c r="Q7" s="3331"/>
      <c r="R7" s="710" t="s">
        <v>17</v>
      </c>
      <c r="S7" s="711">
        <f t="shared" ref="S7:S15" si="0">F7</f>
        <v>0</v>
      </c>
      <c r="T7" s="710" t="s">
        <v>17</v>
      </c>
      <c r="U7" s="711">
        <f t="shared" ref="U7:U15" si="1">H7</f>
        <v>0</v>
      </c>
      <c r="V7" s="710" t="s">
        <v>17</v>
      </c>
      <c r="W7" s="711">
        <f t="shared" ref="W7:W15" si="2">J7</f>
        <v>0</v>
      </c>
      <c r="X7" s="712"/>
      <c r="Y7" s="3329" t="s">
        <v>2368</v>
      </c>
      <c r="Z7" s="333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9" t="s">
        <v>2371</v>
      </c>
      <c r="Q8" s="3330"/>
      <c r="R8" s="710" t="s">
        <v>17</v>
      </c>
      <c r="S8" s="711">
        <f t="shared" si="0"/>
        <v>0</v>
      </c>
      <c r="T8" s="710" t="s">
        <v>17</v>
      </c>
      <c r="U8" s="711">
        <f t="shared" si="1"/>
        <v>0</v>
      </c>
      <c r="V8" s="710" t="s">
        <v>17</v>
      </c>
      <c r="W8" s="711">
        <f t="shared" si="2"/>
        <v>0</v>
      </c>
      <c r="X8" s="712"/>
      <c r="Y8" s="3329" t="s">
        <v>2371</v>
      </c>
      <c r="Z8" s="3330"/>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00" t="s">
        <v>2374</v>
      </c>
      <c r="Q9" s="1528" t="str">
        <f t="shared" ref="Q9:Q15" si="6">B9</f>
        <v>用途</v>
      </c>
      <c r="R9" s="710" t="s">
        <v>17</v>
      </c>
      <c r="S9" s="711">
        <f t="shared" si="0"/>
        <v>100</v>
      </c>
      <c r="T9" s="710" t="s">
        <v>17</v>
      </c>
      <c r="U9" s="711">
        <f t="shared" si="1"/>
        <v>100</v>
      </c>
      <c r="V9" s="710" t="s">
        <v>17</v>
      </c>
      <c r="W9" s="711">
        <f t="shared" si="2"/>
        <v>100</v>
      </c>
      <c r="X9" s="712"/>
      <c r="Y9" s="3194"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102</v>
      </c>
      <c r="G10" s="391"/>
      <c r="H10" s="132">
        <f>ROUND(100/'数据-取费表'!G16,0)</f>
        <v>102</v>
      </c>
      <c r="I10" s="391"/>
      <c r="J10" s="132">
        <f>ROUND(100/'数据-取费表'!G16,0)</f>
        <v>102</v>
      </c>
      <c r="K10" s="628"/>
      <c r="L10" s="2948"/>
      <c r="M10" s="2949"/>
      <c r="N10" s="2949"/>
      <c r="O10" s="3002"/>
      <c r="P10" s="3300"/>
      <c r="Q10" s="1528" t="str">
        <f t="shared" si="6"/>
        <v>土地使用年限（年）</v>
      </c>
      <c r="R10" s="710" t="s">
        <v>17</v>
      </c>
      <c r="S10" s="711">
        <f t="shared" si="0"/>
        <v>102</v>
      </c>
      <c r="T10" s="710" t="s">
        <v>17</v>
      </c>
      <c r="U10" s="711">
        <f t="shared" si="1"/>
        <v>102</v>
      </c>
      <c r="V10" s="710" t="s">
        <v>17</v>
      </c>
      <c r="W10" s="711">
        <f t="shared" si="2"/>
        <v>102</v>
      </c>
      <c r="X10" s="712"/>
      <c r="Y10" s="3194"/>
      <c r="Z10" s="55" t="str">
        <f t="shared" si="7"/>
        <v>土地使用年限（年）</v>
      </c>
      <c r="AA10" s="713">
        <f t="shared" si="3"/>
        <v>0.98039215686274506</v>
      </c>
      <c r="AB10" s="713">
        <f t="shared" si="4"/>
        <v>0.98039215686274506</v>
      </c>
      <c r="AC10" s="713">
        <f t="shared" si="5"/>
        <v>0.98039215686274506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00"/>
      <c r="Q11" s="1528" t="str">
        <f t="shared" si="6"/>
        <v>容积率</v>
      </c>
      <c r="R11" s="710" t="s">
        <v>17</v>
      </c>
      <c r="S11" s="711" t="e">
        <f t="shared" si="0"/>
        <v>#N/A</v>
      </c>
      <c r="T11" s="710" t="s">
        <v>17</v>
      </c>
      <c r="U11" s="711" t="e">
        <f t="shared" si="1"/>
        <v>#N/A</v>
      </c>
      <c r="V11" s="710" t="s">
        <v>17</v>
      </c>
      <c r="W11" s="711" t="e">
        <f t="shared" si="2"/>
        <v>#N/A</v>
      </c>
      <c r="X11" s="712"/>
      <c r="Y11" s="319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00"/>
      <c r="Q12" s="1528">
        <f t="shared" si="6"/>
        <v>111</v>
      </c>
      <c r="R12" s="710" t="s">
        <v>17</v>
      </c>
      <c r="S12" s="711">
        <f t="shared" si="0"/>
        <v>100</v>
      </c>
      <c r="T12" s="710" t="s">
        <v>17</v>
      </c>
      <c r="U12" s="711">
        <f t="shared" si="1"/>
        <v>100</v>
      </c>
      <c r="V12" s="710" t="s">
        <v>17</v>
      </c>
      <c r="W12" s="711">
        <f t="shared" si="2"/>
        <v>100</v>
      </c>
      <c r="X12" s="712"/>
      <c r="Y12" s="319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00"/>
      <c r="Q13" s="1528">
        <f t="shared" si="6"/>
        <v>111</v>
      </c>
      <c r="R13" s="710" t="s">
        <v>17</v>
      </c>
      <c r="S13" s="711">
        <f t="shared" si="0"/>
        <v>100</v>
      </c>
      <c r="T13" s="710" t="s">
        <v>17</v>
      </c>
      <c r="U13" s="711">
        <f t="shared" si="1"/>
        <v>100</v>
      </c>
      <c r="V13" s="710" t="s">
        <v>17</v>
      </c>
      <c r="W13" s="711">
        <f t="shared" si="2"/>
        <v>100</v>
      </c>
      <c r="X13" s="712"/>
      <c r="Y13" s="319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00"/>
      <c r="Q14" s="1528">
        <f t="shared" si="6"/>
        <v>111</v>
      </c>
      <c r="R14" s="710" t="s">
        <v>17</v>
      </c>
      <c r="S14" s="711">
        <f t="shared" si="0"/>
        <v>100</v>
      </c>
      <c r="T14" s="710" t="s">
        <v>17</v>
      </c>
      <c r="U14" s="711">
        <f t="shared" si="1"/>
        <v>100</v>
      </c>
      <c r="V14" s="710" t="s">
        <v>17</v>
      </c>
      <c r="W14" s="711">
        <f t="shared" si="2"/>
        <v>100</v>
      </c>
      <c r="X14" s="712"/>
      <c r="Y14" s="3194"/>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2" t="s">
        <v>2379</v>
      </c>
      <c r="Q15" s="1537" t="str">
        <f t="shared" si="6"/>
        <v>产业集聚程度</v>
      </c>
      <c r="R15" s="714" t="s">
        <v>17</v>
      </c>
      <c r="S15" s="715">
        <f t="shared" si="0"/>
        <v>100</v>
      </c>
      <c r="T15" s="714" t="s">
        <v>17</v>
      </c>
      <c r="U15" s="715">
        <f t="shared" si="1"/>
        <v>100</v>
      </c>
      <c r="V15" s="714" t="s">
        <v>17</v>
      </c>
      <c r="W15" s="715">
        <f t="shared" si="2"/>
        <v>100</v>
      </c>
      <c r="X15" s="1540"/>
      <c r="Y15" s="3302" t="s">
        <v>2379</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303"/>
      <c r="Q16" s="1537"/>
      <c r="R16" s="714"/>
      <c r="S16" s="715"/>
      <c r="T16" s="714"/>
      <c r="U16" s="715"/>
      <c r="V16" s="714"/>
      <c r="W16" s="715"/>
      <c r="X16" s="1540"/>
      <c r="Y16" s="3303"/>
      <c r="Z16" s="1541"/>
      <c r="AA16" s="1538">
        <v>1</v>
      </c>
      <c r="AB16" s="1538">
        <v>1</v>
      </c>
      <c r="AC16" s="1538">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03"/>
      <c r="Q17" s="1537" t="str">
        <f>B17</f>
        <v>交通便捷度</v>
      </c>
      <c r="R17" s="714" t="s">
        <v>17</v>
      </c>
      <c r="S17" s="715">
        <f>F17</f>
        <v>100</v>
      </c>
      <c r="T17" s="714" t="s">
        <v>17</v>
      </c>
      <c r="U17" s="715">
        <f>H17</f>
        <v>100</v>
      </c>
      <c r="V17" s="714" t="s">
        <v>17</v>
      </c>
      <c r="W17" s="715">
        <f>J17</f>
        <v>100</v>
      </c>
      <c r="X17" s="1540"/>
      <c r="Y17" s="3303"/>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303"/>
      <c r="Q18" s="1537"/>
      <c r="R18" s="714"/>
      <c r="S18" s="715"/>
      <c r="T18" s="714"/>
      <c r="U18" s="715"/>
      <c r="V18" s="714"/>
      <c r="W18" s="715"/>
      <c r="X18" s="1540"/>
      <c r="Y18" s="3303"/>
      <c r="Z18" s="1541"/>
      <c r="AA18" s="1538">
        <v>1</v>
      </c>
      <c r="AB18" s="1538">
        <v>1</v>
      </c>
      <c r="AC18" s="1538">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03"/>
      <c r="Q19" s="1537" t="str">
        <f t="shared" ref="Q19:Q33" si="8">B19</f>
        <v>区域土地利用方向</v>
      </c>
      <c r="R19" s="714" t="s">
        <v>17</v>
      </c>
      <c r="S19" s="715">
        <f>F19</f>
        <v>100</v>
      </c>
      <c r="T19" s="714" t="s">
        <v>17</v>
      </c>
      <c r="U19" s="715">
        <f>H19</f>
        <v>100</v>
      </c>
      <c r="V19" s="714" t="s">
        <v>17</v>
      </c>
      <c r="W19" s="715">
        <f>J19</f>
        <v>100</v>
      </c>
      <c r="X19" s="1540"/>
      <c r="Y19" s="3303"/>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303"/>
      <c r="Q20" s="1537"/>
      <c r="R20" s="714"/>
      <c r="S20" s="715"/>
      <c r="T20" s="714"/>
      <c r="U20" s="715"/>
      <c r="V20" s="714"/>
      <c r="W20" s="715"/>
      <c r="X20" s="1540"/>
      <c r="Y20" s="3303"/>
      <c r="Z20" s="1541"/>
      <c r="AA20" s="1538"/>
      <c r="AB20" s="1538"/>
      <c r="AC20" s="1538"/>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03"/>
      <c r="Q21" s="1537" t="str">
        <f t="shared" si="8"/>
        <v>环境状况</v>
      </c>
      <c r="R21" s="714" t="s">
        <v>17</v>
      </c>
      <c r="S21" s="715">
        <f>F21</f>
        <v>100</v>
      </c>
      <c r="T21" s="714" t="s">
        <v>17</v>
      </c>
      <c r="U21" s="715">
        <f>H21</f>
        <v>100</v>
      </c>
      <c r="V21" s="714" t="s">
        <v>17</v>
      </c>
      <c r="W21" s="715">
        <f>J21</f>
        <v>100</v>
      </c>
      <c r="X21" s="1540"/>
      <c r="Y21" s="3303"/>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303"/>
      <c r="Q22" s="1537"/>
      <c r="R22" s="714"/>
      <c r="S22" s="715"/>
      <c r="T22" s="714"/>
      <c r="U22" s="715"/>
      <c r="V22" s="714"/>
      <c r="W22" s="715"/>
      <c r="X22" s="1540"/>
      <c r="Y22" s="3303"/>
      <c r="Z22" s="1541"/>
      <c r="AA22" s="1538">
        <v>1</v>
      </c>
      <c r="AB22" s="1538">
        <v>1</v>
      </c>
      <c r="AC22" s="1538">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03"/>
      <c r="Q23" s="1528" t="str">
        <f t="shared" si="8"/>
        <v>公共配套设施</v>
      </c>
      <c r="R23" s="710" t="s">
        <v>17</v>
      </c>
      <c r="S23" s="711">
        <f>F23</f>
        <v>100</v>
      </c>
      <c r="T23" s="710" t="s">
        <v>17</v>
      </c>
      <c r="U23" s="711">
        <f>H23</f>
        <v>100</v>
      </c>
      <c r="V23" s="710" t="s">
        <v>17</v>
      </c>
      <c r="W23" s="711">
        <f>J23</f>
        <v>100</v>
      </c>
      <c r="X23" s="712"/>
      <c r="Y23" s="3303"/>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303"/>
      <c r="Q24" s="1528"/>
      <c r="R24" s="710"/>
      <c r="S24" s="711"/>
      <c r="T24" s="710"/>
      <c r="U24" s="711"/>
      <c r="V24" s="710"/>
      <c r="W24" s="711"/>
      <c r="X24" s="712"/>
      <c r="Y24" s="3303"/>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03"/>
      <c r="Q25" s="1528" t="str">
        <f t="shared" ref="Q25" si="9">B25</f>
        <v>基础设施水平</v>
      </c>
      <c r="R25" s="710" t="s">
        <v>17</v>
      </c>
      <c r="S25" s="711">
        <f>F25</f>
        <v>100</v>
      </c>
      <c r="T25" s="710" t="s">
        <v>17</v>
      </c>
      <c r="U25" s="711">
        <f>H25</f>
        <v>100</v>
      </c>
      <c r="V25" s="710" t="s">
        <v>17</v>
      </c>
      <c r="W25" s="711">
        <f>J25</f>
        <v>100</v>
      </c>
      <c r="X25" s="712"/>
      <c r="Y25" s="3303"/>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303"/>
      <c r="Q26" s="1528"/>
      <c r="R26" s="710"/>
      <c r="S26" s="711"/>
      <c r="T26" s="710"/>
      <c r="U26" s="711"/>
      <c r="V26" s="710"/>
      <c r="W26" s="711"/>
      <c r="X26" s="712"/>
      <c r="Y26" s="3303"/>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0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03"/>
      <c r="Z27" s="1541" t="str">
        <f t="shared" ref="Z27:Z40" si="13">Q27</f>
        <v>临街状况</v>
      </c>
      <c r="AA27" s="1538">
        <f t="shared" si="3"/>
        <v>1</v>
      </c>
      <c r="AB27" s="1538">
        <f t="shared" si="4"/>
        <v>1</v>
      </c>
      <c r="AC27" s="1538">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03"/>
      <c r="Q28" s="1537" t="str">
        <f t="shared" si="8"/>
        <v>毗邻道路的类型与等级</v>
      </c>
      <c r="R28" s="714" t="s">
        <v>17</v>
      </c>
      <c r="S28" s="715">
        <f t="shared" si="10"/>
        <v>100</v>
      </c>
      <c r="T28" s="714" t="s">
        <v>17</v>
      </c>
      <c r="U28" s="715">
        <f t="shared" si="11"/>
        <v>100</v>
      </c>
      <c r="V28" s="714" t="s">
        <v>17</v>
      </c>
      <c r="W28" s="715">
        <f t="shared" si="12"/>
        <v>100</v>
      </c>
      <c r="X28" s="1540"/>
      <c r="Y28" s="3303"/>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303"/>
      <c r="Q29" s="1537"/>
      <c r="R29" s="714"/>
      <c r="S29" s="715"/>
      <c r="T29" s="714"/>
      <c r="U29" s="715"/>
      <c r="V29" s="714"/>
      <c r="W29" s="715"/>
      <c r="X29" s="1540"/>
      <c r="Y29" s="3303"/>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03"/>
      <c r="Q30" s="1537" t="str">
        <f t="shared" si="8"/>
        <v>土地级别</v>
      </c>
      <c r="R30" s="714" t="s">
        <v>17</v>
      </c>
      <c r="S30" s="715">
        <f t="shared" si="10"/>
        <v>100</v>
      </c>
      <c r="T30" s="714" t="s">
        <v>17</v>
      </c>
      <c r="U30" s="715">
        <f t="shared" si="11"/>
        <v>100</v>
      </c>
      <c r="V30" s="714" t="s">
        <v>17</v>
      </c>
      <c r="W30" s="715">
        <f t="shared" si="12"/>
        <v>100</v>
      </c>
      <c r="X30" s="1540"/>
      <c r="Y30" s="3303"/>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03"/>
      <c r="Q31" s="1537">
        <f t="shared" si="8"/>
        <v>111</v>
      </c>
      <c r="R31" s="714" t="s">
        <v>17</v>
      </c>
      <c r="S31" s="715">
        <f t="shared" si="10"/>
        <v>100</v>
      </c>
      <c r="T31" s="714" t="s">
        <v>17</v>
      </c>
      <c r="U31" s="715">
        <f t="shared" si="11"/>
        <v>100</v>
      </c>
      <c r="V31" s="714" t="s">
        <v>17</v>
      </c>
      <c r="W31" s="715">
        <f t="shared" si="12"/>
        <v>100</v>
      </c>
      <c r="X31" s="1540"/>
      <c r="Y31" s="3303"/>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04" t="s">
        <v>2384</v>
      </c>
      <c r="Q32" s="1537">
        <f t="shared" si="8"/>
        <v>111</v>
      </c>
      <c r="R32" s="714" t="s">
        <v>17</v>
      </c>
      <c r="S32" s="715">
        <f t="shared" si="10"/>
        <v>100</v>
      </c>
      <c r="T32" s="714" t="s">
        <v>17</v>
      </c>
      <c r="U32" s="715">
        <f t="shared" si="11"/>
        <v>100</v>
      </c>
      <c r="V32" s="714" t="s">
        <v>17</v>
      </c>
      <c r="W32" s="715">
        <f t="shared" si="12"/>
        <v>100</v>
      </c>
      <c r="X32" s="1540"/>
      <c r="Y32" s="3305" t="s">
        <v>2384</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05"/>
      <c r="Q33" s="1537">
        <f t="shared" si="8"/>
        <v>111</v>
      </c>
      <c r="R33" s="717" t="s">
        <v>17</v>
      </c>
      <c r="S33" s="718">
        <f t="shared" si="10"/>
        <v>100</v>
      </c>
      <c r="T33" s="717" t="s">
        <v>17</v>
      </c>
      <c r="U33" s="718">
        <f t="shared" si="11"/>
        <v>100</v>
      </c>
      <c r="V33" s="717" t="s">
        <v>17</v>
      </c>
      <c r="W33" s="718">
        <f t="shared" si="12"/>
        <v>100</v>
      </c>
      <c r="X33" s="719"/>
      <c r="Y33" s="3305"/>
      <c r="Z33" s="720">
        <f t="shared" si="13"/>
        <v>111</v>
      </c>
      <c r="AA33" s="1538">
        <f t="shared" si="3"/>
        <v>1</v>
      </c>
      <c r="AB33" s="1538">
        <f t="shared" si="4"/>
        <v>1</v>
      </c>
      <c r="AC33" s="1538">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05"/>
      <c r="Q34" s="1537" t="str">
        <f>B34</f>
        <v>宗地面积</v>
      </c>
      <c r="R34" s="714" t="s">
        <v>17</v>
      </c>
      <c r="S34" s="715" t="e">
        <f t="shared" si="10"/>
        <v>#N/A</v>
      </c>
      <c r="T34" s="714" t="s">
        <v>17</v>
      </c>
      <c r="U34" s="715" t="e">
        <f t="shared" si="11"/>
        <v>#N/A</v>
      </c>
      <c r="V34" s="714" t="s">
        <v>17</v>
      </c>
      <c r="W34" s="715" t="e">
        <f t="shared" si="12"/>
        <v>#N/A</v>
      </c>
      <c r="X34" s="1540"/>
      <c r="Y34" s="3305"/>
      <c r="Z34" s="1541" t="str">
        <f t="shared" si="13"/>
        <v>宗地面积</v>
      </c>
      <c r="AA34" s="1538" t="e">
        <f t="shared" si="3"/>
        <v>#N/A</v>
      </c>
      <c r="AB34" s="1538" t="e">
        <f t="shared" si="4"/>
        <v>#N/A</v>
      </c>
      <c r="AC34" s="1538"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05"/>
      <c r="Q35" s="1537" t="str">
        <f t="shared" ref="Q35:Q40" si="14">B35</f>
        <v>宗地形状</v>
      </c>
      <c r="R35" s="714" t="s">
        <v>17</v>
      </c>
      <c r="S35" s="715">
        <f t="shared" si="10"/>
        <v>100</v>
      </c>
      <c r="T35" s="714" t="s">
        <v>17</v>
      </c>
      <c r="U35" s="715">
        <f t="shared" si="11"/>
        <v>100</v>
      </c>
      <c r="V35" s="714" t="s">
        <v>17</v>
      </c>
      <c r="W35" s="715">
        <f t="shared" si="12"/>
        <v>100</v>
      </c>
      <c r="X35" s="1540"/>
      <c r="Y35" s="3305"/>
      <c r="Z35" s="1541" t="str">
        <f t="shared" si="13"/>
        <v>宗地形状</v>
      </c>
      <c r="AA35" s="1538">
        <f t="shared" si="3"/>
        <v>1</v>
      </c>
      <c r="AB35" s="1538">
        <f t="shared" si="4"/>
        <v>1</v>
      </c>
      <c r="AC35" s="1538">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05"/>
      <c r="Q36" s="1537" t="str">
        <f t="shared" si="14"/>
        <v>宗地开发程度</v>
      </c>
      <c r="R36" s="710" t="s">
        <v>17</v>
      </c>
      <c r="S36" s="711">
        <f t="shared" si="10"/>
        <v>100</v>
      </c>
      <c r="T36" s="710" t="s">
        <v>17</v>
      </c>
      <c r="U36" s="711">
        <f t="shared" si="11"/>
        <v>100</v>
      </c>
      <c r="V36" s="710" t="s">
        <v>17</v>
      </c>
      <c r="W36" s="711">
        <f t="shared" si="12"/>
        <v>100</v>
      </c>
      <c r="X36" s="712"/>
      <c r="Y36" s="3305"/>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05" t="s">
        <v>2384</v>
      </c>
      <c r="Q37" s="1537" t="str">
        <f t="shared" si="14"/>
        <v>工程地质条件</v>
      </c>
      <c r="R37" s="714" t="s">
        <v>17</v>
      </c>
      <c r="S37" s="715">
        <f t="shared" si="10"/>
        <v>100</v>
      </c>
      <c r="T37" s="714" t="s">
        <v>17</v>
      </c>
      <c r="U37" s="715">
        <f t="shared" si="11"/>
        <v>100</v>
      </c>
      <c r="V37" s="714" t="s">
        <v>17</v>
      </c>
      <c r="W37" s="715">
        <f t="shared" si="12"/>
        <v>100</v>
      </c>
      <c r="X37" s="1540"/>
      <c r="Y37" s="3305" t="s">
        <v>2384</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05"/>
      <c r="Q38" s="1537">
        <f t="shared" si="14"/>
        <v>111</v>
      </c>
      <c r="R38" s="714" t="s">
        <v>17</v>
      </c>
      <c r="S38" s="715">
        <f t="shared" si="10"/>
        <v>100</v>
      </c>
      <c r="T38" s="714" t="s">
        <v>17</v>
      </c>
      <c r="U38" s="715">
        <f t="shared" si="11"/>
        <v>100</v>
      </c>
      <c r="V38" s="714" t="s">
        <v>17</v>
      </c>
      <c r="W38" s="715">
        <f t="shared" si="12"/>
        <v>100</v>
      </c>
      <c r="X38" s="1540"/>
      <c r="Y38" s="330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05"/>
      <c r="Q39" s="1537">
        <f t="shared" si="14"/>
        <v>111</v>
      </c>
      <c r="R39" s="714" t="s">
        <v>17</v>
      </c>
      <c r="S39" s="715">
        <f t="shared" si="10"/>
        <v>100</v>
      </c>
      <c r="T39" s="714" t="s">
        <v>17</v>
      </c>
      <c r="U39" s="715">
        <f t="shared" si="11"/>
        <v>100</v>
      </c>
      <c r="V39" s="714" t="s">
        <v>17</v>
      </c>
      <c r="W39" s="715">
        <f t="shared" si="12"/>
        <v>100</v>
      </c>
      <c r="X39" s="1540"/>
      <c r="Y39" s="3305"/>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05"/>
      <c r="Q40" s="1537">
        <f t="shared" si="14"/>
        <v>111</v>
      </c>
      <c r="R40" s="717" t="s">
        <v>17</v>
      </c>
      <c r="S40" s="718">
        <f t="shared" si="10"/>
        <v>100</v>
      </c>
      <c r="T40" s="717" t="s">
        <v>17</v>
      </c>
      <c r="U40" s="718">
        <f t="shared" si="11"/>
        <v>100</v>
      </c>
      <c r="V40" s="717" t="s">
        <v>17</v>
      </c>
      <c r="W40" s="718">
        <f t="shared" si="12"/>
        <v>100</v>
      </c>
      <c r="X40" s="719"/>
      <c r="Y40" s="3305"/>
      <c r="Z40" s="720">
        <f t="shared" si="13"/>
        <v>111</v>
      </c>
      <c r="AA40" s="1538">
        <f t="shared" si="3"/>
        <v>1</v>
      </c>
      <c r="AB40" s="1538">
        <f t="shared" si="4"/>
        <v>1</v>
      </c>
      <c r="AC40" s="1538">
        <f t="shared" si="5"/>
        <v>1</v>
      </c>
    </row>
    <row r="41" spans="1:31" ht="15">
      <c r="A41" s="438" t="s">
        <v>2539</v>
      </c>
      <c r="B41" s="2168" t="s">
        <v>2619</v>
      </c>
      <c r="C41" s="638" t="s">
        <v>1</v>
      </c>
      <c r="D41" s="440"/>
      <c r="E41" s="441"/>
      <c r="F41" s="442"/>
      <c r="G41" s="443"/>
      <c r="H41" s="444"/>
      <c r="I41" s="441"/>
      <c r="J41" s="444"/>
      <c r="K41" s="723"/>
      <c r="L41" s="2953"/>
      <c r="M41" s="2945"/>
      <c r="N41" s="2945"/>
      <c r="O41" s="2954"/>
      <c r="P41" s="3300" t="str">
        <f>A41</f>
        <v>成交单价</v>
      </c>
      <c r="Q41" s="3300"/>
      <c r="R41" s="3306">
        <f>E41</f>
        <v>0</v>
      </c>
      <c r="S41" s="3306"/>
      <c r="T41" s="3306">
        <f>G41</f>
        <v>0</v>
      </c>
      <c r="U41" s="3306"/>
      <c r="V41" s="3306">
        <f>I41</f>
        <v>0</v>
      </c>
      <c r="W41" s="3306"/>
      <c r="X41" s="699"/>
      <c r="Y41" s="721"/>
      <c r="Z41" s="699"/>
      <c r="AA41" s="699"/>
      <c r="AB41" s="699"/>
      <c r="AC41" s="699"/>
    </row>
    <row r="42" spans="1:31" ht="15.75" thickBot="1">
      <c r="A42" s="445" t="s">
        <v>2488</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00" t="str">
        <f>A42</f>
        <v>比较价值（元/平方米）</v>
      </c>
      <c r="Q42" s="3300"/>
      <c r="R42" s="3293" t="e">
        <f>ROUND(PRODUCT(R41,AA7:AA40),0)</f>
        <v>#DIV/0!</v>
      </c>
      <c r="S42" s="3293"/>
      <c r="T42" s="3293" t="e">
        <f>ROUND(PRODUCT(T41,AB7:AB40),0)</f>
        <v>#DIV/0!</v>
      </c>
      <c r="U42" s="3293"/>
      <c r="V42" s="3293" t="e">
        <f>ROUND(PRODUCT(V41,AC7:AC40),0)</f>
        <v>#DIV/0!</v>
      </c>
      <c r="W42" s="3293"/>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294" t="str">
        <f>A43</f>
        <v>估价对象XX用房的比较价值（楼面单价，元/平方米）</v>
      </c>
      <c r="Q43" s="3295"/>
      <c r="R43" s="3296" t="e">
        <f>ROUND(IF(D42="简单平均",AVERAGE(R42:W42),R42*F42+T42*H42+V42*J42),0)</f>
        <v>#DIV/0!</v>
      </c>
      <c r="S43" s="3296"/>
      <c r="T43" s="3296"/>
      <c r="U43" s="3296"/>
      <c r="V43" s="3296"/>
      <c r="W43" s="329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69" t="s">
        <v>2579</v>
      </c>
      <c r="D50" s="2170" t="s">
        <v>2580</v>
      </c>
      <c r="E50" s="642" t="s">
        <v>2581</v>
      </c>
      <c r="F50" s="643" t="s">
        <v>2582</v>
      </c>
      <c r="G50" s="3297" t="s">
        <v>2583</v>
      </c>
      <c r="H50" s="3298"/>
      <c r="I50" s="1541" t="s">
        <v>2620</v>
      </c>
      <c r="J50" s="1541">
        <f>项目基本情况!F35</f>
        <v>0</v>
      </c>
      <c r="K50" s="2172"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16412.019999999993</v>
      </c>
      <c r="F51" s="647" t="e">
        <f t="shared" ref="F51:F60" si="15">ROUND(B51*E51/10000,0)</f>
        <v>#DIV/0!</v>
      </c>
      <c r="G51" s="3299"/>
      <c r="H51" s="330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301"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30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30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30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2369</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2373</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2376</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2378</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87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8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t="e">
        <f>IF(F3="宗地容积率",'数据-汇总表'!I4,IF(F3="估价对象容积率",'数据-汇总表'!I6,'数据-汇总表'!I7))</f>
        <v>#DIV/0!</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5"/>
      <c r="B4" s="3396"/>
      <c r="C4" s="3396"/>
      <c r="D4" s="3397"/>
      <c r="E4" s="3397"/>
      <c r="F4" s="3397"/>
      <c r="G4" s="3397"/>
      <c r="H4" s="3397"/>
      <c r="I4" s="3397"/>
      <c r="J4" s="3398"/>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4" t="e">
        <f>ROUND(C6+C16,0)</f>
        <v>#DIV/0!</v>
      </c>
      <c r="E5" s="1524"/>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9"/>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99" t="str">
        <f>IF(E2="商业",IF(C8="不临58条商业街","",2),"")</f>
        <v/>
      </c>
      <c r="B7" s="2209" t="s">
        <v>2651</v>
      </c>
      <c r="C7" s="858" t="e">
        <f>IF(C8="不临58条商业街",1,ROUND(1+(1.6*E8+1.2*E9+0.8*E10+0.4*E11)*C9,4))</f>
        <v>#DIV/0!</v>
      </c>
      <c r="D7" s="2210" t="s">
        <v>2652</v>
      </c>
      <c r="E7" s="882"/>
      <c r="F7" s="2211"/>
      <c r="G7" s="2212"/>
      <c r="H7" s="2212"/>
      <c r="I7" s="2212"/>
      <c r="J7" s="2213"/>
      <c r="K7" s="1569"/>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3" t="s">
        <v>2654</v>
      </c>
      <c r="X7" s="1376">
        <f>G2</f>
        <v>0</v>
      </c>
      <c r="Y7" s="1376" t="s">
        <v>2655</v>
      </c>
      <c r="Z7" s="1377" t="e">
        <f>G3</f>
        <v>#DIV/0!</v>
      </c>
      <c r="AA7" s="1378"/>
      <c r="AB7" s="1378"/>
      <c r="AC7" s="1379"/>
      <c r="AD7" s="1380"/>
      <c r="AE7" s="1380"/>
      <c r="AF7" s="1380"/>
      <c r="AG7" s="1380"/>
      <c r="AH7" s="1380"/>
      <c r="AI7" s="1380"/>
      <c r="AJ7" s="1381"/>
    </row>
    <row r="8" spans="1:36" ht="15">
      <c r="A8" s="3400"/>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92" t="s">
        <v>2659</v>
      </c>
      <c r="X8" s="339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00"/>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4"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0"/>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0"/>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4" t="s">
        <v>2683</v>
      </c>
      <c r="X11" s="1386" t="s">
        <v>2684</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9"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1"/>
      <c r="B13" s="2228" t="s">
        <v>2690</v>
      </c>
      <c r="C13" s="2229" t="s">
        <v>2691</v>
      </c>
      <c r="D13" s="1535" t="s">
        <v>2692</v>
      </c>
      <c r="E13" s="1535"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94"/>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01"/>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402"/>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99" t="s">
        <v>2702</v>
      </c>
      <c r="B16" s="2209" t="s">
        <v>2703</v>
      </c>
      <c r="C16" s="2371" t="e">
        <f>ROUND(IF(F17="与级别开发程度一致",0,(G17-E17)/C17),0)</f>
        <v>#DIV/0!</v>
      </c>
      <c r="D16" s="3415" t="s">
        <v>2707</v>
      </c>
      <c r="E16" s="3416"/>
      <c r="F16" s="3415" t="s">
        <v>2704</v>
      </c>
      <c r="G16" s="3416"/>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403"/>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2710</v>
      </c>
      <c r="C19" s="863" t="e">
        <f>ROUND(IF(H19="按公示增长率计算",SUMPRODUCT((地价!A3:A33=YEAR(G19)&amp;"-"&amp;ROUNDUP(MONTH(G19)/3,0))*(地价!X2:AB2=E2)*(地价!X3:AB33)),IF(H19="地价指数",M20/M19,(1+I19)^O19)),4)</f>
        <v>#VALUE!</v>
      </c>
      <c r="D19" s="2251" t="s">
        <v>2711</v>
      </c>
      <c r="E19" s="864">
        <v>41640</v>
      </c>
      <c r="F19" s="2251" t="s">
        <v>2712</v>
      </c>
      <c r="G19" s="865">
        <f>'数据-取费表'!B2</f>
        <v>44236</v>
      </c>
      <c r="H19" s="2252"/>
      <c r="I19" s="866" t="str">
        <f>IF(H19="季度增幅（自定义）",SUMIF(N21:N24,E2,O21:O24),"")</f>
        <v/>
      </c>
      <c r="J19" s="2249"/>
      <c r="K19" s="1287"/>
      <c r="L19" s="2253" t="s">
        <v>2713</v>
      </c>
      <c r="M19" s="1497">
        <f>ROUND(SUMIF(地价!B2:F2,E2,地价!B33:F33),0)</f>
        <v>0</v>
      </c>
      <c r="N19" s="2254"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2715</v>
      </c>
      <c r="C20" s="868" t="e">
        <f>ROUND(POWER(1+G20,J20-I20)*(POWER(1+G20,I20)-1)/(POWER(1+G20,J20)-1),4)</f>
        <v>#DIV/0!</v>
      </c>
      <c r="D20" s="2258" t="s">
        <v>2716</v>
      </c>
      <c r="E20" s="1506">
        <f ca="1">存贷款利率!D4/100</f>
        <v>3.85E-2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8">
        <f>ROUND(SUMPRODUCT((地价!A4:A33=YEAR(G19)&amp;"-"&amp;ROUNDUP(MONTH(G19)/3,0))*(地价!B2:F2=E2)*(地价!B4:F33)),0)</f>
        <v>0</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2722</v>
      </c>
      <c r="C21" s="876" t="e">
        <f>IF(B21="容积率修正",IF(G3&lt;=10,D22,J22),C23)</f>
        <v>#DIV/0!</v>
      </c>
      <c r="D21" s="2265"/>
      <c r="E21" s="2265"/>
      <c r="F21" s="2265"/>
      <c r="G21" s="2265"/>
      <c r="H21" s="2265"/>
      <c r="I21" s="2265"/>
      <c r="J21" s="2266"/>
      <c r="K21" s="1287"/>
      <c r="L21" s="3019"/>
      <c r="M21" s="3019"/>
      <c r="N21" s="2267" t="s">
        <v>2723</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7" t="s">
        <v>2726</v>
      </c>
      <c r="D22" s="1537" t="e">
        <f>IF(E22=G22,F22,IF(G3&lt;=10,ROUND(F22+(H22-F22)*(G3-E22)/(G22-E22),4),"——"))</f>
        <v>#DIV/0!</v>
      </c>
      <c r="E22" s="855" t="e">
        <f>ROUNDDOWN(G3,1)</f>
        <v>#DIV/0!</v>
      </c>
      <c r="F22" s="153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7" t="s">
        <v>155</v>
      </c>
      <c r="J22" s="877" t="e">
        <f>IF(G3&gt;10,D113,"——")</f>
        <v>#DIV/0!</v>
      </c>
      <c r="K22" s="1287"/>
      <c r="L22" s="3019"/>
      <c r="M22" s="3019"/>
      <c r="N22" s="2267" t="s">
        <v>2727</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2730</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9"/>
      <c r="M24" s="3019"/>
      <c r="N24" s="2277" t="s">
        <v>2732</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7" t="s">
        <v>2633</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12"/>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1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13"/>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13"/>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1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14"/>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1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6" t="s">
        <v>2761</v>
      </c>
      <c r="C47" s="1536" t="s">
        <v>2762</v>
      </c>
      <c r="D47" s="1536" t="s">
        <v>2763</v>
      </c>
      <c r="E47" s="758" t="s">
        <v>2764</v>
      </c>
      <c r="F47" s="2330" t="s">
        <v>2765</v>
      </c>
      <c r="G47" s="1536" t="s">
        <v>754</v>
      </c>
      <c r="H47" s="2331" t="s">
        <v>2766</v>
      </c>
      <c r="I47" s="1536"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6"/>
      <c r="C58" s="1536" t="s">
        <v>2762</v>
      </c>
      <c r="D58" s="1536" t="s">
        <v>2763</v>
      </c>
      <c r="E58" s="758" t="s">
        <v>2764</v>
      </c>
      <c r="F58" s="2330" t="s">
        <v>2780</v>
      </c>
      <c r="G58" s="1536" t="s">
        <v>754</v>
      </c>
      <c r="H58" s="2331" t="s">
        <v>2766</v>
      </c>
      <c r="I58" s="1536"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6"/>
      <c r="C69" s="1536" t="s">
        <v>2762</v>
      </c>
      <c r="D69" s="1536" t="s">
        <v>2763</v>
      </c>
      <c r="E69" s="758" t="s">
        <v>2764</v>
      </c>
      <c r="F69" s="2330" t="s">
        <v>2780</v>
      </c>
      <c r="G69" s="1536" t="s">
        <v>754</v>
      </c>
      <c r="H69" s="2331" t="s">
        <v>2766</v>
      </c>
      <c r="I69" s="1536"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6"/>
      <c r="C80" s="1536" t="s">
        <v>2762</v>
      </c>
      <c r="D80" s="1536" t="s">
        <v>2763</v>
      </c>
      <c r="E80" s="758" t="s">
        <v>2764</v>
      </c>
      <c r="F80" s="2330" t="s">
        <v>2780</v>
      </c>
      <c r="G80" s="1536" t="s">
        <v>754</v>
      </c>
      <c r="H80" s="2331" t="s">
        <v>2766</v>
      </c>
      <c r="I80" s="1536" t="s">
        <v>2767</v>
      </c>
      <c r="J80" s="560" t="s">
        <v>2416</v>
      </c>
      <c r="K80" s="560" t="s">
        <v>2417</v>
      </c>
      <c r="L80" s="560" t="s">
        <v>2418</v>
      </c>
      <c r="M80" s="560" t="s">
        <v>2419</v>
      </c>
      <c r="N80" s="560" t="s">
        <v>2420</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04" t="s">
        <v>2790</v>
      </c>
      <c r="B90" s="3404"/>
      <c r="C90" s="3404"/>
      <c r="D90" s="3404"/>
      <c r="E90" s="3404"/>
      <c r="F90" s="3404"/>
      <c r="G90" s="3404"/>
      <c r="H90" s="3404"/>
      <c r="I90" s="3404"/>
      <c r="J90" s="3404"/>
      <c r="K90" s="2343"/>
      <c r="L90" s="2343"/>
      <c r="M90" s="2343"/>
      <c r="N90" s="2343"/>
    </row>
    <row r="91" spans="1:37">
      <c r="A91" s="3406" t="s">
        <v>2791</v>
      </c>
      <c r="B91" s="3406" t="s">
        <v>2792</v>
      </c>
      <c r="C91" s="2297" t="s">
        <v>2793</v>
      </c>
      <c r="D91" s="2298"/>
      <c r="E91" s="2298"/>
      <c r="F91" s="2298"/>
      <c r="G91" s="2298"/>
      <c r="H91" s="2298"/>
      <c r="I91" s="2298"/>
      <c r="J91" s="2344"/>
      <c r="K91" s="2345"/>
      <c r="L91" s="2345"/>
      <c r="M91" s="2345"/>
      <c r="N91" s="2345"/>
    </row>
    <row r="92" spans="1:37">
      <c r="A92" s="3406"/>
      <c r="B92" s="3406"/>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07"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8"/>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7" t="s">
        <v>2795</v>
      </c>
      <c r="B101" s="2350" t="s">
        <v>2796</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08"/>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08"/>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08"/>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08"/>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08"/>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08"/>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08"/>
      <c r="B108" s="3410"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9"/>
      <c r="B109" s="3411"/>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05" t="s">
        <v>2798</v>
      </c>
      <c r="B110" s="3405"/>
      <c r="C110" s="3405"/>
      <c r="D110" s="3405"/>
      <c r="E110" s="3405"/>
      <c r="F110" s="3405"/>
      <c r="G110" s="3405"/>
      <c r="H110" s="3405"/>
      <c r="I110" s="3405"/>
      <c r="J110" s="3405"/>
      <c r="K110" s="2352"/>
      <c r="L110" s="2352"/>
      <c r="M110" s="2352"/>
      <c r="N110" s="2352"/>
    </row>
    <row r="112" spans="1:14" ht="13.5" thickBot="1"/>
    <row r="113" spans="1:13" ht="15.75" thickBot="1">
      <c r="A113" s="842" t="s">
        <v>2799</v>
      </c>
      <c r="B113" s="1197" t="e">
        <f>G3</f>
        <v>#DIV/0!</v>
      </c>
      <c r="C113" s="843" t="s">
        <v>2800</v>
      </c>
      <c r="D113" s="844" t="e">
        <f>SUMPRODUCT((A115:A118=F113)*(B114:M114=H113)*B115:M118)</f>
        <v>#DIV/0!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2699</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2700</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2701</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8" t="s">
        <v>183</v>
      </c>
      <c r="B18" s="821" t="s">
        <v>560</v>
      </c>
      <c r="C18" s="822" t="s">
        <v>561</v>
      </c>
      <c r="D18" s="823"/>
      <c r="E18" s="821">
        <v>1</v>
      </c>
      <c r="F18" s="824" t="s">
        <v>562</v>
      </c>
      <c r="G18" s="825"/>
      <c r="H18" s="817"/>
      <c r="I18" s="817"/>
    </row>
    <row r="19" spans="1:9" s="826" customFormat="1" ht="19.5" customHeight="1">
      <c r="A19" s="3418"/>
      <c r="B19" s="3418" t="s">
        <v>563</v>
      </c>
      <c r="C19" s="822" t="s">
        <v>564</v>
      </c>
      <c r="D19" s="823"/>
      <c r="E19" s="821">
        <v>0.9</v>
      </c>
      <c r="F19" s="824" t="s">
        <v>565</v>
      </c>
      <c r="G19" s="825"/>
      <c r="H19" s="817"/>
      <c r="I19" s="817"/>
    </row>
    <row r="20" spans="1:9" s="826" customFormat="1" ht="19.5" customHeight="1">
      <c r="A20" s="3418"/>
      <c r="B20" s="3418"/>
      <c r="C20" s="822" t="s">
        <v>566</v>
      </c>
      <c r="D20" s="823"/>
      <c r="E20" s="821">
        <v>1.1000000000000001</v>
      </c>
      <c r="F20" s="824" t="s">
        <v>567</v>
      </c>
      <c r="G20" s="825"/>
      <c r="H20" s="817"/>
      <c r="I20" s="817"/>
    </row>
    <row r="21" spans="1:9" s="826" customFormat="1" ht="19.5" customHeight="1">
      <c r="A21" s="3418"/>
      <c r="B21" s="3418"/>
      <c r="C21" s="822" t="s">
        <v>568</v>
      </c>
      <c r="D21" s="823"/>
      <c r="E21" s="821">
        <v>0.8</v>
      </c>
      <c r="F21" s="824" t="s">
        <v>569</v>
      </c>
      <c r="G21" s="825"/>
      <c r="H21" s="817"/>
      <c r="I21" s="817"/>
    </row>
    <row r="22" spans="1:9" s="826" customFormat="1" ht="19.5" customHeight="1">
      <c r="A22" s="3418"/>
      <c r="B22" s="3418"/>
      <c r="C22" s="822" t="s">
        <v>570</v>
      </c>
      <c r="D22" s="823"/>
      <c r="E22" s="821">
        <v>0.5</v>
      </c>
      <c r="F22" s="824"/>
      <c r="G22" s="825"/>
      <c r="H22" s="817"/>
      <c r="I22" s="817"/>
    </row>
    <row r="23" spans="1:9" s="826" customFormat="1" ht="19.5" customHeight="1">
      <c r="A23" s="3418" t="s">
        <v>184</v>
      </c>
      <c r="B23" s="821" t="s">
        <v>560</v>
      </c>
      <c r="C23" s="822" t="s">
        <v>571</v>
      </c>
      <c r="D23" s="823"/>
      <c r="E23" s="821">
        <v>1</v>
      </c>
      <c r="F23" s="824" t="s">
        <v>572</v>
      </c>
      <c r="G23" s="825"/>
      <c r="H23" s="817"/>
      <c r="I23" s="817"/>
    </row>
    <row r="24" spans="1:9" s="826" customFormat="1" ht="19.5" customHeight="1">
      <c r="A24" s="3418"/>
      <c r="B24" s="3418" t="s">
        <v>563</v>
      </c>
      <c r="C24" s="822" t="s">
        <v>573</v>
      </c>
      <c r="D24" s="823"/>
      <c r="E24" s="821">
        <v>0.5</v>
      </c>
      <c r="F24" s="824"/>
      <c r="G24" s="825"/>
      <c r="H24" s="817"/>
      <c r="I24" s="817"/>
    </row>
    <row r="25" spans="1:9" s="826" customFormat="1" ht="19.5" customHeight="1">
      <c r="A25" s="3418"/>
      <c r="B25" s="3418"/>
      <c r="C25" s="822" t="s">
        <v>574</v>
      </c>
      <c r="D25" s="823"/>
      <c r="E25" s="821">
        <v>1.1000000000000001</v>
      </c>
      <c r="F25" s="824"/>
      <c r="G25" s="825"/>
      <c r="H25" s="817"/>
      <c r="I25" s="817"/>
    </row>
    <row r="26" spans="1:9" s="826" customFormat="1" ht="19.5" customHeight="1">
      <c r="A26" s="3418"/>
      <c r="B26" s="3418"/>
      <c r="C26" s="822" t="s">
        <v>575</v>
      </c>
      <c r="D26" s="823"/>
      <c r="E26" s="821">
        <v>1.1000000000000001</v>
      </c>
      <c r="F26" s="824"/>
      <c r="G26" s="825"/>
      <c r="H26" s="817"/>
      <c r="I26" s="817"/>
    </row>
    <row r="27" spans="1:9" s="826" customFormat="1" ht="19.5" customHeight="1">
      <c r="A27" s="3418"/>
      <c r="B27" s="3418"/>
      <c r="C27" s="822" t="s">
        <v>576</v>
      </c>
      <c r="D27" s="823"/>
      <c r="E27" s="821">
        <v>0.9</v>
      </c>
      <c r="F27" s="824" t="s">
        <v>577</v>
      </c>
      <c r="G27" s="825"/>
      <c r="H27" s="817"/>
      <c r="I27" s="817"/>
    </row>
    <row r="28" spans="1:9" s="826" customFormat="1" ht="19.5" customHeight="1">
      <c r="A28" s="3418"/>
      <c r="B28" s="3418"/>
      <c r="C28" s="822" t="s">
        <v>578</v>
      </c>
      <c r="D28" s="823"/>
      <c r="E28" s="821">
        <v>0.9</v>
      </c>
      <c r="F28" s="824" t="s">
        <v>579</v>
      </c>
      <c r="G28" s="825"/>
      <c r="H28" s="817"/>
      <c r="I28" s="817"/>
    </row>
    <row r="29" spans="1:9" s="826" customFormat="1" ht="19.5" customHeight="1">
      <c r="A29" s="3418"/>
      <c r="B29" s="3418"/>
      <c r="C29" s="822" t="s">
        <v>580</v>
      </c>
      <c r="D29" s="823"/>
      <c r="E29" s="821">
        <v>0.9</v>
      </c>
      <c r="F29" s="824" t="s">
        <v>581</v>
      </c>
      <c r="G29" s="825"/>
      <c r="H29" s="817"/>
      <c r="I29" s="817"/>
    </row>
    <row r="30" spans="1:9" s="826" customFormat="1" ht="19.5" customHeight="1">
      <c r="A30" s="3418"/>
      <c r="B30" s="3418"/>
      <c r="C30" s="822" t="s">
        <v>582</v>
      </c>
      <c r="D30" s="823"/>
      <c r="E30" s="821">
        <v>0.9</v>
      </c>
      <c r="F30" s="824" t="s">
        <v>583</v>
      </c>
      <c r="G30" s="825"/>
      <c r="H30" s="817"/>
      <c r="I30" s="817"/>
    </row>
    <row r="31" spans="1:9" s="826" customFormat="1" ht="19.5" customHeight="1">
      <c r="A31" s="3418"/>
      <c r="B31" s="3418"/>
      <c r="C31" s="822" t="s">
        <v>584</v>
      </c>
      <c r="D31" s="823"/>
      <c r="E31" s="821">
        <v>0.8</v>
      </c>
      <c r="F31" s="824" t="s">
        <v>585</v>
      </c>
      <c r="G31" s="825"/>
      <c r="H31" s="817"/>
      <c r="I31" s="817"/>
    </row>
    <row r="32" spans="1:9" s="826" customFormat="1" ht="19.5" customHeight="1">
      <c r="A32" s="3418"/>
      <c r="B32" s="3418"/>
      <c r="C32" s="822" t="s">
        <v>586</v>
      </c>
      <c r="D32" s="823"/>
      <c r="E32" s="821">
        <v>0.8</v>
      </c>
      <c r="F32" s="824" t="s">
        <v>587</v>
      </c>
      <c r="G32" s="825"/>
      <c r="H32" s="817"/>
      <c r="I32" s="817"/>
    </row>
    <row r="33" spans="1:9" s="826" customFormat="1" ht="19.5" customHeight="1">
      <c r="A33" s="3418" t="s">
        <v>185</v>
      </c>
      <c r="B33" s="821" t="s">
        <v>560</v>
      </c>
      <c r="C33" s="822" t="s">
        <v>588</v>
      </c>
      <c r="D33" s="823"/>
      <c r="E33" s="821">
        <v>1</v>
      </c>
      <c r="F33" s="824" t="s">
        <v>589</v>
      </c>
      <c r="G33" s="825"/>
      <c r="H33" s="817"/>
      <c r="I33" s="817"/>
    </row>
    <row r="34" spans="1:9" s="826" customFormat="1" ht="19.5" customHeight="1">
      <c r="A34" s="3418"/>
      <c r="B34" s="821" t="s">
        <v>563</v>
      </c>
      <c r="C34" s="822" t="s">
        <v>590</v>
      </c>
      <c r="D34" s="823"/>
      <c r="E34" s="821">
        <v>1.5</v>
      </c>
      <c r="F34" s="824" t="s">
        <v>591</v>
      </c>
      <c r="G34" s="825"/>
      <c r="H34" s="817"/>
      <c r="I34" s="817"/>
    </row>
    <row r="35" spans="1:9" s="826" customFormat="1" ht="19.5" customHeight="1">
      <c r="A35" s="3418" t="s">
        <v>186</v>
      </c>
      <c r="B35" s="821" t="s">
        <v>560</v>
      </c>
      <c r="C35" s="822" t="s">
        <v>592</v>
      </c>
      <c r="D35" s="823"/>
      <c r="E35" s="821">
        <v>1</v>
      </c>
      <c r="F35" s="824" t="s">
        <v>593</v>
      </c>
      <c r="G35" s="825"/>
      <c r="H35" s="817"/>
      <c r="I35" s="817"/>
    </row>
    <row r="36" spans="1:9" s="826" customFormat="1" ht="19.5" customHeight="1">
      <c r="A36" s="3418"/>
      <c r="B36" s="3418" t="s">
        <v>563</v>
      </c>
      <c r="C36" s="822" t="s">
        <v>594</v>
      </c>
      <c r="D36" s="823"/>
      <c r="E36" s="821">
        <v>1</v>
      </c>
      <c r="F36" s="824" t="s">
        <v>595</v>
      </c>
      <c r="G36" s="825"/>
      <c r="H36" s="817"/>
      <c r="I36" s="817"/>
    </row>
    <row r="37" spans="1:9" s="826" customFormat="1" ht="19.5" customHeight="1">
      <c r="A37" s="3418"/>
      <c r="B37" s="3418"/>
      <c r="C37" s="822" t="s">
        <v>596</v>
      </c>
      <c r="D37" s="823"/>
      <c r="E37" s="821">
        <v>1.5</v>
      </c>
      <c r="F37" s="824" t="s">
        <v>597</v>
      </c>
      <c r="G37" s="825"/>
      <c r="H37" s="817"/>
      <c r="I37" s="817"/>
    </row>
    <row r="38" spans="1:9" s="826" customFormat="1" ht="19.5" customHeight="1">
      <c r="A38" s="3418"/>
      <c r="B38" s="3418"/>
      <c r="C38" s="822" t="s">
        <v>598</v>
      </c>
      <c r="D38" s="823"/>
      <c r="E38" s="821">
        <v>1</v>
      </c>
      <c r="F38" s="824" t="s">
        <v>599</v>
      </c>
      <c r="G38" s="825"/>
      <c r="H38" s="817"/>
      <c r="I38" s="817"/>
    </row>
    <row r="39" spans="1:9" s="826" customFormat="1" ht="19.5" customHeight="1">
      <c r="A39" s="3418"/>
      <c r="B39" s="341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8" t="s">
        <v>614</v>
      </c>
      <c r="C61" s="757" t="s">
        <v>615</v>
      </c>
      <c r="D61" s="757" t="s">
        <v>616</v>
      </c>
      <c r="E61" s="834">
        <v>0.5</v>
      </c>
      <c r="F61" s="821">
        <v>80</v>
      </c>
    </row>
    <row r="62" spans="1:8" s="817" customFormat="1" ht="24">
      <c r="A62" s="821">
        <v>2</v>
      </c>
      <c r="B62" s="3418"/>
      <c r="C62" s="757" t="s">
        <v>617</v>
      </c>
      <c r="D62" s="757" t="s">
        <v>618</v>
      </c>
      <c r="E62" s="834">
        <v>0.5</v>
      </c>
      <c r="F62" s="821">
        <v>80</v>
      </c>
    </row>
    <row r="63" spans="1:8" s="817" customFormat="1" ht="36">
      <c r="A63" s="821">
        <v>3</v>
      </c>
      <c r="B63" s="3418"/>
      <c r="C63" s="757" t="s">
        <v>619</v>
      </c>
      <c r="D63" s="757" t="s">
        <v>620</v>
      </c>
      <c r="E63" s="834">
        <v>0.5</v>
      </c>
      <c r="F63" s="821">
        <v>80</v>
      </c>
    </row>
    <row r="64" spans="1:8" s="817" customFormat="1" ht="36">
      <c r="A64" s="821">
        <v>4</v>
      </c>
      <c r="B64" s="3418"/>
      <c r="C64" s="757" t="s">
        <v>621</v>
      </c>
      <c r="D64" s="757" t="s">
        <v>622</v>
      </c>
      <c r="E64" s="834">
        <v>0.4</v>
      </c>
      <c r="F64" s="821">
        <v>60</v>
      </c>
    </row>
    <row r="65" spans="1:6" s="817" customFormat="1" ht="36">
      <c r="A65" s="821">
        <v>5</v>
      </c>
      <c r="B65" s="3418"/>
      <c r="C65" s="757" t="s">
        <v>623</v>
      </c>
      <c r="D65" s="757" t="s">
        <v>624</v>
      </c>
      <c r="E65" s="834">
        <v>0.2</v>
      </c>
      <c r="F65" s="821">
        <v>30</v>
      </c>
    </row>
    <row r="66" spans="1:6" s="817" customFormat="1" ht="36">
      <c r="A66" s="821">
        <v>6</v>
      </c>
      <c r="B66" s="3418"/>
      <c r="C66" s="757" t="s">
        <v>625</v>
      </c>
      <c r="D66" s="757" t="s">
        <v>626</v>
      </c>
      <c r="E66" s="834">
        <v>0.3</v>
      </c>
      <c r="F66" s="821">
        <v>50</v>
      </c>
    </row>
    <row r="67" spans="1:6" s="817" customFormat="1" ht="36">
      <c r="A67" s="821">
        <v>7</v>
      </c>
      <c r="B67" s="3418"/>
      <c r="C67" s="757" t="s">
        <v>627</v>
      </c>
      <c r="D67" s="757" t="s">
        <v>628</v>
      </c>
      <c r="E67" s="834">
        <v>0.2</v>
      </c>
      <c r="F67" s="821">
        <v>30</v>
      </c>
    </row>
    <row r="68" spans="1:6" s="817" customFormat="1" ht="36">
      <c r="A68" s="821">
        <v>8</v>
      </c>
      <c r="B68" s="3418"/>
      <c r="C68" s="757" t="s">
        <v>629</v>
      </c>
      <c r="D68" s="757" t="s">
        <v>630</v>
      </c>
      <c r="E68" s="834">
        <v>0.2</v>
      </c>
      <c r="F68" s="821">
        <v>30</v>
      </c>
    </row>
    <row r="69" spans="1:6" s="817" customFormat="1" ht="36">
      <c r="A69" s="821">
        <v>9</v>
      </c>
      <c r="B69" s="3418"/>
      <c r="C69" s="757" t="s">
        <v>631</v>
      </c>
      <c r="D69" s="757" t="s">
        <v>632</v>
      </c>
      <c r="E69" s="834">
        <v>0.2</v>
      </c>
      <c r="F69" s="821">
        <v>30</v>
      </c>
    </row>
    <row r="70" spans="1:6" s="817" customFormat="1" ht="48">
      <c r="A70" s="821">
        <v>10</v>
      </c>
      <c r="B70" s="3418"/>
      <c r="C70" s="757" t="s">
        <v>633</v>
      </c>
      <c r="D70" s="757" t="s">
        <v>634</v>
      </c>
      <c r="E70" s="834">
        <v>0.2</v>
      </c>
      <c r="F70" s="821">
        <v>30</v>
      </c>
    </row>
    <row r="71" spans="1:6" s="817" customFormat="1" ht="48">
      <c r="A71" s="821">
        <v>11</v>
      </c>
      <c r="B71" s="3418"/>
      <c r="C71" s="757" t="s">
        <v>635</v>
      </c>
      <c r="D71" s="757" t="s">
        <v>636</v>
      </c>
      <c r="E71" s="834">
        <v>0.2</v>
      </c>
      <c r="F71" s="821">
        <v>30</v>
      </c>
    </row>
    <row r="72" spans="1:6" s="817" customFormat="1" ht="36">
      <c r="A72" s="821">
        <v>12</v>
      </c>
      <c r="B72" s="3418"/>
      <c r="C72" s="757" t="s">
        <v>637</v>
      </c>
      <c r="D72" s="757" t="s">
        <v>638</v>
      </c>
      <c r="E72" s="834">
        <v>0.5</v>
      </c>
      <c r="F72" s="821">
        <v>80</v>
      </c>
    </row>
    <row r="73" spans="1:6" s="817" customFormat="1" ht="24">
      <c r="A73" s="821">
        <v>13</v>
      </c>
      <c r="B73" s="3418"/>
      <c r="C73" s="757" t="s">
        <v>639</v>
      </c>
      <c r="D73" s="757" t="s">
        <v>640</v>
      </c>
      <c r="E73" s="834">
        <v>0.4</v>
      </c>
      <c r="F73" s="821">
        <v>60</v>
      </c>
    </row>
    <row r="74" spans="1:6" s="817" customFormat="1" ht="24">
      <c r="A74" s="821">
        <v>14</v>
      </c>
      <c r="B74" s="3418"/>
      <c r="C74" s="757" t="s">
        <v>641</v>
      </c>
      <c r="D74" s="757" t="s">
        <v>642</v>
      </c>
      <c r="E74" s="834">
        <v>0.2</v>
      </c>
      <c r="F74" s="821">
        <v>30</v>
      </c>
    </row>
    <row r="75" spans="1:6" s="817" customFormat="1" ht="24">
      <c r="A75" s="821">
        <v>15</v>
      </c>
      <c r="B75" s="3418"/>
      <c r="C75" s="757" t="s">
        <v>643</v>
      </c>
      <c r="D75" s="757" t="s">
        <v>644</v>
      </c>
      <c r="E75" s="834">
        <v>0.2</v>
      </c>
      <c r="F75" s="821">
        <v>30</v>
      </c>
    </row>
    <row r="76" spans="1:6" s="817" customFormat="1" ht="24">
      <c r="A76" s="821">
        <v>16</v>
      </c>
      <c r="B76" s="3418" t="s">
        <v>645</v>
      </c>
      <c r="C76" s="757" t="s">
        <v>646</v>
      </c>
      <c r="D76" s="757" t="s">
        <v>647</v>
      </c>
      <c r="E76" s="834">
        <v>0.5</v>
      </c>
      <c r="F76" s="821">
        <v>80</v>
      </c>
    </row>
    <row r="77" spans="1:6" s="817" customFormat="1" ht="24">
      <c r="A77" s="821">
        <v>17</v>
      </c>
      <c r="B77" s="3418"/>
      <c r="C77" s="757" t="s">
        <v>648</v>
      </c>
      <c r="D77" s="757" t="s">
        <v>649</v>
      </c>
      <c r="E77" s="834">
        <v>0.5</v>
      </c>
      <c r="F77" s="821">
        <v>80</v>
      </c>
    </row>
    <row r="78" spans="1:6" s="817" customFormat="1" ht="24">
      <c r="A78" s="821">
        <v>18</v>
      </c>
      <c r="B78" s="3418"/>
      <c r="C78" s="757" t="s">
        <v>650</v>
      </c>
      <c r="D78" s="757" t="s">
        <v>651</v>
      </c>
      <c r="E78" s="834">
        <v>0.2</v>
      </c>
      <c r="F78" s="821">
        <v>30</v>
      </c>
    </row>
    <row r="79" spans="1:6" s="817" customFormat="1" ht="24">
      <c r="A79" s="821">
        <v>19</v>
      </c>
      <c r="B79" s="3418"/>
      <c r="C79" s="757" t="s">
        <v>652</v>
      </c>
      <c r="D79" s="757" t="s">
        <v>653</v>
      </c>
      <c r="E79" s="834">
        <v>0.5</v>
      </c>
      <c r="F79" s="821">
        <v>80</v>
      </c>
    </row>
    <row r="80" spans="1:6" s="817" customFormat="1" ht="36">
      <c r="A80" s="821">
        <v>20</v>
      </c>
      <c r="B80" s="3418"/>
      <c r="C80" s="757" t="s">
        <v>654</v>
      </c>
      <c r="D80" s="757" t="s">
        <v>655</v>
      </c>
      <c r="E80" s="834">
        <v>0.2</v>
      </c>
      <c r="F80" s="821">
        <v>30</v>
      </c>
    </row>
    <row r="81" spans="1:6" s="817" customFormat="1" ht="36">
      <c r="A81" s="821">
        <v>21</v>
      </c>
      <c r="B81" s="3418"/>
      <c r="C81" s="757" t="s">
        <v>656</v>
      </c>
      <c r="D81" s="757" t="s">
        <v>657</v>
      </c>
      <c r="E81" s="834">
        <v>0.2</v>
      </c>
      <c r="F81" s="821">
        <v>30</v>
      </c>
    </row>
    <row r="82" spans="1:6" s="817" customFormat="1" ht="48">
      <c r="A82" s="821">
        <v>22</v>
      </c>
      <c r="B82" s="3418"/>
      <c r="C82" s="757" t="s">
        <v>658</v>
      </c>
      <c r="D82" s="757" t="s">
        <v>659</v>
      </c>
      <c r="E82" s="834">
        <v>0.2</v>
      </c>
      <c r="F82" s="821">
        <v>30</v>
      </c>
    </row>
    <row r="83" spans="1:6" s="817" customFormat="1" ht="48">
      <c r="A83" s="821">
        <v>23</v>
      </c>
      <c r="B83" s="3418"/>
      <c r="C83" s="757" t="s">
        <v>660</v>
      </c>
      <c r="D83" s="757" t="s">
        <v>661</v>
      </c>
      <c r="E83" s="834">
        <v>0.2</v>
      </c>
      <c r="F83" s="821">
        <v>30</v>
      </c>
    </row>
    <row r="84" spans="1:6" s="817" customFormat="1" ht="36">
      <c r="A84" s="821">
        <v>24</v>
      </c>
      <c r="B84" s="3418"/>
      <c r="C84" s="757" t="s">
        <v>662</v>
      </c>
      <c r="D84" s="757" t="s">
        <v>663</v>
      </c>
      <c r="E84" s="834">
        <v>0.2</v>
      </c>
      <c r="F84" s="821">
        <v>30</v>
      </c>
    </row>
    <row r="85" spans="1:6" s="817" customFormat="1" ht="36">
      <c r="A85" s="821">
        <v>25</v>
      </c>
      <c r="B85" s="3418"/>
      <c r="C85" s="757" t="s">
        <v>664</v>
      </c>
      <c r="D85" s="757" t="s">
        <v>665</v>
      </c>
      <c r="E85" s="834">
        <v>0.5</v>
      </c>
      <c r="F85" s="821">
        <v>80</v>
      </c>
    </row>
    <row r="86" spans="1:6" s="817" customFormat="1" ht="36">
      <c r="A86" s="821">
        <v>26</v>
      </c>
      <c r="B86" s="3418"/>
      <c r="C86" s="757" t="s">
        <v>666</v>
      </c>
      <c r="D86" s="757" t="s">
        <v>667</v>
      </c>
      <c r="E86" s="834">
        <v>0.2</v>
      </c>
      <c r="F86" s="821">
        <v>30</v>
      </c>
    </row>
    <row r="87" spans="1:6" s="817" customFormat="1" ht="36">
      <c r="A87" s="821">
        <v>27</v>
      </c>
      <c r="B87" s="3418"/>
      <c r="C87" s="757" t="s">
        <v>668</v>
      </c>
      <c r="D87" s="757" t="s">
        <v>669</v>
      </c>
      <c r="E87" s="834">
        <v>0.2</v>
      </c>
      <c r="F87" s="821">
        <v>30</v>
      </c>
    </row>
    <row r="88" spans="1:6" s="817" customFormat="1" ht="36">
      <c r="A88" s="821">
        <v>28</v>
      </c>
      <c r="B88" s="3418"/>
      <c r="C88" s="757" t="s">
        <v>670</v>
      </c>
      <c r="D88" s="757" t="s">
        <v>671</v>
      </c>
      <c r="E88" s="834">
        <v>0.2</v>
      </c>
      <c r="F88" s="821">
        <v>30</v>
      </c>
    </row>
    <row r="89" spans="1:6" s="817" customFormat="1" ht="24">
      <c r="A89" s="821">
        <v>29</v>
      </c>
      <c r="B89" s="3418"/>
      <c r="C89" s="757" t="s">
        <v>672</v>
      </c>
      <c r="D89" s="757" t="s">
        <v>673</v>
      </c>
      <c r="E89" s="834">
        <v>0.2</v>
      </c>
      <c r="F89" s="821">
        <v>30</v>
      </c>
    </row>
    <row r="90" spans="1:6" s="817" customFormat="1" ht="24">
      <c r="A90" s="821">
        <v>30</v>
      </c>
      <c r="B90" s="3418"/>
      <c r="C90" s="757" t="s">
        <v>674</v>
      </c>
      <c r="D90" s="757" t="s">
        <v>675</v>
      </c>
      <c r="E90" s="834">
        <v>0.2</v>
      </c>
      <c r="F90" s="821">
        <v>30</v>
      </c>
    </row>
    <row r="91" spans="1:6" s="817" customFormat="1" ht="36">
      <c r="A91" s="821">
        <v>31</v>
      </c>
      <c r="B91" s="3418"/>
      <c r="C91" s="757" t="s">
        <v>676</v>
      </c>
      <c r="D91" s="757" t="s">
        <v>677</v>
      </c>
      <c r="E91" s="834">
        <v>0.2</v>
      </c>
      <c r="F91" s="821">
        <v>30</v>
      </c>
    </row>
    <row r="92" spans="1:6" s="817" customFormat="1" ht="24">
      <c r="A92" s="821">
        <v>32</v>
      </c>
      <c r="B92" s="3418" t="s">
        <v>678</v>
      </c>
      <c r="C92" s="821" t="s">
        <v>679</v>
      </c>
      <c r="D92" s="757" t="s">
        <v>680</v>
      </c>
      <c r="E92" s="834">
        <v>0.2</v>
      </c>
      <c r="F92" s="821">
        <v>30</v>
      </c>
    </row>
    <row r="93" spans="1:6" s="817" customFormat="1" ht="36">
      <c r="A93" s="821">
        <v>33</v>
      </c>
      <c r="B93" s="3418"/>
      <c r="C93" s="821" t="s">
        <v>681</v>
      </c>
      <c r="D93" s="757" t="s">
        <v>682</v>
      </c>
      <c r="E93" s="834">
        <v>0.2</v>
      </c>
      <c r="F93" s="821">
        <v>30</v>
      </c>
    </row>
    <row r="94" spans="1:6" s="817" customFormat="1" ht="48">
      <c r="A94" s="821">
        <v>34</v>
      </c>
      <c r="B94" s="3418"/>
      <c r="C94" s="821" t="s">
        <v>683</v>
      </c>
      <c r="D94" s="757" t="s">
        <v>684</v>
      </c>
      <c r="E94" s="834">
        <v>0.2</v>
      </c>
      <c r="F94" s="821">
        <v>30</v>
      </c>
    </row>
    <row r="95" spans="1:6" s="817" customFormat="1" ht="36">
      <c r="A95" s="821">
        <v>35</v>
      </c>
      <c r="B95" s="3418"/>
      <c r="C95" s="821" t="s">
        <v>685</v>
      </c>
      <c r="D95" s="757" t="s">
        <v>686</v>
      </c>
      <c r="E95" s="834">
        <v>0.2</v>
      </c>
      <c r="F95" s="821">
        <v>30</v>
      </c>
    </row>
    <row r="96" spans="1:6" s="817" customFormat="1" ht="48">
      <c r="A96" s="821">
        <v>36</v>
      </c>
      <c r="B96" s="3418"/>
      <c r="C96" s="757" t="s">
        <v>687</v>
      </c>
      <c r="D96" s="757" t="s">
        <v>688</v>
      </c>
      <c r="E96" s="834">
        <v>0.2</v>
      </c>
      <c r="F96" s="821">
        <v>30</v>
      </c>
    </row>
    <row r="97" spans="1:6" s="817" customFormat="1" ht="36">
      <c r="A97" s="821">
        <v>37</v>
      </c>
      <c r="B97" s="3418"/>
      <c r="C97" s="821" t="s">
        <v>689</v>
      </c>
      <c r="D97" s="757" t="s">
        <v>690</v>
      </c>
      <c r="E97" s="834">
        <v>0.2</v>
      </c>
      <c r="F97" s="821">
        <v>30</v>
      </c>
    </row>
    <row r="98" spans="1:6" s="817" customFormat="1" ht="36">
      <c r="A98" s="821">
        <v>38</v>
      </c>
      <c r="B98" s="3418"/>
      <c r="C98" s="821" t="s">
        <v>691</v>
      </c>
      <c r="D98" s="757" t="s">
        <v>692</v>
      </c>
      <c r="E98" s="834">
        <v>0.2</v>
      </c>
      <c r="F98" s="821">
        <v>30</v>
      </c>
    </row>
    <row r="99" spans="1:6" s="817" customFormat="1" ht="36">
      <c r="A99" s="821">
        <v>39</v>
      </c>
      <c r="B99" s="3418" t="s">
        <v>693</v>
      </c>
      <c r="C99" s="821" t="s">
        <v>694</v>
      </c>
      <c r="D99" s="757" t="s">
        <v>695</v>
      </c>
      <c r="E99" s="834">
        <v>0.3</v>
      </c>
      <c r="F99" s="821">
        <v>50</v>
      </c>
    </row>
    <row r="100" spans="1:6" s="817" customFormat="1" ht="24">
      <c r="A100" s="821">
        <v>40</v>
      </c>
      <c r="B100" s="3418"/>
      <c r="C100" s="821" t="s">
        <v>696</v>
      </c>
      <c r="D100" s="757" t="s">
        <v>697</v>
      </c>
      <c r="E100" s="834">
        <v>0.2</v>
      </c>
      <c r="F100" s="821">
        <v>30</v>
      </c>
    </row>
    <row r="101" spans="1:6" s="817" customFormat="1" ht="36">
      <c r="A101" s="821">
        <v>41</v>
      </c>
      <c r="B101" s="341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8" t="s">
        <v>708</v>
      </c>
      <c r="C105" s="821" t="s">
        <v>709</v>
      </c>
      <c r="D105" s="757" t="s">
        <v>710</v>
      </c>
      <c r="E105" s="834">
        <v>0.2</v>
      </c>
      <c r="F105" s="821">
        <v>30</v>
      </c>
    </row>
    <row r="106" spans="1:6" s="817" customFormat="1" ht="36">
      <c r="A106" s="821">
        <v>46</v>
      </c>
      <c r="B106" s="3418"/>
      <c r="C106" s="821" t="s">
        <v>711</v>
      </c>
      <c r="D106" s="757" t="s">
        <v>712</v>
      </c>
      <c r="E106" s="834">
        <v>0.2</v>
      </c>
      <c r="F106" s="821">
        <v>30</v>
      </c>
    </row>
    <row r="107" spans="1:6" s="817" customFormat="1" ht="36">
      <c r="A107" s="821">
        <v>47</v>
      </c>
      <c r="B107" s="3418" t="s">
        <v>713</v>
      </c>
      <c r="C107" s="821" t="s">
        <v>714</v>
      </c>
      <c r="D107" s="757" t="s">
        <v>715</v>
      </c>
      <c r="E107" s="834">
        <v>0.3</v>
      </c>
      <c r="F107" s="821">
        <v>50</v>
      </c>
    </row>
    <row r="108" spans="1:6" s="817" customFormat="1" ht="36">
      <c r="A108" s="821">
        <v>48</v>
      </c>
      <c r="B108" s="341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8" t="s">
        <v>724</v>
      </c>
      <c r="C111" s="821" t="s">
        <v>725</v>
      </c>
      <c r="D111" s="757" t="s">
        <v>726</v>
      </c>
      <c r="E111" s="834">
        <v>0.2</v>
      </c>
      <c r="F111" s="821">
        <v>30</v>
      </c>
    </row>
    <row r="112" spans="1:6" s="817" customFormat="1" ht="24">
      <c r="A112" s="821">
        <v>52</v>
      </c>
      <c r="B112" s="3418"/>
      <c r="C112" s="821" t="s">
        <v>727</v>
      </c>
      <c r="D112" s="757" t="s">
        <v>728</v>
      </c>
      <c r="E112" s="834">
        <v>0.2</v>
      </c>
      <c r="F112" s="821">
        <v>30</v>
      </c>
    </row>
    <row r="113" spans="1:6" s="817" customFormat="1" ht="24">
      <c r="A113" s="821">
        <v>53</v>
      </c>
      <c r="B113" s="341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8" t="s">
        <v>737</v>
      </c>
      <c r="C116" s="821" t="s">
        <v>738</v>
      </c>
      <c r="D116" s="757" t="s">
        <v>739</v>
      </c>
      <c r="E116" s="834">
        <v>0.2</v>
      </c>
      <c r="F116" s="821">
        <v>30</v>
      </c>
    </row>
    <row r="117" spans="1:6" ht="36">
      <c r="A117" s="821">
        <v>57</v>
      </c>
      <c r="B117" s="341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125" style="1678" customWidth="1"/>
    <col min="3" max="3" width="11.375" style="1678" customWidth="1"/>
    <col min="4" max="4" width="31.8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79"/>
      <c r="B4" s="3093" t="s">
        <v>1595</v>
      </c>
      <c r="C4" s="3093"/>
      <c r="D4" s="3093"/>
      <c r="E4" s="1679"/>
    </row>
    <row r="5" spans="1:5" ht="16.5" thickTop="1">
      <c r="A5" s="1677"/>
      <c r="B5" s="3091" t="s">
        <v>1587</v>
      </c>
      <c r="C5" s="1680" t="s">
        <v>1588</v>
      </c>
      <c r="D5" s="959">
        <f ca="1">结果表!H101</f>
        <v>61113</v>
      </c>
      <c r="E5" s="1677"/>
    </row>
    <row r="6" spans="1:5" ht="15.75">
      <c r="A6" s="1677"/>
      <c r="B6" s="3091"/>
      <c r="C6" s="1680" t="s">
        <v>1589</v>
      </c>
      <c r="D6" s="959" t="str">
        <f ca="1">NUMBERSTRING(INT(D5*10000),2)&amp;"元整"</f>
        <v>陆亿壹仟壹佰壹拾叁万元整</v>
      </c>
      <c r="E6" s="1677"/>
    </row>
    <row r="7" spans="1:5" ht="15.75">
      <c r="A7" s="1677"/>
      <c r="B7" s="3096"/>
      <c r="C7" s="1681" t="s">
        <v>1590</v>
      </c>
      <c r="D7" s="960">
        <f ca="1">结果表!H102</f>
        <v>37237</v>
      </c>
      <c r="E7" s="1677"/>
    </row>
    <row r="8" spans="1:5" ht="15.75">
      <c r="A8" s="1677"/>
      <c r="B8" s="3097" t="str">
        <f>结果表!E103</f>
        <v>2.估价师知悉的法定优先受偿款</v>
      </c>
      <c r="C8" s="1682" t="s">
        <v>1591</v>
      </c>
      <c r="D8" s="960">
        <f>结果表!H103</f>
        <v>0</v>
      </c>
      <c r="E8" s="1677"/>
    </row>
    <row r="9" spans="1:5" ht="15.75">
      <c r="A9" s="1677"/>
      <c r="B9" s="3099"/>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0" t="str">
        <f>结果表!E107</f>
        <v>3.房地产抵押价值</v>
      </c>
      <c r="C13" s="1685" t="s">
        <v>1588</v>
      </c>
      <c r="D13" s="962">
        <f ca="1">结果表!H107</f>
        <v>61113</v>
      </c>
      <c r="E13" s="1677"/>
    </row>
    <row r="14" spans="1:5" ht="15.75">
      <c r="A14" s="1677"/>
      <c r="B14" s="3091"/>
      <c r="C14" s="1680" t="s">
        <v>1589</v>
      </c>
      <c r="D14" s="959" t="str">
        <f ca="1">NUMBERSTRING(INT(D13*10000),2)&amp;"元整"</f>
        <v>陆亿壹仟壹佰壹拾叁万元整</v>
      </c>
      <c r="E14" s="1677"/>
    </row>
    <row r="15" spans="1:5" ht="15">
      <c r="A15" s="1677"/>
      <c r="B15" s="3096"/>
      <c r="C15" s="1681" t="s">
        <v>1599</v>
      </c>
      <c r="D15" s="968">
        <f ca="1">结果表!H108</f>
        <v>37237</v>
      </c>
      <c r="E15" s="1677"/>
    </row>
    <row r="16" spans="1:5" ht="15">
      <c r="A16" s="1677"/>
      <c r="B16" s="3097" t="str">
        <f>结果表!E109</f>
        <v>——</v>
      </c>
      <c r="C16" s="1685" t="s">
        <v>1600</v>
      </c>
      <c r="D16" s="1686" t="str">
        <f>结果表!H109</f>
        <v>——</v>
      </c>
      <c r="E16" s="1677"/>
    </row>
    <row r="17" spans="1:5" ht="15.75">
      <c r="A17" s="1677"/>
      <c r="B17" s="3098"/>
      <c r="C17" s="1680" t="s">
        <v>1601</v>
      </c>
      <c r="D17" s="959" t="e">
        <f>NUMBERSTRING(INT(D16*10000),2)&amp;"元整"</f>
        <v>#VALUE!</v>
      </c>
      <c r="E17" s="1677"/>
    </row>
    <row r="18" spans="1:5" ht="15">
      <c r="A18" s="1677"/>
      <c r="B18" s="3099"/>
      <c r="C18" s="1681" t="s">
        <v>1590</v>
      </c>
      <c r="D18" s="968" t="str">
        <f>结果表!H110</f>
        <v>——</v>
      </c>
      <c r="E18" s="1677"/>
    </row>
    <row r="19" spans="1:5" ht="15.75">
      <c r="A19" s="1677"/>
      <c r="B19" s="3090" t="str">
        <f>结果表!E111</f>
        <v>——</v>
      </c>
      <c r="C19" s="1685" t="s">
        <v>1588</v>
      </c>
      <c r="D19" s="960" t="str">
        <f>结果表!H111</f>
        <v>——</v>
      </c>
      <c r="E19" s="1677"/>
    </row>
    <row r="20" spans="1:5" ht="15.75">
      <c r="A20" s="1677"/>
      <c r="B20" s="3091"/>
      <c r="C20" s="1680" t="s">
        <v>1601</v>
      </c>
      <c r="D20" s="959" t="e">
        <f>NUMBERSTRING(INT(D19*10000),2)&amp;"元整"</f>
        <v>#VALUE!</v>
      </c>
      <c r="E20" s="1677"/>
    </row>
    <row r="21" spans="1:5" ht="15.75" thickBot="1">
      <c r="A21" s="1677"/>
      <c r="B21" s="3092"/>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3059</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3057</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2871</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2869</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2868</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2867</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2865</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2863</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2866</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2861</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2860</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2853</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29"/>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2851</v>
      </c>
      <c r="B18" s="2438">
        <v>439</v>
      </c>
      <c r="C18" s="2438">
        <v>327</v>
      </c>
      <c r="D18" s="2438">
        <f>C18</f>
        <v>327</v>
      </c>
      <c r="E18" s="2438">
        <v>627</v>
      </c>
      <c r="F18" s="2439">
        <v>283</v>
      </c>
      <c r="G18" s="3425">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2852</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29"/>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25">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2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1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2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1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2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26">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27"/>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27"/>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28"/>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1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2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1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2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1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2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1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2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1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2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1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2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1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2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1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2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1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2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1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2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1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2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3" t="s">
        <v>2824</v>
      </c>
      <c r="D1" s="3434"/>
      <c r="E1" s="3434"/>
      <c r="F1" s="3434"/>
      <c r="G1" s="3434"/>
      <c r="H1" s="3434"/>
      <c r="I1" s="3434"/>
      <c r="J1" s="3434"/>
      <c r="K1" s="3434"/>
      <c r="L1" s="3434"/>
      <c r="M1" s="3434"/>
      <c r="N1" s="3434"/>
      <c r="O1" s="3434"/>
      <c r="P1" s="3434"/>
      <c r="Q1" s="3434"/>
      <c r="R1" s="3434"/>
      <c r="S1" s="343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6"/>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30" t="s">
        <v>33</v>
      </c>
      <c r="D22" s="3431"/>
      <c r="E22" s="3431"/>
      <c r="F22" s="3431"/>
      <c r="G22" s="3431"/>
      <c r="H22" s="3431"/>
      <c r="I22" s="3431"/>
      <c r="J22" s="3431"/>
      <c r="K22" s="3431"/>
      <c r="L22" s="3431"/>
      <c r="M22" s="3431"/>
      <c r="N22" s="3431"/>
      <c r="O22" s="3431"/>
      <c r="P22" s="3431"/>
      <c r="Q22" s="343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39916</v>
      </c>
      <c r="C2" s="2" t="s">
        <v>133</v>
      </c>
      <c r="D2" s="205"/>
      <c r="E2" s="205"/>
      <c r="F2" s="205"/>
      <c r="G2" s="205"/>
    </row>
    <row r="3" spans="1:7" s="206" customFormat="1" ht="18" customHeight="1" thickBot="1">
      <c r="A3" s="209" t="s">
        <v>85</v>
      </c>
      <c r="B3" s="210">
        <f ca="1">ROUND(B2*10000/'数据-汇总表'!E3,0)</f>
        <v>24321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82</v>
      </c>
      <c r="D9" s="954">
        <f>'数据-汇总表'!E5</f>
        <v>16412.019999999993</v>
      </c>
      <c r="E9" s="231">
        <f>'数据-取费表'!B27</f>
        <v>50</v>
      </c>
      <c r="F9" s="227"/>
      <c r="G9" s="232"/>
    </row>
    <row r="10" spans="1:7" s="220" customFormat="1" ht="13.5" customHeight="1">
      <c r="A10" s="887" t="s">
        <v>801</v>
      </c>
      <c r="B10" s="230" t="s">
        <v>94</v>
      </c>
      <c r="C10" s="231">
        <f>ROUND(D10*E10/10000,0)</f>
        <v>0</v>
      </c>
      <c r="D10" s="954">
        <f>'数据-汇总表'!E6</f>
        <v>0</v>
      </c>
      <c r="E10" s="231">
        <f>'数据-取费表'!B28</f>
        <v>120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328</v>
      </c>
      <c r="D19" s="958">
        <f>'数据-汇总表'!E3</f>
        <v>16412.019999999993</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2006</v>
      </c>
      <c r="D22" s="241">
        <f ca="1">C26</f>
        <v>8.9999999999999998E-4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1956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5126</v>
      </c>
      <c r="D27" s="241">
        <f>C29</f>
        <v>4.7999999999999996E-3</v>
      </c>
      <c r="E27" s="242" t="s">
        <v>126</v>
      </c>
      <c r="F27" s="252">
        <f>'数据-取费表'!Q16</f>
        <v>0.3</v>
      </c>
      <c r="G27" s="253" t="s">
        <v>1037</v>
      </c>
    </row>
    <row r="28" spans="1:7" s="220" customFormat="1" ht="13.5" customHeight="1">
      <c r="A28" s="888" t="s">
        <v>794</v>
      </c>
      <c r="B28" s="254" t="s">
        <v>1030</v>
      </c>
      <c r="C28" s="255">
        <f>ROUND((C5+C19+C20)*F27*'数据-取费表'!B21/'数据-取费表'!B20,0)</f>
        <v>5126</v>
      </c>
      <c r="D28" s="241"/>
      <c r="E28" s="242"/>
      <c r="F28" s="252"/>
      <c r="G28" s="253"/>
    </row>
    <row r="29" spans="1:7" s="220" customFormat="1" ht="13.5" customHeight="1">
      <c r="A29" s="888" t="s">
        <v>792</v>
      </c>
      <c r="B29" s="254" t="s">
        <v>1031</v>
      </c>
      <c r="C29" s="244">
        <f>ROUND(C21*F27*'数据-取费表'!B21/'数据-取费表'!B20,4)</f>
        <v>4.7999999999999996E-3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6015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5252</v>
      </c>
      <c r="D34" s="223"/>
      <c r="E34" s="226"/>
      <c r="F34" s="263">
        <f>IF('数据-取费表'!B24=0,1,'数据-取费表'!N16)</f>
        <v>0.8</v>
      </c>
      <c r="G34" s="225" t="s">
        <v>116</v>
      </c>
    </row>
    <row r="35" spans="1:7" ht="13.5" customHeight="1">
      <c r="A35" s="888" t="s">
        <v>796</v>
      </c>
      <c r="B35" s="221" t="s">
        <v>60</v>
      </c>
      <c r="C35" s="226">
        <f>ROUND(C34*F35,0)</f>
        <v>158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263</v>
      </c>
      <c r="D36" s="226"/>
      <c r="E36" s="226"/>
      <c r="F36" s="265">
        <f>'数据-取费表'!B34</f>
        <v>0.05</v>
      </c>
      <c r="G36" s="266" t="s">
        <v>62</v>
      </c>
    </row>
    <row r="37" spans="1:7" s="264" customFormat="1" ht="13.5" customHeight="1">
      <c r="A37" s="888" t="s">
        <v>798</v>
      </c>
      <c r="B37" s="221" t="s">
        <v>118</v>
      </c>
      <c r="C37" s="255">
        <f>ROUND(E37*D37*F34/10000,0)</f>
        <v>263</v>
      </c>
      <c r="D37" s="223">
        <f>'数据-汇总表'!E3</f>
        <v>16412.019999999993</v>
      </c>
      <c r="E37" s="255">
        <f>'数据-取费表'!B35</f>
        <v>200</v>
      </c>
      <c r="F37" s="265"/>
      <c r="G37" s="267" t="s">
        <v>119</v>
      </c>
    </row>
    <row r="38" spans="1:7" ht="13.5" customHeight="1">
      <c r="A38" s="888" t="s">
        <v>799</v>
      </c>
      <c r="B38" s="221" t="s">
        <v>63</v>
      </c>
      <c r="C38" s="226">
        <f>ROUND(C34*F38,0)</f>
        <v>79</v>
      </c>
      <c r="D38" s="226"/>
      <c r="E38" s="226"/>
      <c r="F38" s="265">
        <f>'数据-取费表'!B36</f>
        <v>1.4999999999999999E-2</v>
      </c>
      <c r="G38" s="225" t="s">
        <v>117</v>
      </c>
    </row>
    <row r="39" spans="1:7" s="220" customFormat="1" ht="13.5" customHeight="1">
      <c r="A39" s="885" t="s">
        <v>783</v>
      </c>
      <c r="B39" s="216" t="s">
        <v>104</v>
      </c>
      <c r="C39" s="238">
        <f>ROUND(C33*F20,0)</f>
        <v>120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285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279</v>
      </c>
      <c r="D42" s="244"/>
      <c r="E42" s="244"/>
      <c r="F42" s="245"/>
      <c r="G42" s="3290" t="s">
        <v>121</v>
      </c>
    </row>
    <row r="43" spans="1:7" ht="13.5" customHeight="1">
      <c r="A43" s="888" t="s">
        <v>792</v>
      </c>
      <c r="B43" s="221" t="s">
        <v>1032</v>
      </c>
      <c r="C43" s="244">
        <f ca="1">ROUND(IF('数据-取费表'!B22&lt;=1,C39*F22*'数据-取费表'!B21/2,C39*(POWER((1+F22),'数据-取费表'!B21/2)-1)),0)</f>
        <v>6</v>
      </c>
      <c r="D43" s="244"/>
      <c r="E43" s="244"/>
      <c r="F43" s="245"/>
      <c r="G43" s="3291"/>
    </row>
    <row r="44" spans="1:7" ht="13.5" customHeight="1">
      <c r="A44" s="888" t="s">
        <v>793</v>
      </c>
      <c r="B44" s="221" t="s">
        <v>1034</v>
      </c>
      <c r="C44" s="244">
        <f ca="1">ROUND(IF('数据-取费表'!B22&lt;=1,C40*F22*'数据-取费表'!B21/2,C40*(POWER((1+F22),'数据-取费表'!B21/2)-1)),4)</f>
        <v>8.9999999999999998E-4</v>
      </c>
      <c r="D44" s="244"/>
      <c r="E44" s="244"/>
      <c r="F44" s="245"/>
      <c r="G44" s="3292"/>
    </row>
    <row r="45" spans="1:7" s="220" customFormat="1" ht="13.5" customHeight="1">
      <c r="A45" s="885" t="s">
        <v>786</v>
      </c>
      <c r="B45" s="250" t="s">
        <v>112</v>
      </c>
      <c r="C45" s="251">
        <f>C46</f>
        <v>1841</v>
      </c>
      <c r="D45" s="241">
        <f>C47</f>
        <v>6.0000000000000001E-3</v>
      </c>
      <c r="E45" s="242" t="s">
        <v>129</v>
      </c>
      <c r="F45" s="252"/>
      <c r="G45" s="253" t="s">
        <v>1040</v>
      </c>
    </row>
    <row r="46" spans="1:7" s="220" customFormat="1" ht="13.5" customHeight="1">
      <c r="A46" s="888" t="s">
        <v>794</v>
      </c>
      <c r="B46" s="254" t="s">
        <v>1033</v>
      </c>
      <c r="C46" s="255">
        <f>ROUND((C33+C39)*F27,0)</f>
        <v>1841</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8982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8982</v>
      </c>
      <c r="D51" s="238"/>
      <c r="E51" s="238"/>
      <c r="F51" s="270"/>
      <c r="G51" s="240" t="s">
        <v>64</v>
      </c>
    </row>
    <row r="52" spans="1:7" s="214" customFormat="1" ht="16.5" thickBot="1">
      <c r="A52" s="271" t="s">
        <v>65</v>
      </c>
      <c r="B52" s="272"/>
      <c r="C52" s="273">
        <f ca="1">C31+C51</f>
        <v>39916</v>
      </c>
      <c r="D52" s="272"/>
      <c r="E52" s="272"/>
      <c r="F52" s="272"/>
      <c r="G52" s="274"/>
    </row>
    <row r="55" spans="1:7" ht="15">
      <c r="B55" s="276" t="s">
        <v>66</v>
      </c>
      <c r="C55" s="277"/>
    </row>
    <row r="56" spans="1:7">
      <c r="B56" s="279" t="s">
        <v>67</v>
      </c>
      <c r="C56" s="280">
        <f ca="1">ROUND(C51/C52,3)</f>
        <v>0.22500000000000001</v>
      </c>
    </row>
    <row r="57" spans="1:7">
      <c r="B57" s="279" t="s">
        <v>68</v>
      </c>
      <c r="C57" s="281">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436" t="s">
        <v>156</v>
      </c>
      <c r="B1" s="3436"/>
      <c r="C1" s="3436"/>
      <c r="D1" s="3436"/>
      <c r="E1" s="3436"/>
      <c r="F1" s="343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7" t="s">
        <v>169</v>
      </c>
      <c r="B2" s="3437"/>
      <c r="C2" s="3437"/>
      <c r="D2" s="3437"/>
      <c r="E2" s="3437"/>
      <c r="F2" s="343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125" style="752" customWidth="1"/>
  </cols>
  <sheetData>
    <row r="1" spans="1:6">
      <c r="A1" s="3436" t="s">
        <v>839</v>
      </c>
      <c r="B1" s="343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87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87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87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87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87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87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87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87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87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87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87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87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87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87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87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87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87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87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87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87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87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87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87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87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87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87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87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87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87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87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87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87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87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87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87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87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87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87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87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87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87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87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87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87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87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87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87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87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87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87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87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87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87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87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87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87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87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87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87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87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87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87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87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875" style="1407" customWidth="1"/>
    <col min="16142" max="16384" width="9" style="1407"/>
  </cols>
  <sheetData>
    <row r="1" spans="1:257" s="1470" customFormat="1" ht="14.25" thickBot="1">
      <c r="A1" s="1464"/>
      <c r="B1" s="1471" t="s">
        <v>1267</v>
      </c>
      <c r="C1" s="1465">
        <f>项目基本情况!D3</f>
        <v>44236</v>
      </c>
      <c r="D1" s="1471" t="s">
        <v>1268</v>
      </c>
      <c r="E1" s="1466">
        <f>'数据-取费表'!B22</f>
        <v>3</v>
      </c>
      <c r="F1" s="1471" t="s">
        <v>1269</v>
      </c>
      <c r="G1" s="1467">
        <f ca="1">INDIRECT("d"&amp;$K$1)/100</f>
        <v>3.85E-2</v>
      </c>
      <c r="H1" s="1471" t="s">
        <v>1299</v>
      </c>
      <c r="I1" s="1467">
        <f ca="1">F4/100</f>
        <v>1.4999999999999999E-2</v>
      </c>
      <c r="J1" s="1472">
        <f>IF(C1&gt;C13,0,MATCH(C1,C$13:C$104,-1))+IF(SUMIF(C13:C104,C1,D13:D104)=0,13,12)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1606</v>
      </c>
      <c r="B2" s="3110" t="s">
        <v>1607</v>
      </c>
      <c r="C2" s="3110" t="s">
        <v>1608</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5">
      <c r="A3" s="3104"/>
      <c r="B3" s="3104"/>
      <c r="C3" s="3104"/>
      <c r="D3" s="963" t="s">
        <v>1603</v>
      </c>
      <c r="E3" s="963" t="s">
        <v>1609</v>
      </c>
      <c r="F3" s="963" t="s">
        <v>1603</v>
      </c>
      <c r="G3" s="963" t="s">
        <v>1604</v>
      </c>
      <c r="H3" s="963" t="s">
        <v>1603</v>
      </c>
      <c r="I3" s="963" t="s">
        <v>1604</v>
      </c>
    </row>
    <row r="4" spans="1:9" ht="30">
      <c r="A4" s="1691" t="str">
        <f>项目基本情况!S2</f>
        <v>出让国有建设用地使用权及在建建筑物房地产</v>
      </c>
      <c r="B4" s="963">
        <f>项目基本情况!C17</f>
        <v>16412.019999999993</v>
      </c>
      <c r="C4" s="963">
        <f>项目基本情况!C18</f>
        <v>0</v>
      </c>
      <c r="D4" s="963">
        <f ca="1">结果表!D118</f>
        <v>51579</v>
      </c>
      <c r="E4" s="963">
        <f ca="1">结果表!E118</f>
        <v>31428</v>
      </c>
      <c r="F4" s="963">
        <f ca="1">结果表!F118</f>
        <v>9534</v>
      </c>
      <c r="G4" s="963">
        <f ca="1">结果表!G118</f>
        <v>5809</v>
      </c>
      <c r="H4" s="963">
        <f ca="1">结果表!H118</f>
        <v>61113</v>
      </c>
      <c r="I4" s="963">
        <f ca="1">结果表!I118</f>
        <v>37237</v>
      </c>
    </row>
    <row r="5" spans="1:9" ht="30" customHeight="1">
      <c r="A5" s="3104" t="s">
        <v>1605</v>
      </c>
      <c r="B5" s="3104"/>
      <c r="C5" s="3104"/>
      <c r="D5" s="3105" t="str">
        <f ca="1">结果表!D119</f>
        <v>伍亿壹仟伍佰柒拾玖万元整</v>
      </c>
      <c r="E5" s="3105"/>
      <c r="F5" s="3105" t="str">
        <f ca="1">结果表!F119</f>
        <v>玖仟伍佰叁拾肆万元整</v>
      </c>
      <c r="G5" s="3105"/>
      <c r="H5" s="3105" t="str">
        <f ca="1">结果表!H119</f>
        <v>陆亿壹仟壹佰壹拾叁万元整</v>
      </c>
      <c r="I5" s="3105"/>
    </row>
    <row r="6" spans="1:9" ht="15.75">
      <c r="A6" s="3103" t="str">
        <f>结果表!A120</f>
        <v>估价师知悉的法定优先受偿款</v>
      </c>
      <c r="B6" s="3103"/>
      <c r="C6" s="3103"/>
      <c r="D6" s="3103">
        <f>结果表!D120</f>
        <v>0</v>
      </c>
      <c r="E6" s="3103"/>
      <c r="F6" s="3103"/>
      <c r="G6" s="3103"/>
      <c r="H6" s="3103"/>
      <c r="I6" s="3103"/>
    </row>
    <row r="7" spans="1:9" ht="15">
      <c r="A7" s="3104" t="s">
        <v>1605</v>
      </c>
      <c r="B7" s="3104"/>
      <c r="C7" s="3104"/>
      <c r="D7" s="3106" t="str">
        <f>结果表!D121</f>
        <v>零元整</v>
      </c>
      <c r="E7" s="3107"/>
      <c r="F7" s="3107"/>
      <c r="G7" s="3107"/>
      <c r="H7" s="3107"/>
      <c r="I7" s="3108"/>
    </row>
    <row r="8" spans="1:9" ht="15.75">
      <c r="A8" s="3103" t="str">
        <f>结果表!A122</f>
        <v>房地产抵押价值</v>
      </c>
      <c r="B8" s="3103"/>
      <c r="C8" s="3103"/>
      <c r="D8" s="3103">
        <f ca="1">结果表!D122</f>
        <v>61113</v>
      </c>
      <c r="E8" s="3103"/>
      <c r="F8" s="3103"/>
      <c r="G8" s="3103"/>
      <c r="H8" s="3103"/>
      <c r="I8" s="3103"/>
    </row>
    <row r="9" spans="1:9" ht="15">
      <c r="A9" s="3104" t="s">
        <v>1605</v>
      </c>
      <c r="B9" s="3104"/>
      <c r="C9" s="3104"/>
      <c r="D9" s="3105" t="str">
        <f ca="1">结果表!D123</f>
        <v>陆亿壹仟壹佰壹拾叁万元整</v>
      </c>
      <c r="E9" s="3105"/>
      <c r="F9" s="3105"/>
      <c r="G9" s="3105"/>
      <c r="H9" s="3105"/>
      <c r="I9" s="3105"/>
    </row>
    <row r="10" spans="1:9" ht="15.75">
      <c r="A10" s="3103" t="str">
        <f>结果表!A124</f>
        <v/>
      </c>
      <c r="B10" s="3103"/>
      <c r="C10" s="3103"/>
      <c r="D10" s="3103" t="str">
        <f>结果表!D124</f>
        <v>——</v>
      </c>
      <c r="E10" s="3103"/>
      <c r="F10" s="3103"/>
      <c r="G10" s="3103"/>
      <c r="H10" s="3103"/>
      <c r="I10" s="3103"/>
    </row>
    <row r="11" spans="1:9" ht="15">
      <c r="A11" s="3104" t="s">
        <v>1605</v>
      </c>
      <c r="B11" s="3104"/>
      <c r="C11" s="3104"/>
      <c r="D11" s="3105" t="e">
        <f>结果表!D125</f>
        <v>#VALUE!</v>
      </c>
      <c r="E11" s="3105"/>
      <c r="F11" s="3105"/>
      <c r="G11" s="3105"/>
      <c r="H11" s="3105"/>
      <c r="I11" s="3105"/>
    </row>
    <row r="12" spans="1:9" ht="15.75">
      <c r="A12" s="3103" t="str">
        <f>结果表!A126</f>
        <v/>
      </c>
      <c r="B12" s="3103"/>
      <c r="C12" s="3103"/>
      <c r="D12" s="3103" t="str">
        <f>结果表!D126</f>
        <v>——</v>
      </c>
      <c r="E12" s="3103"/>
      <c r="F12" s="3103"/>
      <c r="G12" s="3103"/>
      <c r="H12" s="3103"/>
      <c r="I12" s="3103"/>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7" t="s">
        <v>1627</v>
      </c>
      <c r="B1" s="3117"/>
      <c r="C1" s="3117"/>
      <c r="D1" s="3117"/>
    </row>
    <row r="2" spans="1:4" ht="18">
      <c r="A2" s="3118" t="s">
        <v>1611</v>
      </c>
      <c r="B2" s="3118"/>
      <c r="C2" s="3118"/>
      <c r="D2" s="311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8" t="s">
        <v>1617</v>
      </c>
      <c r="B6" s="3118"/>
      <c r="C6" s="3118"/>
      <c r="D6" s="311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9"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6"/>
      <c r="C12" s="3116"/>
      <c r="D12" s="3116"/>
    </row>
    <row r="13" spans="1:4" ht="30" customHeight="1">
      <c r="A13" s="3111" t="str">
        <f>IF(项目基本情况!B8="抵押","3.抵押双方在办理抵押登记手续时，应使用本公司出具的正式《房地产评估报告》，特提醒报告使用者注意。","——")</f>
        <v>——</v>
      </c>
      <c r="B13" s="3116"/>
      <c r="C13" s="3116"/>
      <c r="D13" s="3116"/>
    </row>
    <row r="14" spans="1:4" ht="15.75" customHeight="1">
      <c r="A14" s="3111" t="str">
        <f>IF(项目基本情况!B8="抵押","4.本次评估估价师所知悉的法定优先受偿款情况说明如下：","——")</f>
        <v>——</v>
      </c>
      <c r="B14" s="3116"/>
      <c r="C14" s="3116"/>
      <c r="D14" s="3116"/>
    </row>
    <row r="15" spans="1:4" ht="42" customHeight="1">
      <c r="A15" s="3111" t="str">
        <f>IF(项目基本情况!B8="抵押","（1）"&amp;CONCATENATE(项目基本情况!L20,项目基本情况!L21,项目基本情况!L22),"——")</f>
        <v>——</v>
      </c>
      <c r="B15" s="3111"/>
      <c r="C15" s="3111"/>
      <c r="D15" s="3111"/>
    </row>
    <row r="16" spans="1:4" ht="30" customHeight="1">
      <c r="A16" s="3113" t="s">
        <v>1621</v>
      </c>
      <c r="B16" s="3113"/>
      <c r="C16" s="3113"/>
      <c r="D16" s="3113"/>
    </row>
    <row r="17" spans="1:4" ht="144" customHeight="1">
      <c r="A17" s="3113" t="s">
        <v>1622</v>
      </c>
      <c r="B17" s="3113"/>
      <c r="C17" s="3113"/>
      <c r="D17" s="3113"/>
    </row>
    <row r="18" spans="1:4" ht="15.75" customHeight="1">
      <c r="A18" s="3111" t="str">
        <f>IF(项目基本情况!B8="抵押",结果表!K120,"——")</f>
        <v>——</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1623</v>
      </c>
      <c r="B22" s="3115"/>
      <c r="C22" s="3115"/>
      <c r="D22" s="311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2">
        <v>42551</v>
      </c>
      <c r="D31" s="31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5" t="s">
        <v>1634</v>
      </c>
      <c r="B15" s="3120" t="s">
        <v>136</v>
      </c>
      <c r="C15" s="3121"/>
    </row>
    <row r="16" spans="1:7" ht="13.5">
      <c r="A16" s="3126"/>
      <c r="B16" s="3120" t="s">
        <v>69</v>
      </c>
      <c r="C16" s="3121"/>
    </row>
    <row r="17" spans="1:3" ht="13.5">
      <c r="A17" s="3126"/>
      <c r="B17" s="3123" t="s">
        <v>1635</v>
      </c>
      <c r="C17" s="1718" t="s">
        <v>1634</v>
      </c>
    </row>
    <row r="18" spans="1:3" ht="13.5">
      <c r="A18" s="3126"/>
      <c r="B18" s="3123"/>
      <c r="C18" s="1718" t="s">
        <v>1636</v>
      </c>
    </row>
    <row r="19" spans="1:3" ht="13.5">
      <c r="A19" s="3126"/>
      <c r="B19" s="3123"/>
      <c r="C19" s="1718" t="s">
        <v>1637</v>
      </c>
    </row>
    <row r="20" spans="1:3" ht="13.5">
      <c r="A20" s="3127"/>
      <c r="B20" s="3122" t="s">
        <v>1638</v>
      </c>
      <c r="C20" s="3121"/>
    </row>
    <row r="21" spans="1:3" ht="13.5">
      <c r="A21" s="1719" t="s">
        <v>1639</v>
      </c>
      <c r="B21" s="1720"/>
      <c r="C21" s="1721"/>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18" t="s">
        <v>1645</v>
      </c>
    </row>
    <row r="26" spans="1:3" ht="13.5">
      <c r="A26" s="3124"/>
      <c r="B26" s="3123"/>
      <c r="C26" s="1718" t="s">
        <v>1646</v>
      </c>
    </row>
    <row r="27" spans="1:3" ht="13.5">
      <c r="A27" s="3124"/>
      <c r="B27" s="3123"/>
      <c r="C27" s="1718" t="s">
        <v>1647</v>
      </c>
    </row>
    <row r="28" spans="1:3" ht="13.5">
      <c r="A28" s="3124"/>
      <c r="B28" s="3123"/>
      <c r="C28" s="1718" t="s">
        <v>1648</v>
      </c>
    </row>
    <row r="29" spans="1:3" ht="13.5">
      <c r="A29" s="3124"/>
      <c r="B29" s="3123"/>
      <c r="C29" s="1718" t="s">
        <v>1649</v>
      </c>
    </row>
    <row r="30" spans="1:3" ht="13.5">
      <c r="A30" s="3124"/>
      <c r="B30" s="3123"/>
      <c r="C30" s="1718" t="s">
        <v>1650</v>
      </c>
    </row>
    <row r="31" spans="1:3" ht="13.5">
      <c r="A31" s="3124"/>
      <c r="B31" s="3123"/>
      <c r="C31" s="1718" t="s">
        <v>1651</v>
      </c>
    </row>
    <row r="32" spans="1:3" ht="13.5">
      <c r="A32" s="3124"/>
      <c r="B32" s="3123"/>
      <c r="C32" s="1718" t="s">
        <v>1652</v>
      </c>
    </row>
    <row r="33" spans="1:3" ht="13.5">
      <c r="A33" s="3124"/>
      <c r="B33" s="3123"/>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44237</v>
      </c>
      <c r="C2" s="2563" t="s">
        <v>2881</v>
      </c>
      <c r="D2" s="2563"/>
      <c r="E2" s="2563"/>
      <c r="F2" s="2559"/>
      <c r="G2" s="2559"/>
      <c r="H2" s="2559"/>
    </row>
    <row r="3" spans="1:8" ht="24" customHeight="1">
      <c r="A3" s="2564" t="s">
        <v>2882</v>
      </c>
      <c r="B3" s="2565" t="s">
        <v>2883</v>
      </c>
      <c r="C3" s="2565" t="s">
        <v>2884</v>
      </c>
      <c r="D3" s="2566" t="s">
        <v>2885</v>
      </c>
      <c r="E3" s="2567" t="s">
        <v>2886</v>
      </c>
      <c r="F3" s="1473" t="s">
        <v>2887</v>
      </c>
      <c r="G3" s="2565" t="s">
        <v>2884</v>
      </c>
      <c r="H3" s="2566" t="s">
        <v>2888</v>
      </c>
    </row>
    <row r="4" spans="1:8" ht="24" customHeight="1">
      <c r="A4" s="1473" t="s">
        <v>2889</v>
      </c>
      <c r="B4" s="1473">
        <f ca="1">IF(C4&lt;B2,"已过期",1119970066)</f>
        <v>1119970066</v>
      </c>
      <c r="C4" s="2568">
        <v>44876</v>
      </c>
      <c r="D4" s="2569" t="str">
        <f ca="1">A4&amp;"（注册号："&amp;B4&amp;"）"</f>
        <v>梁津（注册号：1119970066）</v>
      </c>
      <c r="E4" s="2570" t="s">
        <v>2889</v>
      </c>
      <c r="F4" s="1473">
        <f ca="1">IF(G4&lt;B2,"已过期",96010014)</f>
        <v>96010014</v>
      </c>
      <c r="G4" s="2571">
        <v>47118</v>
      </c>
      <c r="H4" s="2572" t="str">
        <f ca="1">E4&amp;"（注册号："&amp;F4&amp;"）"</f>
        <v>梁津（注册号：96010014）</v>
      </c>
    </row>
    <row r="5" spans="1:8" ht="24" customHeight="1">
      <c r="A5" s="1473" t="s">
        <v>2890</v>
      </c>
      <c r="B5" s="1473">
        <f ca="1">IF(C5&lt;B2,"已过期",1119970111)</f>
        <v>1119970111</v>
      </c>
      <c r="C5" s="2568">
        <v>44876</v>
      </c>
      <c r="D5" s="2569" t="str">
        <f t="shared" ref="D5:D15" ca="1" si="0">A5&amp;"（注册号："&amp;B5&amp;"）"</f>
        <v>叶凌（注册号：1119970111）</v>
      </c>
      <c r="E5" s="2570" t="s">
        <v>2890</v>
      </c>
      <c r="F5" s="1473">
        <f ca="1">IF(G5&lt;B2,"已过期",94010078)</f>
        <v>94010078</v>
      </c>
      <c r="G5" s="2571">
        <v>46387</v>
      </c>
      <c r="H5" s="2572" t="str">
        <f t="shared" ref="H5:H16" ca="1" si="1">E5&amp;"（注册号："&amp;F5&amp;"）"</f>
        <v>叶凌（注册号：94010078）</v>
      </c>
    </row>
    <row r="6" spans="1:8" ht="24" customHeight="1">
      <c r="A6" s="1473" t="s">
        <v>2891</v>
      </c>
      <c r="B6" s="1473">
        <f ca="1">IF(C6&lt;B2,"已过期",1120050019)</f>
        <v>1120050019</v>
      </c>
      <c r="C6" s="2568">
        <v>44395</v>
      </c>
      <c r="D6" s="2569" t="str">
        <f t="shared" ca="1" si="0"/>
        <v>王鹏（注册号：1120050019）</v>
      </c>
      <c r="E6" s="2570" t="s">
        <v>2891</v>
      </c>
      <c r="F6" s="1473">
        <f ca="1">IF(G6&lt;B2,"已过期",2002110030)</f>
        <v>2002110030</v>
      </c>
      <c r="G6" s="2571">
        <v>46387</v>
      </c>
      <c r="H6" s="2572" t="str">
        <f t="shared" ca="1" si="1"/>
        <v>王鹏（注册号：2002110030）</v>
      </c>
    </row>
    <row r="7" spans="1:8" ht="24" customHeight="1">
      <c r="A7" s="1473" t="s">
        <v>2892</v>
      </c>
      <c r="B7" s="1473">
        <f ca="1">IF(C7&lt;B2,"已过期",1120000080)</f>
        <v>1120000080</v>
      </c>
      <c r="C7" s="2568">
        <v>44876</v>
      </c>
      <c r="D7" s="2569" t="str">
        <f t="shared" ca="1" si="0"/>
        <v>欧红伟（注册号：1120000080）</v>
      </c>
      <c r="E7" s="2570" t="s">
        <v>2892</v>
      </c>
      <c r="F7" s="1473">
        <f ca="1">IF(G7&lt;B2,"已过期",2000110082)</f>
        <v>2000110082</v>
      </c>
      <c r="G7" s="2571">
        <v>46387</v>
      </c>
      <c r="H7" s="2572" t="str">
        <f t="shared" ca="1" si="1"/>
        <v>欧红伟（注册号：2000110082）</v>
      </c>
    </row>
    <row r="8" spans="1:8" ht="24" customHeight="1">
      <c r="A8" s="1473" t="s">
        <v>2893</v>
      </c>
      <c r="B8" s="1473">
        <f ca="1">IF(C8&lt;B2,"已过期",1419970001)</f>
        <v>1419970001</v>
      </c>
      <c r="C8" s="2568">
        <v>44899</v>
      </c>
      <c r="D8" s="2569" t="str">
        <f t="shared" ca="1" si="0"/>
        <v>吴薇（注册号：1419970001）</v>
      </c>
      <c r="E8" s="2570" t="s">
        <v>2893</v>
      </c>
      <c r="F8" s="1473">
        <f ca="1">IF(G8&lt;B2,"已过期",2002110125)</f>
        <v>2002110125</v>
      </c>
      <c r="G8" s="2571">
        <v>47118</v>
      </c>
      <c r="H8" s="2572" t="str">
        <f t="shared" ca="1" si="1"/>
        <v>吴薇（注册号：2002110125）</v>
      </c>
    </row>
    <row r="9" spans="1:8" ht="24" customHeight="1">
      <c r="A9" s="1473" t="s">
        <v>2894</v>
      </c>
      <c r="B9" s="1473">
        <f ca="1">IF(C9&lt;B2,"已过期",1120060040)</f>
        <v>1120060040</v>
      </c>
      <c r="C9" s="2573">
        <v>44554</v>
      </c>
      <c r="D9" s="2569" t="str">
        <f t="shared" ca="1" si="0"/>
        <v>陈颖（注册号：1120060040）</v>
      </c>
      <c r="E9" s="2570" t="s">
        <v>2894</v>
      </c>
      <c r="F9" s="1473">
        <f ca="1">IF(G9&lt;B2,"已过期",2004110096)</f>
        <v>2004110096</v>
      </c>
      <c r="G9" s="2571">
        <v>47118</v>
      </c>
      <c r="H9" s="2572" t="str">
        <f t="shared" ca="1" si="1"/>
        <v>陈颖（注册号：2004110096）</v>
      </c>
    </row>
    <row r="10" spans="1:8" ht="24" customHeight="1">
      <c r="A10" s="1473" t="s">
        <v>2895</v>
      </c>
      <c r="B10" s="1473">
        <f ca="1">IF(C10&lt;B2,"已过期",1120100036)</f>
        <v>1120100036</v>
      </c>
      <c r="C10" s="2573">
        <v>44675</v>
      </c>
      <c r="D10" s="2569" t="str">
        <f t="shared" ca="1" si="0"/>
        <v>崔锴（注册号：1120100036）</v>
      </c>
      <c r="E10" s="2570" t="s">
        <v>2895</v>
      </c>
      <c r="F10" s="1473">
        <f ca="1">IF(G10&lt;B2,"已过期",2010110070)</f>
        <v>2010110070</v>
      </c>
      <c r="G10" s="2571">
        <v>47907</v>
      </c>
      <c r="H10" s="2572" t="str">
        <f t="shared" ca="1" si="1"/>
        <v>崔锴（注册号：2010110070）</v>
      </c>
    </row>
    <row r="11" spans="1:8" ht="24" customHeight="1">
      <c r="A11" s="1473" t="s">
        <v>2896</v>
      </c>
      <c r="B11" s="1473">
        <f ca="1">IF(C11&lt;B2,"已过期",1120070131)</f>
        <v>1120070131</v>
      </c>
      <c r="C11" s="2568">
        <v>44849</v>
      </c>
      <c r="D11" s="2569" t="str">
        <f t="shared" ca="1" si="0"/>
        <v>郑燚（注册号：1120070131）</v>
      </c>
      <c r="E11" s="2570" t="s">
        <v>2896</v>
      </c>
      <c r="F11" s="1473">
        <f ca="1">IF(G11&lt;B2,"已过期",2014110011)</f>
        <v>2014110011</v>
      </c>
      <c r="G11" s="2571">
        <v>49302</v>
      </c>
      <c r="H11" s="2572" t="str">
        <f t="shared" ca="1" si="1"/>
        <v>郑燚（注册号：2014110011）</v>
      </c>
    </row>
    <row r="12" spans="1:8" ht="24" customHeight="1">
      <c r="A12" s="1473" t="s">
        <v>2897</v>
      </c>
      <c r="B12" s="1473">
        <f ca="1">IF(C12&lt;B2,"已过期",1120040230)</f>
        <v>1120040230</v>
      </c>
      <c r="C12" s="2573">
        <v>44864</v>
      </c>
      <c r="D12" s="2569" t="str">
        <f t="shared" ca="1" si="0"/>
        <v>苏海（注册号：1120040230）</v>
      </c>
      <c r="E12" s="2570" t="s">
        <v>2897</v>
      </c>
      <c r="F12" s="1473">
        <f ca="1">IF(G12&lt;B2,"已过期",98030020)</f>
        <v>98030020</v>
      </c>
      <c r="G12" s="2571">
        <v>47118</v>
      </c>
      <c r="H12" s="2572" t="str">
        <f t="shared" ca="1" si="1"/>
        <v>苏海（注册号：98030020）</v>
      </c>
    </row>
    <row r="13" spans="1:8" ht="24" customHeight="1">
      <c r="A13" s="1473" t="s">
        <v>2898</v>
      </c>
      <c r="B13" s="1473">
        <f ca="1">IF(C13&lt;B2,"已过期",1120020033)</f>
        <v>1120020033</v>
      </c>
      <c r="C13" s="2568">
        <v>44339</v>
      </c>
      <c r="D13" s="2569" t="str">
        <f t="shared" ca="1" si="0"/>
        <v>刘敬东（注册号：1120020033）</v>
      </c>
      <c r="E13" s="2570" t="s">
        <v>2898</v>
      </c>
      <c r="F13" s="1473">
        <f ca="1">IF(G13&lt;B2,"已过期",2000110137)</f>
        <v>2000110137</v>
      </c>
      <c r="G13" s="2571">
        <v>46387</v>
      </c>
      <c r="H13" s="2572" t="str">
        <f t="shared" ca="1" si="1"/>
        <v>刘敬东（注册号：2000110137）</v>
      </c>
    </row>
    <row r="14" spans="1:8" ht="24" customHeight="1">
      <c r="A14" s="1473" t="s">
        <v>2899</v>
      </c>
      <c r="B14" s="1473">
        <f ca="1">IF(C14&lt;B2,"已过期",1119980106)</f>
        <v>1119980106</v>
      </c>
      <c r="C14" s="2573">
        <v>44969</v>
      </c>
      <c r="D14" s="2569" t="str">
        <f t="shared" ca="1" si="0"/>
        <v>刘俊财（注册号：1119980106）</v>
      </c>
      <c r="E14" s="2570" t="s">
        <v>2899</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2900</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28" t="s">
        <v>2901</v>
      </c>
      <c r="B17" s="3128"/>
      <c r="C17" s="3128"/>
      <c r="D17" s="3128"/>
      <c r="E17" s="3128"/>
      <c r="F17" s="3128"/>
      <c r="G17" s="3128"/>
      <c r="H17" s="3128"/>
    </row>
    <row r="18" spans="1:8" ht="24" customHeight="1">
      <c r="A18" s="3129" t="s">
        <v>2902</v>
      </c>
      <c r="B18" s="3129"/>
      <c r="C18" s="3129"/>
      <c r="D18" s="2566"/>
      <c r="E18" s="3130" t="s">
        <v>2903</v>
      </c>
      <c r="F18" s="3129"/>
      <c r="G18" s="3129"/>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Sheet3</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2021-02-10T01:59:32Z</dcterms:modified>
</cp:coreProperties>
</file>